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fileSharing readOnlyRecommended="1"/>
  <workbookPr filterPrivacy="1" codeName="ThisWorkbook" defaultThemeVersion="124226"/>
  <xr:revisionPtr revIDLastSave="0" documentId="8_{25F939C3-2867-4D57-9FAE-65DFA6E9F717}" xr6:coauthVersionLast="47" xr6:coauthVersionMax="47" xr10:uidLastSave="{00000000-0000-0000-0000-000000000000}"/>
  <bookViews>
    <workbookView xWindow="-120" yWindow="-120" windowWidth="29040" windowHeight="15720" tabRatio="541" activeTab="1" xr2:uid="{00000000-000D-0000-FFFF-FFFF00000000}"/>
  </bookViews>
  <sheets>
    <sheet name="0" sheetId="29" r:id="rId1"/>
    <sheet name="1" sheetId="30" r:id="rId2"/>
    <sheet name="2" sheetId="31" r:id="rId3"/>
    <sheet name="3" sheetId="32" r:id="rId4"/>
    <sheet name="4" sheetId="33" r:id="rId5"/>
    <sheet name="5" sheetId="34" r:id="rId6"/>
    <sheet name="6" sheetId="35" r:id="rId7"/>
    <sheet name="7" sheetId="36" r:id="rId8"/>
    <sheet name="8" sheetId="37" r:id="rId9"/>
    <sheet name="9" sheetId="38" r:id="rId10"/>
    <sheet name="10" sheetId="39" r:id="rId11"/>
    <sheet name="11" sheetId="40" r:id="rId12"/>
    <sheet name="12" sheetId="41" r:id="rId13"/>
    <sheet name="13" sheetId="43" r:id="rId14"/>
    <sheet name="14" sheetId="44" r:id="rId15"/>
    <sheet name="15" sheetId="45" r:id="rId16"/>
    <sheet name="16" sheetId="47" r:id="rId17"/>
    <sheet name="17" sheetId="48" r:id="rId18"/>
    <sheet name="18" sheetId="49" r:id="rId19"/>
    <sheet name="19" sheetId="50" r:id="rId20"/>
    <sheet name="20" sheetId="51" r:id="rId21"/>
    <sheet name="21" sheetId="52" r:id="rId22"/>
    <sheet name="22" sheetId="53" r:id="rId23"/>
    <sheet name="23" sheetId="54" r:id="rId24"/>
    <sheet name="24" sheetId="55" r:id="rId25"/>
    <sheet name="25" sheetId="56" r:id="rId26"/>
    <sheet name="26" sheetId="57" r:id="rId27"/>
    <sheet name="27" sheetId="58" r:id="rId28"/>
    <sheet name="28" sheetId="59" r:id="rId29"/>
    <sheet name="29" sheetId="60" r:id="rId30"/>
    <sheet name="30" sheetId="61" r:id="rId31"/>
    <sheet name="31" sheetId="62" r:id="rId32"/>
    <sheet name="32" sheetId="63" r:id="rId33"/>
    <sheet name="sample" sheetId="42" r:id="rId34"/>
    <sheet name="Sheet1" sheetId="1" r:id="rId35"/>
    <sheet name="Sheet2" sheetId="2" r:id="rId36"/>
    <sheet name="Sheet3" sheetId="3" r:id="rId37"/>
    <sheet name="sample (2)" sheetId="46" r:id="rId38"/>
  </sheets>
  <externalReferences>
    <externalReference r:id="rId39"/>
    <externalReference r:id="rId40"/>
  </externalReferences>
  <definedNames>
    <definedName name="IPP" localSheetId="0">#REF!</definedName>
    <definedName name="IPP" localSheetId="1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">#REF!</definedName>
    <definedName name="IPP" localSheetId="30">#REF!</definedName>
    <definedName name="IPP" localSheetId="31">#REF!</definedName>
    <definedName name="IPP" localSheetId="32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33">#REF!</definedName>
    <definedName name="IPP" localSheetId="37">#REF!</definedName>
    <definedName name="IPP">#REF!</definedName>
    <definedName name="ippp" localSheetId="0">#REF!</definedName>
    <definedName name="ippp" localSheetId="1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">#REF!</definedName>
    <definedName name="ippp" localSheetId="30">#REF!</definedName>
    <definedName name="ippp" localSheetId="31">#REF!</definedName>
    <definedName name="ippp" localSheetId="32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33">#REF!</definedName>
    <definedName name="ippp" localSheetId="37">#REF!</definedName>
    <definedName name="ippp">#REF!</definedName>
    <definedName name="_xlnm.Print_Area" localSheetId="0">'0'!$A$1:$AI$117</definedName>
    <definedName name="sdasdf" localSheetId="0">#REF!</definedName>
    <definedName name="sdasdf" localSheetId="1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">#REF!</definedName>
    <definedName name="sdasdf" localSheetId="30">#REF!</definedName>
    <definedName name="sdasdf" localSheetId="31">#REF!</definedName>
    <definedName name="sdasdf" localSheetId="32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33">#REF!</definedName>
    <definedName name="sdasdf" localSheetId="37">#REF!</definedName>
    <definedName name="sdasd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2" i="30" l="1"/>
  <c r="AC113" i="63"/>
  <c r="AD113" i="63"/>
  <c r="AB113" i="63"/>
  <c r="Y72" i="63"/>
  <c r="Y50" i="63"/>
  <c r="Y54" i="63"/>
  <c r="AK67" i="63"/>
  <c r="AK54" i="63"/>
  <c r="AK49" i="63"/>
  <c r="B50" i="63"/>
  <c r="C50" i="63"/>
  <c r="D50" i="63"/>
  <c r="E50" i="63"/>
  <c r="F50" i="63"/>
  <c r="G50" i="63"/>
  <c r="H50" i="63"/>
  <c r="I50" i="63"/>
  <c r="J50" i="63"/>
  <c r="K50" i="63"/>
  <c r="L50" i="63"/>
  <c r="M50" i="63"/>
  <c r="N50" i="63"/>
  <c r="O50" i="63"/>
  <c r="P50" i="63"/>
  <c r="Q50" i="63"/>
  <c r="R50" i="63"/>
  <c r="T50" i="63"/>
  <c r="U50" i="63"/>
  <c r="V50" i="63"/>
  <c r="W50" i="63"/>
  <c r="X50" i="63"/>
  <c r="Z50" i="63"/>
  <c r="AA50" i="63"/>
  <c r="AB50" i="63"/>
  <c r="AC50" i="63"/>
  <c r="AD50" i="63"/>
  <c r="AE50" i="63"/>
  <c r="AF50" i="63"/>
  <c r="AG50" i="63"/>
  <c r="S50" i="63" l="1"/>
  <c r="AI50" i="63" l="1"/>
  <c r="AH50" i="63"/>
  <c r="D113" i="63" l="1"/>
  <c r="D54" i="63"/>
  <c r="D68" i="63"/>
  <c r="C113" i="63"/>
  <c r="C54" i="63"/>
  <c r="C68" i="63"/>
  <c r="C72" i="63"/>
  <c r="C84" i="63"/>
  <c r="B113" i="63"/>
  <c r="B84" i="63"/>
  <c r="B72" i="63"/>
  <c r="B68" i="63"/>
  <c r="B54" i="63"/>
  <c r="AF274" i="63"/>
  <c r="AE274" i="63"/>
  <c r="AD274" i="63"/>
  <c r="AC274" i="63"/>
  <c r="AB274" i="63"/>
  <c r="AA274" i="63"/>
  <c r="Z274" i="63"/>
  <c r="Y274" i="63"/>
  <c r="X274" i="63"/>
  <c r="W274" i="63"/>
  <c r="V274" i="63"/>
  <c r="U274" i="63"/>
  <c r="T274" i="63"/>
  <c r="S274" i="63"/>
  <c r="R274" i="63"/>
  <c r="Q274" i="63"/>
  <c r="P274" i="63"/>
  <c r="O274" i="63"/>
  <c r="N274" i="63"/>
  <c r="M274" i="63"/>
  <c r="L274" i="63"/>
  <c r="K274" i="63"/>
  <c r="J274" i="63"/>
  <c r="I274" i="63"/>
  <c r="H274" i="63"/>
  <c r="G274" i="63"/>
  <c r="F274" i="63"/>
  <c r="E274" i="63"/>
  <c r="D274" i="63"/>
  <c r="C274" i="63"/>
  <c r="B274" i="63"/>
  <c r="A274" i="63"/>
  <c r="AF273" i="63"/>
  <c r="AE273" i="63"/>
  <c r="AD273" i="63"/>
  <c r="AC273" i="63"/>
  <c r="AB273" i="63"/>
  <c r="AA273" i="63"/>
  <c r="Z273" i="63"/>
  <c r="Y273" i="63"/>
  <c r="X273" i="63"/>
  <c r="W273" i="63"/>
  <c r="V273" i="63"/>
  <c r="U273" i="63"/>
  <c r="T273" i="63"/>
  <c r="S273" i="63"/>
  <c r="R273" i="63"/>
  <c r="Q273" i="63"/>
  <c r="P273" i="63"/>
  <c r="O273" i="63"/>
  <c r="N273" i="63"/>
  <c r="M273" i="63"/>
  <c r="L273" i="63"/>
  <c r="K273" i="63"/>
  <c r="J273" i="63"/>
  <c r="I273" i="63"/>
  <c r="H273" i="63"/>
  <c r="G273" i="63"/>
  <c r="F273" i="63"/>
  <c r="E273" i="63"/>
  <c r="D273" i="63"/>
  <c r="C273" i="63"/>
  <c r="B273" i="63"/>
  <c r="A273" i="63"/>
  <c r="AF272" i="63"/>
  <c r="AE272" i="63"/>
  <c r="AD272" i="63"/>
  <c r="AC272" i="63"/>
  <c r="AB272" i="63"/>
  <c r="AA272" i="63"/>
  <c r="Z272" i="63"/>
  <c r="Y272" i="63"/>
  <c r="X272" i="63"/>
  <c r="W272" i="63"/>
  <c r="V272" i="63"/>
  <c r="U272" i="63"/>
  <c r="T272" i="63"/>
  <c r="S272" i="63"/>
  <c r="R272" i="63"/>
  <c r="Q272" i="63"/>
  <c r="P272" i="63"/>
  <c r="O272" i="63"/>
  <c r="N272" i="63"/>
  <c r="M272" i="63"/>
  <c r="L272" i="63"/>
  <c r="K272" i="63"/>
  <c r="J272" i="63"/>
  <c r="I272" i="63"/>
  <c r="H272" i="63"/>
  <c r="G272" i="63"/>
  <c r="F272" i="63"/>
  <c r="E272" i="63"/>
  <c r="D272" i="63"/>
  <c r="C272" i="63"/>
  <c r="B272" i="63"/>
  <c r="A272" i="63"/>
  <c r="AF271" i="63"/>
  <c r="AE271" i="63"/>
  <c r="AD271" i="63"/>
  <c r="AC271" i="63"/>
  <c r="AB271" i="63"/>
  <c r="AA271" i="63"/>
  <c r="Z271" i="63"/>
  <c r="Y271" i="63"/>
  <c r="X271" i="63"/>
  <c r="W271" i="63"/>
  <c r="V271" i="63"/>
  <c r="U271" i="63"/>
  <c r="T271" i="63"/>
  <c r="S271" i="63"/>
  <c r="R271" i="63"/>
  <c r="Q271" i="63"/>
  <c r="P271" i="63"/>
  <c r="O271" i="63"/>
  <c r="N271" i="63"/>
  <c r="M271" i="63"/>
  <c r="L271" i="63"/>
  <c r="K271" i="63"/>
  <c r="J271" i="63"/>
  <c r="I271" i="63"/>
  <c r="H271" i="63"/>
  <c r="G271" i="63"/>
  <c r="F271" i="63"/>
  <c r="E271" i="63"/>
  <c r="D271" i="63"/>
  <c r="C271" i="63"/>
  <c r="B271" i="63"/>
  <c r="A271" i="63"/>
  <c r="AE270" i="63"/>
  <c r="AD270" i="63"/>
  <c r="AC270" i="63"/>
  <c r="AB270" i="63"/>
  <c r="AA270" i="63"/>
  <c r="Z270" i="63"/>
  <c r="Y270" i="63"/>
  <c r="X270" i="63"/>
  <c r="W270" i="63"/>
  <c r="V270" i="63"/>
  <c r="U270" i="63"/>
  <c r="T270" i="63"/>
  <c r="S270" i="63"/>
  <c r="R270" i="63"/>
  <c r="Q270" i="63"/>
  <c r="P270" i="63"/>
  <c r="B270" i="63"/>
  <c r="S245" i="63"/>
  <c r="AG235" i="63"/>
  <c r="AF235" i="63"/>
  <c r="AE235" i="63"/>
  <c r="AD235" i="63"/>
  <c r="AC235" i="63"/>
  <c r="AB235" i="63"/>
  <c r="AA235" i="63"/>
  <c r="Z235" i="63"/>
  <c r="Y235" i="63"/>
  <c r="X235" i="63"/>
  <c r="W235" i="63"/>
  <c r="V235" i="63"/>
  <c r="U235" i="63"/>
  <c r="T235" i="63"/>
  <c r="S235" i="63"/>
  <c r="R235" i="63"/>
  <c r="Q235" i="63"/>
  <c r="C235" i="63"/>
  <c r="D234" i="63"/>
  <c r="C270" i="63" s="1"/>
  <c r="B234" i="63"/>
  <c r="AF270" i="63" s="1"/>
  <c r="D233" i="63"/>
  <c r="E233" i="63" s="1"/>
  <c r="F233" i="63" s="1"/>
  <c r="G233" i="63" s="1"/>
  <c r="H233" i="63" s="1"/>
  <c r="I233" i="63" s="1"/>
  <c r="J233" i="63" s="1"/>
  <c r="K233" i="63" s="1"/>
  <c r="L233" i="63" s="1"/>
  <c r="M233" i="63" s="1"/>
  <c r="N233" i="63" s="1"/>
  <c r="O233" i="63" s="1"/>
  <c r="P233" i="63" s="1"/>
  <c r="B233" i="63"/>
  <c r="D232" i="63"/>
  <c r="E232" i="63" s="1"/>
  <c r="F232" i="63" s="1"/>
  <c r="G232" i="63" s="1"/>
  <c r="H232" i="63" s="1"/>
  <c r="I232" i="63" s="1"/>
  <c r="B232" i="63"/>
  <c r="D231" i="63"/>
  <c r="E231" i="63" s="1"/>
  <c r="F231" i="63" s="1"/>
  <c r="G231" i="63" s="1"/>
  <c r="H231" i="63" s="1"/>
  <c r="B231" i="63"/>
  <c r="D230" i="63"/>
  <c r="D235" i="63" s="1"/>
  <c r="B230" i="63"/>
  <c r="E229" i="63"/>
  <c r="F229" i="63" s="1"/>
  <c r="D229" i="63"/>
  <c r="B229" i="63"/>
  <c r="AG227" i="63"/>
  <c r="AF227" i="63"/>
  <c r="AE227" i="63"/>
  <c r="AD227" i="63"/>
  <c r="AC227" i="63"/>
  <c r="AB227" i="63"/>
  <c r="AA227" i="63"/>
  <c r="Z227" i="63"/>
  <c r="Y227" i="63"/>
  <c r="X227" i="63"/>
  <c r="W227" i="63"/>
  <c r="V227" i="63"/>
  <c r="U227" i="63"/>
  <c r="T227" i="63"/>
  <c r="S227" i="63"/>
  <c r="R227" i="63"/>
  <c r="Q227" i="63"/>
  <c r="P227" i="63"/>
  <c r="O227" i="63"/>
  <c r="N227" i="63"/>
  <c r="M227" i="63"/>
  <c r="L227" i="63"/>
  <c r="K227" i="63"/>
  <c r="J227" i="63"/>
  <c r="I227" i="63"/>
  <c r="H227" i="63"/>
  <c r="G227" i="63"/>
  <c r="F227" i="63"/>
  <c r="E227" i="63"/>
  <c r="D227" i="63"/>
  <c r="C227" i="63"/>
  <c r="B227" i="63"/>
  <c r="AI120" i="63"/>
  <c r="AH120" i="63"/>
  <c r="AI119" i="63"/>
  <c r="AH119" i="63"/>
  <c r="AI118" i="63"/>
  <c r="AH118" i="63"/>
  <c r="AI117" i="63"/>
  <c r="AH117" i="63"/>
  <c r="AI116" i="63"/>
  <c r="AH116" i="63"/>
  <c r="AI115" i="63"/>
  <c r="AH115" i="63"/>
  <c r="AI114" i="63"/>
  <c r="AH114" i="63"/>
  <c r="AH113" i="63"/>
  <c r="AI112" i="63"/>
  <c r="AH112" i="63"/>
  <c r="AI111" i="63"/>
  <c r="AH111" i="63"/>
  <c r="AF110" i="63"/>
  <c r="AE110" i="63"/>
  <c r="AC110" i="63"/>
  <c r="AB110" i="63"/>
  <c r="AA110" i="63"/>
  <c r="Z110" i="63"/>
  <c r="Y110" i="63"/>
  <c r="X110" i="63"/>
  <c r="W110" i="63"/>
  <c r="V110" i="63"/>
  <c r="U110" i="63"/>
  <c r="T110" i="63"/>
  <c r="S110" i="63"/>
  <c r="R110" i="63"/>
  <c r="Q110" i="63"/>
  <c r="C110" i="63"/>
  <c r="AI109" i="63"/>
  <c r="AH109" i="63"/>
  <c r="AI108" i="63"/>
  <c r="AH108" i="63"/>
  <c r="AI107" i="63"/>
  <c r="AH107" i="63"/>
  <c r="AI106" i="63"/>
  <c r="AH106" i="63"/>
  <c r="AI105" i="63"/>
  <c r="AH105" i="63"/>
  <c r="AI104" i="63"/>
  <c r="AH104" i="63"/>
  <c r="AI103" i="63"/>
  <c r="AH103" i="63"/>
  <c r="AI102" i="63"/>
  <c r="AH102" i="63"/>
  <c r="AI101" i="63"/>
  <c r="AH101" i="63"/>
  <c r="AI99" i="63"/>
  <c r="AH99" i="63"/>
  <c r="AI98" i="63"/>
  <c r="AH98" i="63"/>
  <c r="AI97" i="63"/>
  <c r="AH97" i="63"/>
  <c r="AI96" i="63"/>
  <c r="AH96" i="63"/>
  <c r="AI95" i="63"/>
  <c r="AH95" i="63"/>
  <c r="AI94" i="63"/>
  <c r="AH94" i="63"/>
  <c r="AI93" i="63"/>
  <c r="AH93" i="63"/>
  <c r="AI90" i="63"/>
  <c r="AH90" i="63"/>
  <c r="AI88" i="63"/>
  <c r="AH88" i="63"/>
  <c r="AG88" i="63"/>
  <c r="AI87" i="63"/>
  <c r="AH87" i="63"/>
  <c r="AI86" i="63"/>
  <c r="AH86" i="63"/>
  <c r="AI85" i="63"/>
  <c r="AH85" i="63"/>
  <c r="AN84" i="63"/>
  <c r="AG84" i="63"/>
  <c r="AF84" i="63"/>
  <c r="AF100" i="63" s="1"/>
  <c r="AE84" i="63"/>
  <c r="AE100" i="63" s="1"/>
  <c r="AD84" i="63"/>
  <c r="AD100" i="63" s="1"/>
  <c r="AC84" i="63"/>
  <c r="AC100" i="63" s="1"/>
  <c r="AB84" i="63"/>
  <c r="AB100" i="63" s="1"/>
  <c r="AA84" i="63"/>
  <c r="AA100" i="63" s="1"/>
  <c r="Z84" i="63"/>
  <c r="Z100" i="63" s="1"/>
  <c r="Y84" i="63"/>
  <c r="Y100" i="63" s="1"/>
  <c r="X84" i="63"/>
  <c r="X100" i="63" s="1"/>
  <c r="W84" i="63"/>
  <c r="W100" i="63" s="1"/>
  <c r="V84" i="63"/>
  <c r="V100" i="63" s="1"/>
  <c r="U84" i="63"/>
  <c r="U100" i="63" s="1"/>
  <c r="T84" i="63"/>
  <c r="T100" i="63" s="1"/>
  <c r="S84" i="63"/>
  <c r="S100" i="63" s="1"/>
  <c r="R84" i="63"/>
  <c r="Q5" i="63" s="1"/>
  <c r="Q84" i="63"/>
  <c r="Q100" i="63" s="1"/>
  <c r="P84" i="63"/>
  <c r="P100" i="63" s="1"/>
  <c r="O84" i="63"/>
  <c r="N5" i="63" s="1"/>
  <c r="N84" i="63"/>
  <c r="N100" i="63" s="1"/>
  <c r="M84" i="63"/>
  <c r="M100" i="63" s="1"/>
  <c r="L84" i="63"/>
  <c r="L100" i="63" s="1"/>
  <c r="K84" i="63"/>
  <c r="K100" i="63" s="1"/>
  <c r="J84" i="63"/>
  <c r="I5" i="63" s="1"/>
  <c r="I84" i="63"/>
  <c r="I100" i="63" s="1"/>
  <c r="H84" i="63"/>
  <c r="H100" i="63" s="1"/>
  <c r="G84" i="63"/>
  <c r="G100" i="63" s="1"/>
  <c r="F84" i="63"/>
  <c r="F100" i="63" s="1"/>
  <c r="E84" i="63"/>
  <c r="E100" i="63" s="1"/>
  <c r="D84" i="63"/>
  <c r="D100" i="63" s="1"/>
  <c r="C100" i="63"/>
  <c r="AI83" i="63"/>
  <c r="AH83" i="63"/>
  <c r="AN82" i="63"/>
  <c r="AI82" i="63"/>
  <c r="AH82" i="63"/>
  <c r="AN81" i="63"/>
  <c r="AN83" i="63" s="1"/>
  <c r="AI81" i="63"/>
  <c r="AH81" i="63"/>
  <c r="AI80" i="63"/>
  <c r="AH80" i="63"/>
  <c r="AI79" i="63"/>
  <c r="AH79" i="63"/>
  <c r="AI78" i="63"/>
  <c r="AH78" i="63"/>
  <c r="AI77" i="63"/>
  <c r="AH77" i="63"/>
  <c r="AI76" i="63"/>
  <c r="AH76" i="63"/>
  <c r="AI75" i="63"/>
  <c r="AH75" i="63"/>
  <c r="AI74" i="63"/>
  <c r="AH74" i="63"/>
  <c r="AI73" i="63"/>
  <c r="AH73" i="63"/>
  <c r="AG72" i="63"/>
  <c r="AF72" i="63"/>
  <c r="AE72" i="63"/>
  <c r="AD72" i="63"/>
  <c r="AC72" i="63"/>
  <c r="AB72" i="63"/>
  <c r="AA72" i="63"/>
  <c r="Z72" i="63"/>
  <c r="X72" i="63"/>
  <c r="W72" i="63"/>
  <c r="V72" i="63"/>
  <c r="U72" i="63"/>
  <c r="T72" i="63"/>
  <c r="S72" i="63"/>
  <c r="R72" i="63"/>
  <c r="Q72" i="63"/>
  <c r="P72" i="63"/>
  <c r="O72" i="63"/>
  <c r="N72" i="63"/>
  <c r="M72" i="63"/>
  <c r="L72" i="63"/>
  <c r="AI71" i="63"/>
  <c r="AH71" i="63"/>
  <c r="AI70" i="63"/>
  <c r="AH70" i="63"/>
  <c r="AI69" i="63"/>
  <c r="AH69" i="63"/>
  <c r="AF68" i="63"/>
  <c r="AE68" i="63"/>
  <c r="AD68" i="63"/>
  <c r="AC68" i="63"/>
  <c r="AB68" i="63"/>
  <c r="AA68" i="63"/>
  <c r="Z68" i="63"/>
  <c r="Y68" i="63"/>
  <c r="X68" i="63"/>
  <c r="W68" i="63"/>
  <c r="V68" i="63"/>
  <c r="U68" i="63"/>
  <c r="T68" i="63"/>
  <c r="S68" i="63"/>
  <c r="R68" i="63"/>
  <c r="Q68" i="63"/>
  <c r="P68" i="63"/>
  <c r="O68" i="63"/>
  <c r="N68" i="63"/>
  <c r="M68" i="63"/>
  <c r="L68" i="63"/>
  <c r="K68" i="63"/>
  <c r="J68" i="63"/>
  <c r="I68" i="63"/>
  <c r="H68" i="63"/>
  <c r="G68" i="63"/>
  <c r="F68" i="63"/>
  <c r="E68" i="63"/>
  <c r="AI67" i="63"/>
  <c r="AH67" i="63"/>
  <c r="AG67" i="63"/>
  <c r="AG68" i="63" s="1"/>
  <c r="AG3" i="63" s="1"/>
  <c r="AI66" i="63"/>
  <c r="AH66" i="63"/>
  <c r="AI65" i="63"/>
  <c r="AH65" i="63"/>
  <c r="AI64" i="63"/>
  <c r="AH64" i="63"/>
  <c r="AI63" i="63"/>
  <c r="AH63" i="63"/>
  <c r="AI62" i="63"/>
  <c r="AH62" i="63"/>
  <c r="AI61" i="63"/>
  <c r="AH61" i="63"/>
  <c r="AI60" i="63"/>
  <c r="AH60" i="63"/>
  <c r="AI59" i="63"/>
  <c r="AH59" i="63"/>
  <c r="AI58" i="63"/>
  <c r="AH58" i="63"/>
  <c r="AI57" i="63"/>
  <c r="AH57" i="63"/>
  <c r="AI56" i="63"/>
  <c r="AH56" i="63"/>
  <c r="AI55" i="63"/>
  <c r="AH55" i="63"/>
  <c r="AG54" i="63"/>
  <c r="AF54" i="63"/>
  <c r="AE54" i="63"/>
  <c r="AD54" i="63"/>
  <c r="AC54" i="63"/>
  <c r="AB54" i="63"/>
  <c r="AA54" i="63"/>
  <c r="Z54" i="63"/>
  <c r="X54" i="63"/>
  <c r="W54" i="63"/>
  <c r="V54" i="63"/>
  <c r="U54" i="63"/>
  <c r="T54" i="63"/>
  <c r="S54" i="63"/>
  <c r="R54" i="63"/>
  <c r="Q54" i="63"/>
  <c r="P54" i="63"/>
  <c r="O54" i="63"/>
  <c r="N54" i="63"/>
  <c r="M54" i="63"/>
  <c r="L54" i="63"/>
  <c r="K54" i="63"/>
  <c r="J54" i="63"/>
  <c r="I54" i="63"/>
  <c r="H54" i="63"/>
  <c r="G54" i="63"/>
  <c r="F54" i="63"/>
  <c r="E54" i="63"/>
  <c r="AI53" i="63"/>
  <c r="AH53" i="63"/>
  <c r="AI52" i="63"/>
  <c r="AH52" i="63"/>
  <c r="AI51" i="63"/>
  <c r="AH51" i="63"/>
  <c r="AG2" i="63"/>
  <c r="AC89" i="63"/>
  <c r="AC91" i="63" s="1"/>
  <c r="AI49" i="63"/>
  <c r="AH49" i="63"/>
  <c r="AI48" i="63"/>
  <c r="AH48" i="63"/>
  <c r="AI47" i="63"/>
  <c r="AH47" i="63"/>
  <c r="AI46" i="63"/>
  <c r="AH46" i="63"/>
  <c r="AI45" i="63"/>
  <c r="AH45" i="63"/>
  <c r="AI44" i="63"/>
  <c r="AH44" i="63"/>
  <c r="AI43" i="63"/>
  <c r="AH43" i="63"/>
  <c r="AI42" i="63"/>
  <c r="AH42" i="63"/>
  <c r="AI41" i="63"/>
  <c r="AH41" i="63"/>
  <c r="AI40" i="63"/>
  <c r="AH40" i="63"/>
  <c r="AI39" i="63"/>
  <c r="AH39" i="63"/>
  <c r="AI38" i="63"/>
  <c r="AH38" i="63"/>
  <c r="AI37" i="63"/>
  <c r="AH37" i="63"/>
  <c r="AI36" i="63"/>
  <c r="AH36" i="63"/>
  <c r="AI35" i="63"/>
  <c r="AH35" i="63"/>
  <c r="AI34" i="63"/>
  <c r="AH34" i="63"/>
  <c r="AI33" i="63"/>
  <c r="AH33" i="63"/>
  <c r="AI32" i="63"/>
  <c r="AH32" i="63"/>
  <c r="AI31" i="63"/>
  <c r="AH31" i="63"/>
  <c r="AI30" i="63"/>
  <c r="AH30" i="63"/>
  <c r="AI29" i="63"/>
  <c r="AH29" i="63"/>
  <c r="AI28" i="63"/>
  <c r="AH28" i="63"/>
  <c r="AI27" i="63"/>
  <c r="AH27" i="63"/>
  <c r="AI26" i="63"/>
  <c r="AH26" i="63"/>
  <c r="AI25" i="63"/>
  <c r="AH25" i="63"/>
  <c r="AI24" i="63"/>
  <c r="AH24" i="63"/>
  <c r="AI23" i="63"/>
  <c r="AH23" i="63"/>
  <c r="AI22" i="63"/>
  <c r="AH22" i="63"/>
  <c r="AI21" i="63"/>
  <c r="AH21" i="63"/>
  <c r="AI20" i="63"/>
  <c r="AH20" i="63"/>
  <c r="AI19" i="63"/>
  <c r="AH19" i="63"/>
  <c r="AI18" i="63"/>
  <c r="AH18" i="63"/>
  <c r="AI17" i="63"/>
  <c r="AH17" i="63"/>
  <c r="AI16" i="63"/>
  <c r="AH16" i="63"/>
  <c r="AI15" i="63"/>
  <c r="AH15" i="63"/>
  <c r="AI14" i="63"/>
  <c r="AH14" i="63"/>
  <c r="AI13" i="63"/>
  <c r="AH13" i="63"/>
  <c r="AI12" i="63"/>
  <c r="AH12" i="63"/>
  <c r="AI11" i="63"/>
  <c r="AH11" i="63"/>
  <c r="AB5" i="63"/>
  <c r="Y5" i="63"/>
  <c r="M5" i="63"/>
  <c r="E5" i="63"/>
  <c r="AG4" i="63"/>
  <c r="K4" i="63"/>
  <c r="E4" i="63"/>
  <c r="H4" i="63" s="1"/>
  <c r="B4" i="63"/>
  <c r="S246" i="63" s="1"/>
  <c r="AF113" i="62"/>
  <c r="AF50" i="62"/>
  <c r="M49" i="62"/>
  <c r="L113" i="62"/>
  <c r="K113" i="62"/>
  <c r="I113" i="62"/>
  <c r="J113" i="62"/>
  <c r="H113" i="62"/>
  <c r="G113" i="62"/>
  <c r="F113" i="62"/>
  <c r="E113" i="62"/>
  <c r="D113" i="62"/>
  <c r="D110" i="62" s="1"/>
  <c r="AF274" i="62"/>
  <c r="AE274" i="62"/>
  <c r="AD274" i="62"/>
  <c r="AC274" i="62"/>
  <c r="AB274" i="62"/>
  <c r="AA274" i="62"/>
  <c r="Z274" i="62"/>
  <c r="Y274" i="62"/>
  <c r="X274" i="62"/>
  <c r="W274" i="62"/>
  <c r="V274" i="62"/>
  <c r="U274" i="62"/>
  <c r="T274" i="62"/>
  <c r="S274" i="62"/>
  <c r="R274" i="62"/>
  <c r="Q274" i="62"/>
  <c r="P274" i="62"/>
  <c r="O274" i="62"/>
  <c r="N274" i="62"/>
  <c r="M274" i="62"/>
  <c r="L274" i="62"/>
  <c r="K274" i="62"/>
  <c r="J274" i="62"/>
  <c r="I274" i="62"/>
  <c r="H274" i="62"/>
  <c r="G274" i="62"/>
  <c r="F274" i="62"/>
  <c r="E274" i="62"/>
  <c r="D274" i="62"/>
  <c r="C274" i="62"/>
  <c r="B274" i="62"/>
  <c r="A274" i="62"/>
  <c r="AF273" i="62"/>
  <c r="AE273" i="62"/>
  <c r="AD273" i="62"/>
  <c r="AC273" i="62"/>
  <c r="AB273" i="62"/>
  <c r="AA273" i="62"/>
  <c r="Z273" i="62"/>
  <c r="Y273" i="62"/>
  <c r="X273" i="62"/>
  <c r="W273" i="62"/>
  <c r="V273" i="62"/>
  <c r="U273" i="62"/>
  <c r="T273" i="62"/>
  <c r="S273" i="62"/>
  <c r="R273" i="62"/>
  <c r="Q273" i="62"/>
  <c r="P273" i="62"/>
  <c r="O273" i="62"/>
  <c r="N273" i="62"/>
  <c r="M273" i="62"/>
  <c r="L273" i="62"/>
  <c r="K273" i="62"/>
  <c r="J273" i="62"/>
  <c r="I273" i="62"/>
  <c r="H273" i="62"/>
  <c r="G273" i="62"/>
  <c r="F273" i="62"/>
  <c r="E273" i="62"/>
  <c r="D273" i="62"/>
  <c r="C273" i="62"/>
  <c r="B273" i="62"/>
  <c r="A273" i="62"/>
  <c r="AF272" i="62"/>
  <c r="AE272" i="62"/>
  <c r="AD272" i="62"/>
  <c r="AC272" i="62"/>
  <c r="AB272" i="62"/>
  <c r="AA272" i="62"/>
  <c r="Z272" i="62"/>
  <c r="Y272" i="62"/>
  <c r="X272" i="62"/>
  <c r="W272" i="62"/>
  <c r="V272" i="62"/>
  <c r="U272" i="62"/>
  <c r="T272" i="62"/>
  <c r="S272" i="62"/>
  <c r="R272" i="62"/>
  <c r="Q272" i="62"/>
  <c r="P272" i="62"/>
  <c r="O272" i="62"/>
  <c r="N272" i="62"/>
  <c r="M272" i="62"/>
  <c r="L272" i="62"/>
  <c r="K272" i="62"/>
  <c r="J272" i="62"/>
  <c r="I272" i="62"/>
  <c r="H272" i="62"/>
  <c r="G272" i="62"/>
  <c r="F272" i="62"/>
  <c r="E272" i="62"/>
  <c r="D272" i="62"/>
  <c r="C272" i="62"/>
  <c r="B272" i="62"/>
  <c r="A272" i="62"/>
  <c r="AF271" i="62"/>
  <c r="AE271" i="62"/>
  <c r="AD271" i="62"/>
  <c r="AC271" i="62"/>
  <c r="AB271" i="62"/>
  <c r="AA271" i="62"/>
  <c r="Z271" i="62"/>
  <c r="Y271" i="62"/>
  <c r="X271" i="62"/>
  <c r="W271" i="62"/>
  <c r="V271" i="62"/>
  <c r="U271" i="62"/>
  <c r="T271" i="62"/>
  <c r="S271" i="62"/>
  <c r="R271" i="62"/>
  <c r="Q271" i="62"/>
  <c r="P271" i="62"/>
  <c r="O271" i="62"/>
  <c r="N271" i="62"/>
  <c r="M271" i="62"/>
  <c r="L271" i="62"/>
  <c r="K271" i="62"/>
  <c r="J271" i="62"/>
  <c r="I271" i="62"/>
  <c r="H271" i="62"/>
  <c r="G271" i="62"/>
  <c r="F271" i="62"/>
  <c r="E271" i="62"/>
  <c r="D271" i="62"/>
  <c r="C271" i="62"/>
  <c r="B271" i="62"/>
  <c r="A271" i="62"/>
  <c r="AE270" i="62"/>
  <c r="AD270" i="62"/>
  <c r="AC270" i="62"/>
  <c r="AB270" i="62"/>
  <c r="AA270" i="62"/>
  <c r="Z270" i="62"/>
  <c r="Y270" i="62"/>
  <c r="X270" i="62"/>
  <c r="W270" i="62"/>
  <c r="V270" i="62"/>
  <c r="U270" i="62"/>
  <c r="T270" i="62"/>
  <c r="S270" i="62"/>
  <c r="R270" i="62"/>
  <c r="Q270" i="62"/>
  <c r="P270" i="62"/>
  <c r="B270" i="62"/>
  <c r="S245" i="62"/>
  <c r="AG235" i="62"/>
  <c r="AF235" i="62"/>
  <c r="AE235" i="62"/>
  <c r="AD235" i="62"/>
  <c r="AC235" i="62"/>
  <c r="AB235" i="62"/>
  <c r="AA235" i="62"/>
  <c r="Z235" i="62"/>
  <c r="Y235" i="62"/>
  <c r="X235" i="62"/>
  <c r="W235" i="62"/>
  <c r="V235" i="62"/>
  <c r="U235" i="62"/>
  <c r="T235" i="62"/>
  <c r="S235" i="62"/>
  <c r="R235" i="62"/>
  <c r="Q235" i="62"/>
  <c r="C235" i="62"/>
  <c r="D234" i="62"/>
  <c r="B234" i="62"/>
  <c r="AF270" i="62" s="1"/>
  <c r="E233" i="62"/>
  <c r="F233" i="62" s="1"/>
  <c r="G233" i="62" s="1"/>
  <c r="H233" i="62" s="1"/>
  <c r="I233" i="62" s="1"/>
  <c r="J233" i="62" s="1"/>
  <c r="K233" i="62" s="1"/>
  <c r="L233" i="62" s="1"/>
  <c r="M233" i="62" s="1"/>
  <c r="N233" i="62" s="1"/>
  <c r="O233" i="62" s="1"/>
  <c r="P233" i="62" s="1"/>
  <c r="D233" i="62"/>
  <c r="B233" i="62"/>
  <c r="D232" i="62"/>
  <c r="E232" i="62" s="1"/>
  <c r="F232" i="62" s="1"/>
  <c r="G232" i="62" s="1"/>
  <c r="H232" i="62" s="1"/>
  <c r="I232" i="62" s="1"/>
  <c r="B232" i="62"/>
  <c r="D231" i="62"/>
  <c r="E231" i="62" s="1"/>
  <c r="F231" i="62" s="1"/>
  <c r="G231" i="62" s="1"/>
  <c r="H231" i="62" s="1"/>
  <c r="B231" i="62"/>
  <c r="D230" i="62"/>
  <c r="B230" i="62"/>
  <c r="E229" i="62"/>
  <c r="F229" i="62" s="1"/>
  <c r="D229" i="62"/>
  <c r="B229" i="62"/>
  <c r="AG227" i="62"/>
  <c r="AF227" i="62"/>
  <c r="AE227" i="62"/>
  <c r="AD227" i="62"/>
  <c r="AC227" i="62"/>
  <c r="AB227" i="62"/>
  <c r="AA227" i="62"/>
  <c r="Z227" i="62"/>
  <c r="Y227" i="62"/>
  <c r="X227" i="62"/>
  <c r="W227" i="62"/>
  <c r="V227" i="62"/>
  <c r="U227" i="62"/>
  <c r="T227" i="62"/>
  <c r="S227" i="62"/>
  <c r="R227" i="62"/>
  <c r="Q227" i="62"/>
  <c r="P227" i="62"/>
  <c r="O227" i="62"/>
  <c r="N227" i="62"/>
  <c r="M227" i="62"/>
  <c r="L227" i="62"/>
  <c r="K227" i="62"/>
  <c r="J227" i="62"/>
  <c r="I227" i="62"/>
  <c r="H227" i="62"/>
  <c r="G227" i="62"/>
  <c r="F227" i="62"/>
  <c r="E227" i="62"/>
  <c r="D227" i="62"/>
  <c r="C227" i="62"/>
  <c r="B227" i="62"/>
  <c r="AI120" i="62"/>
  <c r="AH120" i="62"/>
  <c r="AI119" i="62"/>
  <c r="AH119" i="62"/>
  <c r="AI118" i="62"/>
  <c r="AH118" i="62"/>
  <c r="AI117" i="62"/>
  <c r="AH117" i="62"/>
  <c r="AI116" i="62"/>
  <c r="AH116" i="62"/>
  <c r="AI115" i="62"/>
  <c r="AH115" i="62"/>
  <c r="AI114" i="62"/>
  <c r="AH114" i="62"/>
  <c r="AI112" i="62"/>
  <c r="AH112" i="62"/>
  <c r="AI111" i="62"/>
  <c r="AH111" i="62"/>
  <c r="AF110" i="62"/>
  <c r="AE110" i="62"/>
  <c r="AC110" i="62"/>
  <c r="AB110" i="62"/>
  <c r="AA110" i="62"/>
  <c r="Z110" i="62"/>
  <c r="Y110" i="62"/>
  <c r="X110" i="62"/>
  <c r="W110" i="62"/>
  <c r="V110" i="62"/>
  <c r="U110" i="62"/>
  <c r="T110" i="62"/>
  <c r="S110" i="62"/>
  <c r="R110" i="62"/>
  <c r="Q110" i="62"/>
  <c r="C110" i="62"/>
  <c r="AI109" i="62"/>
  <c r="AH109" i="62"/>
  <c r="AI108" i="62"/>
  <c r="AH108" i="62"/>
  <c r="AI107" i="62"/>
  <c r="AH107" i="62"/>
  <c r="AI106" i="62"/>
  <c r="AH106" i="62"/>
  <c r="AI105" i="62"/>
  <c r="AH105" i="62"/>
  <c r="AI104" i="62"/>
  <c r="AH104" i="62"/>
  <c r="AI103" i="62"/>
  <c r="AH103" i="62"/>
  <c r="AI102" i="62"/>
  <c r="AH102" i="62"/>
  <c r="AI101" i="62"/>
  <c r="AH101" i="62"/>
  <c r="AI99" i="62"/>
  <c r="AH99" i="62"/>
  <c r="AI98" i="62"/>
  <c r="AH98" i="62"/>
  <c r="AI97" i="62"/>
  <c r="AH97" i="62"/>
  <c r="AI96" i="62"/>
  <c r="AH96" i="62"/>
  <c r="AI95" i="62"/>
  <c r="AH95" i="62"/>
  <c r="AI94" i="62"/>
  <c r="AH94" i="62"/>
  <c r="AI93" i="62"/>
  <c r="AH93" i="62"/>
  <c r="AI90" i="62"/>
  <c r="AH90" i="62"/>
  <c r="AI88" i="62"/>
  <c r="AH88" i="62"/>
  <c r="AG88" i="62"/>
  <c r="AG91" i="62" s="1"/>
  <c r="AI87" i="62"/>
  <c r="AH87" i="62"/>
  <c r="AI86" i="62"/>
  <c r="AH86" i="62"/>
  <c r="AI85" i="62"/>
  <c r="AH85" i="62"/>
  <c r="AN84" i="62"/>
  <c r="AG84" i="62"/>
  <c r="AF84" i="62"/>
  <c r="AE84" i="62"/>
  <c r="AE100" i="62" s="1"/>
  <c r="AD84" i="62"/>
  <c r="AD100" i="62" s="1"/>
  <c r="AC84" i="62"/>
  <c r="AC100" i="62" s="1"/>
  <c r="AB84" i="62"/>
  <c r="AB100" i="62" s="1"/>
  <c r="AA84" i="62"/>
  <c r="Z84" i="62"/>
  <c r="Z100" i="62" s="1"/>
  <c r="Y84" i="62"/>
  <c r="Y100" i="62" s="1"/>
  <c r="X84" i="62"/>
  <c r="W84" i="62"/>
  <c r="V5" i="62" s="1"/>
  <c r="V84" i="62"/>
  <c r="V100" i="62" s="1"/>
  <c r="U84" i="62"/>
  <c r="U100" i="62" s="1"/>
  <c r="T84" i="62"/>
  <c r="S5" i="62" s="1"/>
  <c r="S84" i="62"/>
  <c r="R84" i="62"/>
  <c r="R100" i="62" s="1"/>
  <c r="Q84" i="62"/>
  <c r="Q100" i="62" s="1"/>
  <c r="P84" i="62"/>
  <c r="P100" i="62" s="1"/>
  <c r="O84" i="62"/>
  <c r="O100" i="62" s="1"/>
  <c r="N84" i="62"/>
  <c r="N100" i="62" s="1"/>
  <c r="M84" i="62"/>
  <c r="L5" i="62" s="1"/>
  <c r="L84" i="62"/>
  <c r="K5" i="62" s="1"/>
  <c r="K84" i="62"/>
  <c r="J84" i="62"/>
  <c r="J100" i="62" s="1"/>
  <c r="I84" i="62"/>
  <c r="H84" i="62"/>
  <c r="H100" i="62" s="1"/>
  <c r="G84" i="62"/>
  <c r="F5" i="62" s="1"/>
  <c r="F84" i="62"/>
  <c r="F100" i="62" s="1"/>
  <c r="E84" i="62"/>
  <c r="D5" i="62" s="1"/>
  <c r="D84" i="62"/>
  <c r="C5" i="62" s="1"/>
  <c r="C84" i="62"/>
  <c r="C89" i="62" s="1"/>
  <c r="C91" i="62" s="1"/>
  <c r="AI83" i="62"/>
  <c r="AH83" i="62"/>
  <c r="AN82" i="62"/>
  <c r="AI82" i="62"/>
  <c r="AH82" i="62"/>
  <c r="AN81" i="62"/>
  <c r="AN83" i="62" s="1"/>
  <c r="AI81" i="62"/>
  <c r="AH81" i="62"/>
  <c r="AI80" i="62"/>
  <c r="AH80" i="62"/>
  <c r="AI79" i="62"/>
  <c r="AH79" i="62"/>
  <c r="AI78" i="62"/>
  <c r="AH78" i="62"/>
  <c r="AI77" i="62"/>
  <c r="AH77" i="62"/>
  <c r="AI76" i="62"/>
  <c r="AH76" i="62"/>
  <c r="AI75" i="62"/>
  <c r="AH75" i="62"/>
  <c r="AI74" i="62"/>
  <c r="AH74" i="62"/>
  <c r="AI73" i="62"/>
  <c r="AH73" i="62"/>
  <c r="AG72" i="62"/>
  <c r="AG89" i="62" s="1"/>
  <c r="AF72" i="62"/>
  <c r="AE72" i="62"/>
  <c r="AD72" i="62"/>
  <c r="AC72" i="62"/>
  <c r="AB72" i="62"/>
  <c r="AA72" i="62"/>
  <c r="Z72" i="62"/>
  <c r="Y72" i="62"/>
  <c r="X72" i="62"/>
  <c r="W72" i="62"/>
  <c r="V72" i="62"/>
  <c r="U72" i="62"/>
  <c r="T72" i="62"/>
  <c r="S72" i="62"/>
  <c r="R72" i="62"/>
  <c r="Q72" i="62"/>
  <c r="P72" i="62"/>
  <c r="O72" i="62"/>
  <c r="N72" i="62"/>
  <c r="M72" i="62"/>
  <c r="L72" i="62"/>
  <c r="AI71" i="62"/>
  <c r="AH71" i="62"/>
  <c r="AI70" i="62"/>
  <c r="AH70" i="62"/>
  <c r="AI69" i="62"/>
  <c r="AH69" i="62"/>
  <c r="AF68" i="62"/>
  <c r="AE68" i="62"/>
  <c r="AD68" i="62"/>
  <c r="AC68" i="62"/>
  <c r="AB68" i="62"/>
  <c r="AA68" i="62"/>
  <c r="Z68" i="62"/>
  <c r="Y68" i="62"/>
  <c r="X68" i="62"/>
  <c r="W68" i="62"/>
  <c r="V68" i="62"/>
  <c r="U68" i="62"/>
  <c r="T68" i="62"/>
  <c r="S68" i="62"/>
  <c r="R68" i="62"/>
  <c r="Q68" i="62"/>
  <c r="P68" i="62"/>
  <c r="O68" i="62"/>
  <c r="N68" i="62"/>
  <c r="M68" i="62"/>
  <c r="L68" i="62"/>
  <c r="K68" i="62"/>
  <c r="J68" i="62"/>
  <c r="I68" i="62"/>
  <c r="H68" i="62"/>
  <c r="G68" i="62"/>
  <c r="F68" i="62"/>
  <c r="E68" i="62"/>
  <c r="D68" i="62"/>
  <c r="C68" i="62"/>
  <c r="AI67" i="62"/>
  <c r="AH67" i="62"/>
  <c r="AG67" i="62"/>
  <c r="AG68" i="62" s="1"/>
  <c r="AG3" i="62" s="1"/>
  <c r="AG6" i="62" s="1"/>
  <c r="AI66" i="62"/>
  <c r="AH66" i="62"/>
  <c r="AI65" i="62"/>
  <c r="AH65" i="62"/>
  <c r="AI64" i="62"/>
  <c r="AH64" i="62"/>
  <c r="AI63" i="62"/>
  <c r="AH63" i="62"/>
  <c r="AI62" i="62"/>
  <c r="AH62" i="62"/>
  <c r="AI61" i="62"/>
  <c r="AH61" i="62"/>
  <c r="AI60" i="62"/>
  <c r="AH60" i="62"/>
  <c r="AI59" i="62"/>
  <c r="AH59" i="62"/>
  <c r="AI58" i="62"/>
  <c r="AH58" i="62"/>
  <c r="AI57" i="62"/>
  <c r="AH57" i="62"/>
  <c r="AI56" i="62"/>
  <c r="AH56" i="62"/>
  <c r="AI55" i="62"/>
  <c r="AH55" i="62"/>
  <c r="AG54" i="62"/>
  <c r="AF54" i="62"/>
  <c r="AE54" i="62"/>
  <c r="AD54" i="62"/>
  <c r="AC54" i="62"/>
  <c r="AB54" i="62"/>
  <c r="AA54" i="62"/>
  <c r="Z54" i="62"/>
  <c r="Y54" i="62"/>
  <c r="X54" i="62"/>
  <c r="W54" i="62"/>
  <c r="V54" i="62"/>
  <c r="U54" i="62"/>
  <c r="T54" i="62"/>
  <c r="S54" i="62"/>
  <c r="R54" i="62"/>
  <c r="Q54" i="62"/>
  <c r="P54" i="62"/>
  <c r="O54" i="62"/>
  <c r="N54" i="62"/>
  <c r="M54" i="62"/>
  <c r="L54" i="62"/>
  <c r="K54" i="62"/>
  <c r="J54" i="62"/>
  <c r="I54" i="62"/>
  <c r="H54" i="62"/>
  <c r="G54" i="62"/>
  <c r="F54" i="62"/>
  <c r="E54" i="62"/>
  <c r="D54" i="62"/>
  <c r="AI53" i="62"/>
  <c r="AH53" i="62"/>
  <c r="AI52" i="62"/>
  <c r="AH52" i="62"/>
  <c r="AI51" i="62"/>
  <c r="AH51" i="62"/>
  <c r="AG50" i="62"/>
  <c r="AE50" i="62"/>
  <c r="AD50" i="62"/>
  <c r="AC50" i="62"/>
  <c r="AB50" i="62"/>
  <c r="AA50" i="62"/>
  <c r="Z50" i="62"/>
  <c r="Y50" i="62"/>
  <c r="X50" i="62"/>
  <c r="W50" i="62"/>
  <c r="V50" i="62"/>
  <c r="U50" i="62"/>
  <c r="T50" i="62"/>
  <c r="S50" i="62"/>
  <c r="R50" i="62"/>
  <c r="Q50" i="62"/>
  <c r="P50" i="62"/>
  <c r="O50" i="62"/>
  <c r="N50" i="62"/>
  <c r="M50" i="62"/>
  <c r="L50" i="62"/>
  <c r="K50" i="62"/>
  <c r="J50" i="62"/>
  <c r="I50" i="62"/>
  <c r="H50" i="62"/>
  <c r="G50" i="62"/>
  <c r="F50" i="62"/>
  <c r="E50" i="62"/>
  <c r="D50" i="62"/>
  <c r="AI49" i="62"/>
  <c r="AH49" i="62"/>
  <c r="AI48" i="62"/>
  <c r="AH48" i="62"/>
  <c r="AI47" i="62"/>
  <c r="AH47" i="62"/>
  <c r="AI46" i="62"/>
  <c r="AH46" i="62"/>
  <c r="AI45" i="62"/>
  <c r="AH45" i="62"/>
  <c r="AI44" i="62"/>
  <c r="AH44" i="62"/>
  <c r="AI43" i="62"/>
  <c r="AH43" i="62"/>
  <c r="AI42" i="62"/>
  <c r="AH42" i="62"/>
  <c r="AI41" i="62"/>
  <c r="AH41" i="62"/>
  <c r="AI40" i="62"/>
  <c r="AH40" i="62"/>
  <c r="AI39" i="62"/>
  <c r="AH39" i="62"/>
  <c r="AI38" i="62"/>
  <c r="AH38" i="62"/>
  <c r="AI37" i="62"/>
  <c r="AH37" i="62"/>
  <c r="AI36" i="62"/>
  <c r="AH36" i="62"/>
  <c r="AI35" i="62"/>
  <c r="AH35" i="62"/>
  <c r="AI34" i="62"/>
  <c r="AH34" i="62"/>
  <c r="AI33" i="62"/>
  <c r="AH33" i="62"/>
  <c r="AI32" i="62"/>
  <c r="AH32" i="62"/>
  <c r="AI31" i="62"/>
  <c r="AH31" i="62"/>
  <c r="AI30" i="62"/>
  <c r="AH30" i="62"/>
  <c r="AI29" i="62"/>
  <c r="AH29" i="62"/>
  <c r="AI28" i="62"/>
  <c r="AH28" i="62"/>
  <c r="AI27" i="62"/>
  <c r="AH27" i="62"/>
  <c r="AI26" i="62"/>
  <c r="AH26" i="62"/>
  <c r="AI25" i="62"/>
  <c r="AH25" i="62"/>
  <c r="AI24" i="62"/>
  <c r="AH24" i="62"/>
  <c r="AI23" i="62"/>
  <c r="AH23" i="62"/>
  <c r="AI22" i="62"/>
  <c r="AH22" i="62"/>
  <c r="AI21" i="62"/>
  <c r="AH21" i="62"/>
  <c r="AI20" i="62"/>
  <c r="AH20" i="62"/>
  <c r="AI19" i="62"/>
  <c r="AH19" i="62"/>
  <c r="AI18" i="62"/>
  <c r="AH18" i="62"/>
  <c r="AI17" i="62"/>
  <c r="AH17" i="62"/>
  <c r="AI16" i="62"/>
  <c r="AH16" i="62"/>
  <c r="AI15" i="62"/>
  <c r="AH15" i="62"/>
  <c r="AI14" i="62"/>
  <c r="AH14" i="62"/>
  <c r="AI13" i="62"/>
  <c r="AH13" i="62"/>
  <c r="AI12" i="62"/>
  <c r="AH12" i="62"/>
  <c r="AI11" i="62"/>
  <c r="AH11" i="62"/>
  <c r="AF5" i="62"/>
  <c r="Y5" i="62"/>
  <c r="O5" i="62"/>
  <c r="I5" i="62"/>
  <c r="AG4" i="62"/>
  <c r="K4" i="62"/>
  <c r="E4" i="62"/>
  <c r="H4" i="62" s="1"/>
  <c r="B4" i="62"/>
  <c r="S246" i="62" s="1"/>
  <c r="AG2" i="62"/>
  <c r="AC50" i="61"/>
  <c r="AC54" i="61"/>
  <c r="AB113" i="61"/>
  <c r="X113" i="61"/>
  <c r="U113" i="61"/>
  <c r="AD5" i="63" l="1"/>
  <c r="AE89" i="63"/>
  <c r="AE91" i="63" s="1"/>
  <c r="AW249" i="63" s="1"/>
  <c r="AC5" i="63"/>
  <c r="AA5" i="63"/>
  <c r="AB89" i="63"/>
  <c r="AB91" i="63" s="1"/>
  <c r="AT249" i="63" s="1"/>
  <c r="Z89" i="63"/>
  <c r="Z91" i="63" s="1"/>
  <c r="AR249" i="63" s="1"/>
  <c r="Y89" i="63"/>
  <c r="Y91" i="63" s="1"/>
  <c r="Y92" i="63" s="1"/>
  <c r="X5" i="63"/>
  <c r="B235" i="63"/>
  <c r="AG6" i="63"/>
  <c r="AA89" i="63"/>
  <c r="AA91" i="63" s="1"/>
  <c r="AS249" i="63" s="1"/>
  <c r="AD89" i="63"/>
  <c r="AD91" i="63" s="1"/>
  <c r="AD92" i="63" s="1"/>
  <c r="AG91" i="63"/>
  <c r="F89" i="63"/>
  <c r="F91" i="63" s="1"/>
  <c r="X249" i="63" s="1"/>
  <c r="AF89" i="63"/>
  <c r="AF91" i="63" s="1"/>
  <c r="AF7" i="63" s="1"/>
  <c r="D110" i="63"/>
  <c r="B110" i="63"/>
  <c r="AG89" i="63"/>
  <c r="X89" i="63"/>
  <c r="X91" i="63" s="1"/>
  <c r="AP249" i="63" s="1"/>
  <c r="V5" i="63"/>
  <c r="W89" i="63"/>
  <c r="W91" i="63" s="1"/>
  <c r="W7" i="63" s="1"/>
  <c r="U5" i="63"/>
  <c r="V89" i="63"/>
  <c r="V91" i="63" s="1"/>
  <c r="V7" i="63" s="1"/>
  <c r="T5" i="63"/>
  <c r="U89" i="63"/>
  <c r="U91" i="63" s="1"/>
  <c r="U92" i="63" s="1"/>
  <c r="S5" i="63"/>
  <c r="T89" i="63"/>
  <c r="T91" i="63" s="1"/>
  <c r="AL249" i="63" s="1"/>
  <c r="S89" i="63"/>
  <c r="S91" i="63" s="1"/>
  <c r="AK249" i="63" s="1"/>
  <c r="R100" i="63"/>
  <c r="P5" i="63"/>
  <c r="R89" i="63"/>
  <c r="R91" i="63" s="1"/>
  <c r="R7" i="63" s="1"/>
  <c r="Q89" i="63"/>
  <c r="Q91" i="63" s="1"/>
  <c r="Q7" i="63" s="1"/>
  <c r="P89" i="63"/>
  <c r="P91" i="63" s="1"/>
  <c r="P92" i="63" s="1"/>
  <c r="O100" i="63"/>
  <c r="O89" i="63"/>
  <c r="O91" i="63" s="1"/>
  <c r="AG249" i="63" s="1"/>
  <c r="N89" i="63"/>
  <c r="N91" i="63" s="1"/>
  <c r="N7" i="63" s="1"/>
  <c r="L5" i="63"/>
  <c r="M89" i="63"/>
  <c r="M91" i="63" s="1"/>
  <c r="M92" i="63" s="1"/>
  <c r="K5" i="63"/>
  <c r="L89" i="63"/>
  <c r="L91" i="63" s="1"/>
  <c r="L7" i="63" s="1"/>
  <c r="K89" i="63"/>
  <c r="K91" i="63" s="1"/>
  <c r="K7" i="63" s="1"/>
  <c r="J100" i="63"/>
  <c r="J89" i="63"/>
  <c r="J91" i="63" s="1"/>
  <c r="J7" i="63" s="1"/>
  <c r="H5" i="63"/>
  <c r="I89" i="63"/>
  <c r="I91" i="63" s="1"/>
  <c r="I92" i="63" s="1"/>
  <c r="H89" i="63"/>
  <c r="H91" i="63" s="1"/>
  <c r="H7" i="63" s="1"/>
  <c r="F5" i="63"/>
  <c r="G89" i="63"/>
  <c r="G91" i="63" s="1"/>
  <c r="G7" i="63" s="1"/>
  <c r="AI68" i="63"/>
  <c r="D5" i="63"/>
  <c r="E89" i="63"/>
  <c r="E91" i="63" s="1"/>
  <c r="W249" i="63" s="1"/>
  <c r="AI54" i="63"/>
  <c r="C5" i="63"/>
  <c r="D89" i="63"/>
  <c r="D91" i="63" s="1"/>
  <c r="D92" i="63" s="1"/>
  <c r="C89" i="63"/>
  <c r="C91" i="63" s="1"/>
  <c r="U249" i="63" s="1"/>
  <c r="AH84" i="63"/>
  <c r="AI113" i="63"/>
  <c r="B89" i="63"/>
  <c r="B91" i="63" s="1"/>
  <c r="B92" i="63" s="1"/>
  <c r="AH72" i="63"/>
  <c r="AF5" i="63"/>
  <c r="B100" i="63"/>
  <c r="D246" i="63"/>
  <c r="G229" i="63"/>
  <c r="AC92" i="63"/>
  <c r="AU249" i="63"/>
  <c r="AC7" i="63"/>
  <c r="J232" i="63"/>
  <c r="K232" i="63" s="1"/>
  <c r="L232" i="63" s="1"/>
  <c r="M232" i="63" s="1"/>
  <c r="N232" i="63" s="1"/>
  <c r="O232" i="63" s="1"/>
  <c r="P232" i="63" s="1"/>
  <c r="AH68" i="63"/>
  <c r="AI72" i="63"/>
  <c r="G5" i="63"/>
  <c r="O5" i="63"/>
  <c r="W5" i="63"/>
  <c r="AE5" i="63"/>
  <c r="E230" i="63"/>
  <c r="E234" i="63"/>
  <c r="AH54" i="63"/>
  <c r="AI84" i="63"/>
  <c r="B5" i="63"/>
  <c r="J5" i="63"/>
  <c r="R5" i="63"/>
  <c r="Z5" i="63"/>
  <c r="AF89" i="62"/>
  <c r="AF91" i="62" s="1"/>
  <c r="AD5" i="62"/>
  <c r="AE89" i="62"/>
  <c r="AE91" i="62" s="1"/>
  <c r="AD89" i="62"/>
  <c r="AD91" i="62" s="1"/>
  <c r="AB5" i="62"/>
  <c r="AC89" i="62"/>
  <c r="AC91" i="62" s="1"/>
  <c r="AA5" i="62"/>
  <c r="AB89" i="62"/>
  <c r="AB91" i="62" s="1"/>
  <c r="AB7" i="62" s="1"/>
  <c r="AA89" i="62"/>
  <c r="AA91" i="62" s="1"/>
  <c r="Y89" i="62"/>
  <c r="Y91" i="62" s="1"/>
  <c r="Y92" i="62" s="1"/>
  <c r="X89" i="62"/>
  <c r="X91" i="62" s="1"/>
  <c r="W100" i="62"/>
  <c r="W89" i="62"/>
  <c r="W91" i="62" s="1"/>
  <c r="V89" i="62"/>
  <c r="V91" i="62" s="1"/>
  <c r="V92" i="62" s="1"/>
  <c r="T5" i="62"/>
  <c r="U89" i="62"/>
  <c r="U91" i="62" s="1"/>
  <c r="T89" i="62"/>
  <c r="T91" i="62" s="1"/>
  <c r="T7" i="62" s="1"/>
  <c r="S89" i="62"/>
  <c r="S91" i="62" s="1"/>
  <c r="Q5" i="62"/>
  <c r="Q89" i="62"/>
  <c r="Q91" i="62" s="1"/>
  <c r="Q92" i="62" s="1"/>
  <c r="P89" i="62"/>
  <c r="P91" i="62" s="1"/>
  <c r="O89" i="62"/>
  <c r="O91" i="62" s="1"/>
  <c r="N5" i="62"/>
  <c r="N89" i="62"/>
  <c r="N91" i="62" s="1"/>
  <c r="N92" i="62" s="1"/>
  <c r="M89" i="62"/>
  <c r="M91" i="62" s="1"/>
  <c r="M92" i="62" s="1"/>
  <c r="L89" i="62"/>
  <c r="L91" i="62" s="1"/>
  <c r="L7" i="62" s="1"/>
  <c r="K89" i="62"/>
  <c r="K91" i="62" s="1"/>
  <c r="K92" i="62" s="1"/>
  <c r="AI113" i="62"/>
  <c r="I89" i="62"/>
  <c r="I91" i="62" s="1"/>
  <c r="I92" i="62" s="1"/>
  <c r="G5" i="62"/>
  <c r="G100" i="62"/>
  <c r="G89" i="62"/>
  <c r="G91" i="62" s="1"/>
  <c r="Y249" i="62" s="1"/>
  <c r="H89" i="62"/>
  <c r="H91" i="62" s="1"/>
  <c r="Z249" i="62" s="1"/>
  <c r="F89" i="62"/>
  <c r="F91" i="62" s="1"/>
  <c r="F7" i="62" s="1"/>
  <c r="AH113" i="62"/>
  <c r="AI54" i="62"/>
  <c r="E89" i="62"/>
  <c r="E91" i="62" s="1"/>
  <c r="E7" i="62" s="1"/>
  <c r="D89" i="62"/>
  <c r="D91" i="62" s="1"/>
  <c r="D7" i="62" s="1"/>
  <c r="D246" i="62"/>
  <c r="P7" i="62"/>
  <c r="P92" i="62"/>
  <c r="AH249" i="62"/>
  <c r="X7" i="62"/>
  <c r="X92" i="62"/>
  <c r="AP249" i="62"/>
  <c r="AF7" i="62"/>
  <c r="AF92" i="62"/>
  <c r="AX249" i="62"/>
  <c r="S7" i="62"/>
  <c r="S92" i="62"/>
  <c r="AK249" i="62"/>
  <c r="C7" i="62"/>
  <c r="C92" i="62"/>
  <c r="U249" i="62"/>
  <c r="K7" i="62"/>
  <c r="AA7" i="62"/>
  <c r="AA92" i="62"/>
  <c r="AS249" i="62"/>
  <c r="J232" i="62"/>
  <c r="K232" i="62" s="1"/>
  <c r="L232" i="62" s="1"/>
  <c r="M232" i="62" s="1"/>
  <c r="N232" i="62" s="1"/>
  <c r="O232" i="62" s="1"/>
  <c r="P232" i="62" s="1"/>
  <c r="AG249" i="62"/>
  <c r="O92" i="62"/>
  <c r="O7" i="62"/>
  <c r="AO249" i="62"/>
  <c r="W92" i="62"/>
  <c r="W7" i="62"/>
  <c r="AW249" i="62"/>
  <c r="AE92" i="62"/>
  <c r="AE7" i="62"/>
  <c r="AH72" i="62"/>
  <c r="AH68" i="62"/>
  <c r="J5" i="62"/>
  <c r="K100" i="62"/>
  <c r="R5" i="62"/>
  <c r="S100" i="62"/>
  <c r="Z5" i="62"/>
  <c r="AA100" i="62"/>
  <c r="AB92" i="62"/>
  <c r="AT249" i="62"/>
  <c r="C270" i="62"/>
  <c r="E234" i="62"/>
  <c r="AH84" i="62"/>
  <c r="AI84" i="62"/>
  <c r="B5" i="62"/>
  <c r="C100" i="62"/>
  <c r="AI68" i="62"/>
  <c r="D235" i="62"/>
  <c r="E230" i="62"/>
  <c r="AF249" i="62"/>
  <c r="N7" i="62"/>
  <c r="AN249" i="62"/>
  <c r="V7" i="62"/>
  <c r="AV249" i="62"/>
  <c r="AD7" i="62"/>
  <c r="AD92" i="62"/>
  <c r="E92" i="62"/>
  <c r="U92" i="62"/>
  <c r="AM249" i="62"/>
  <c r="U7" i="62"/>
  <c r="AC92" i="62"/>
  <c r="AU249" i="62"/>
  <c r="AC7" i="62"/>
  <c r="AH54" i="62"/>
  <c r="Q7" i="62"/>
  <c r="AI249" i="62"/>
  <c r="Y7" i="62"/>
  <c r="AQ249" i="62"/>
  <c r="X100" i="62"/>
  <c r="W5" i="62"/>
  <c r="AF100" i="62"/>
  <c r="AE5" i="62"/>
  <c r="AI50" i="62"/>
  <c r="J89" i="62"/>
  <c r="J91" i="62" s="1"/>
  <c r="R89" i="62"/>
  <c r="R91" i="62" s="1"/>
  <c r="Z89" i="62"/>
  <c r="Z91" i="62" s="1"/>
  <c r="AH50" i="62"/>
  <c r="AI72" i="62"/>
  <c r="T92" i="62"/>
  <c r="AL249" i="62"/>
  <c r="G229" i="62"/>
  <c r="H5" i="62"/>
  <c r="P5" i="62"/>
  <c r="X5" i="62"/>
  <c r="I100" i="62"/>
  <c r="D100" i="62"/>
  <c r="L100" i="62"/>
  <c r="T100" i="62"/>
  <c r="B235" i="62"/>
  <c r="E100" i="62"/>
  <c r="M100" i="62"/>
  <c r="E5" i="62"/>
  <c r="M5" i="62"/>
  <c r="U5" i="62"/>
  <c r="AC5" i="62"/>
  <c r="AE92" i="63" l="1"/>
  <c r="AE7" i="63"/>
  <c r="AD7" i="63"/>
  <c r="AV249" i="63"/>
  <c r="AB92" i="63"/>
  <c r="AB7" i="63"/>
  <c r="AF249" i="63"/>
  <c r="AH249" i="63"/>
  <c r="P7" i="63"/>
  <c r="Z92" i="63"/>
  <c r="Z7" i="63"/>
  <c r="AQ249" i="63"/>
  <c r="Y7" i="63"/>
  <c r="O92" i="63"/>
  <c r="F7" i="63"/>
  <c r="AI100" i="63"/>
  <c r="AX249" i="63"/>
  <c r="AA92" i="63"/>
  <c r="AA7" i="63"/>
  <c r="O7" i="63"/>
  <c r="F92" i="63"/>
  <c r="AF92" i="63"/>
  <c r="N92" i="63"/>
  <c r="C7" i="63"/>
  <c r="X92" i="63"/>
  <c r="X7" i="63"/>
  <c r="W92" i="63"/>
  <c r="AO249" i="63"/>
  <c r="V92" i="63"/>
  <c r="AN249" i="63"/>
  <c r="U7" i="63"/>
  <c r="AM249" i="63"/>
  <c r="T92" i="63"/>
  <c r="T7" i="63"/>
  <c r="S92" i="63"/>
  <c r="S7" i="63"/>
  <c r="AJ249" i="63"/>
  <c r="R92" i="63"/>
  <c r="AI249" i="63"/>
  <c r="Q92" i="63"/>
  <c r="AE249" i="63"/>
  <c r="M7" i="63"/>
  <c r="AD249" i="63"/>
  <c r="L92" i="63"/>
  <c r="AC249" i="63"/>
  <c r="K92" i="63"/>
  <c r="AH100" i="63"/>
  <c r="AB249" i="63"/>
  <c r="J92" i="63"/>
  <c r="AA249" i="63"/>
  <c r="I7" i="63"/>
  <c r="H92" i="63"/>
  <c r="Z249" i="63"/>
  <c r="C244" i="63"/>
  <c r="Y249" i="63"/>
  <c r="B244" i="63"/>
  <c r="G92" i="63"/>
  <c r="E7" i="63"/>
  <c r="E92" i="63"/>
  <c r="D7" i="63"/>
  <c r="V249" i="63"/>
  <c r="C92" i="63"/>
  <c r="AI89" i="63"/>
  <c r="AH89" i="63"/>
  <c r="D270" i="63"/>
  <c r="F234" i="63"/>
  <c r="F230" i="63"/>
  <c r="E235" i="63"/>
  <c r="E110" i="63"/>
  <c r="H229" i="63"/>
  <c r="B7" i="63"/>
  <c r="AI91" i="63"/>
  <c r="T249" i="63"/>
  <c r="AH91" i="63"/>
  <c r="AC249" i="62"/>
  <c r="AA249" i="62"/>
  <c r="X249" i="62"/>
  <c r="AE249" i="62"/>
  <c r="M7" i="62"/>
  <c r="AD249" i="62"/>
  <c r="L92" i="62"/>
  <c r="I7" i="62"/>
  <c r="G7" i="62"/>
  <c r="G92" i="62"/>
  <c r="H92" i="62"/>
  <c r="H7" i="62"/>
  <c r="F92" i="62"/>
  <c r="AH100" i="62"/>
  <c r="W249" i="62"/>
  <c r="V249" i="62"/>
  <c r="D92" i="62"/>
  <c r="AI100" i="62"/>
  <c r="H229" i="62"/>
  <c r="Z7" i="62"/>
  <c r="Z92" i="62"/>
  <c r="AR249" i="62"/>
  <c r="R7" i="62"/>
  <c r="R92" i="62"/>
  <c r="AJ249" i="62"/>
  <c r="J7" i="62"/>
  <c r="J92" i="62"/>
  <c r="AB249" i="62"/>
  <c r="B244" i="62"/>
  <c r="AI89" i="62"/>
  <c r="AH89" i="62"/>
  <c r="D270" i="62"/>
  <c r="F234" i="62"/>
  <c r="E110" i="62"/>
  <c r="C244" i="62"/>
  <c r="F230" i="62"/>
  <c r="E235" i="62"/>
  <c r="A7" i="63" l="1"/>
  <c r="K6" i="63"/>
  <c r="I229" i="63"/>
  <c r="G230" i="63"/>
  <c r="F235" i="63"/>
  <c r="AI92" i="63"/>
  <c r="AH92" i="63"/>
  <c r="E270" i="63"/>
  <c r="G234" i="63"/>
  <c r="F110" i="63"/>
  <c r="G230" i="62"/>
  <c r="F235" i="62"/>
  <c r="K6" i="62"/>
  <c r="E270" i="62"/>
  <c r="G234" i="62"/>
  <c r="F110" i="62"/>
  <c r="B7" i="62"/>
  <c r="A7" i="62" s="1"/>
  <c r="T249" i="62"/>
  <c r="AH91" i="62"/>
  <c r="AI91" i="62"/>
  <c r="I229" i="62"/>
  <c r="H230" i="63" l="1"/>
  <c r="G235" i="63"/>
  <c r="F270" i="63"/>
  <c r="H234" i="63"/>
  <c r="G110" i="63"/>
  <c r="J229" i="63"/>
  <c r="AI92" i="62"/>
  <c r="AH92" i="62"/>
  <c r="J229" i="62"/>
  <c r="F270" i="62"/>
  <c r="H234" i="62"/>
  <c r="G110" i="62"/>
  <c r="H230" i="62"/>
  <c r="G235" i="62"/>
  <c r="I230" i="63" l="1"/>
  <c r="H235" i="63"/>
  <c r="G270" i="63"/>
  <c r="I234" i="63"/>
  <c r="H110" i="63"/>
  <c r="K229" i="63"/>
  <c r="K229" i="62"/>
  <c r="I230" i="62"/>
  <c r="H235" i="62"/>
  <c r="G270" i="62"/>
  <c r="I234" i="62"/>
  <c r="H110" i="62"/>
  <c r="H270" i="63" l="1"/>
  <c r="J234" i="63"/>
  <c r="I110" i="63"/>
  <c r="J230" i="63"/>
  <c r="L229" i="63"/>
  <c r="H270" i="62"/>
  <c r="J234" i="62"/>
  <c r="I110" i="62"/>
  <c r="J230" i="62"/>
  <c r="L229" i="62"/>
  <c r="K230" i="63" l="1"/>
  <c r="K234" i="63"/>
  <c r="I270" i="63"/>
  <c r="J110" i="63"/>
  <c r="M229" i="63"/>
  <c r="K230" i="62"/>
  <c r="K234" i="62"/>
  <c r="I270" i="62"/>
  <c r="J110" i="62"/>
  <c r="M229" i="62"/>
  <c r="N229" i="63" l="1"/>
  <c r="J270" i="63"/>
  <c r="L234" i="63"/>
  <c r="K110" i="63"/>
  <c r="L230" i="63"/>
  <c r="N229" i="62"/>
  <c r="J270" i="62"/>
  <c r="L234" i="62"/>
  <c r="K110" i="62"/>
  <c r="L230" i="62"/>
  <c r="M230" i="63" l="1"/>
  <c r="K270" i="63"/>
  <c r="M234" i="63"/>
  <c r="L110" i="63"/>
  <c r="O229" i="63"/>
  <c r="M230" i="62"/>
  <c r="K270" i="62"/>
  <c r="M234" i="62"/>
  <c r="L110" i="62"/>
  <c r="O229" i="62"/>
  <c r="P229" i="63" l="1"/>
  <c r="L270" i="63"/>
  <c r="N234" i="63"/>
  <c r="M110" i="63"/>
  <c r="N230" i="63"/>
  <c r="P229" i="62"/>
  <c r="L270" i="62"/>
  <c r="N234" i="62"/>
  <c r="M110" i="62"/>
  <c r="N230" i="62"/>
  <c r="O230" i="63" l="1"/>
  <c r="M270" i="63"/>
  <c r="O234" i="63"/>
  <c r="N110" i="63"/>
  <c r="O230" i="62"/>
  <c r="M270" i="62"/>
  <c r="O234" i="62"/>
  <c r="N110" i="62"/>
  <c r="N270" i="63" l="1"/>
  <c r="P234" i="63"/>
  <c r="O270" i="63" s="1"/>
  <c r="O110" i="63"/>
  <c r="P230" i="63"/>
  <c r="N270" i="62"/>
  <c r="P234" i="62"/>
  <c r="O270" i="62" s="1"/>
  <c r="O110" i="62"/>
  <c r="P230" i="62"/>
  <c r="AI110" i="63" l="1"/>
  <c r="AH110" i="63"/>
  <c r="AI110" i="62"/>
  <c r="AH110" i="62"/>
  <c r="AF274" i="61" l="1"/>
  <c r="AE274" i="61"/>
  <c r="AD274" i="61"/>
  <c r="AC274" i="61"/>
  <c r="AB274" i="61"/>
  <c r="AA274" i="61"/>
  <c r="Z274" i="61"/>
  <c r="Y274" i="61"/>
  <c r="X274" i="61"/>
  <c r="W274" i="61"/>
  <c r="V274" i="61"/>
  <c r="U274" i="61"/>
  <c r="T274" i="61"/>
  <c r="S274" i="61"/>
  <c r="R274" i="61"/>
  <c r="Q274" i="61"/>
  <c r="P274" i="61"/>
  <c r="O274" i="61"/>
  <c r="N274" i="61"/>
  <c r="M274" i="61"/>
  <c r="L274" i="61"/>
  <c r="K274" i="61"/>
  <c r="J274" i="61"/>
  <c r="I274" i="61"/>
  <c r="H274" i="61"/>
  <c r="G274" i="61"/>
  <c r="F274" i="61"/>
  <c r="E274" i="61"/>
  <c r="D274" i="61"/>
  <c r="C274" i="61"/>
  <c r="B274" i="61"/>
  <c r="A274" i="61"/>
  <c r="AF273" i="61"/>
  <c r="AE273" i="61"/>
  <c r="AD273" i="61"/>
  <c r="AC273" i="61"/>
  <c r="AB273" i="61"/>
  <c r="AA273" i="61"/>
  <c r="Z273" i="61"/>
  <c r="Y273" i="61"/>
  <c r="X273" i="61"/>
  <c r="W273" i="61"/>
  <c r="V273" i="61"/>
  <c r="U273" i="61"/>
  <c r="T273" i="61"/>
  <c r="S273" i="61"/>
  <c r="R273" i="61"/>
  <c r="Q273" i="61"/>
  <c r="P273" i="61"/>
  <c r="O273" i="61"/>
  <c r="N273" i="61"/>
  <c r="M273" i="61"/>
  <c r="L273" i="61"/>
  <c r="K273" i="61"/>
  <c r="J273" i="61"/>
  <c r="I273" i="61"/>
  <c r="H273" i="61"/>
  <c r="G273" i="61"/>
  <c r="F273" i="61"/>
  <c r="E273" i="61"/>
  <c r="D273" i="61"/>
  <c r="C273" i="61"/>
  <c r="B273" i="61"/>
  <c r="A273" i="61"/>
  <c r="AF272" i="61"/>
  <c r="AE272" i="61"/>
  <c r="AD272" i="61"/>
  <c r="AC272" i="61"/>
  <c r="AB272" i="61"/>
  <c r="AA272" i="61"/>
  <c r="Z272" i="61"/>
  <c r="Y272" i="61"/>
  <c r="X272" i="61"/>
  <c r="W272" i="61"/>
  <c r="V272" i="61"/>
  <c r="U272" i="61"/>
  <c r="T272" i="61"/>
  <c r="S272" i="61"/>
  <c r="R272" i="61"/>
  <c r="Q272" i="61"/>
  <c r="P272" i="61"/>
  <c r="O272" i="61"/>
  <c r="N272" i="61"/>
  <c r="M272" i="61"/>
  <c r="L272" i="61"/>
  <c r="K272" i="61"/>
  <c r="J272" i="61"/>
  <c r="I272" i="61"/>
  <c r="H272" i="61"/>
  <c r="G272" i="61"/>
  <c r="F272" i="61"/>
  <c r="E272" i="61"/>
  <c r="D272" i="61"/>
  <c r="C272" i="61"/>
  <c r="B272" i="61"/>
  <c r="A272" i="61"/>
  <c r="AF271" i="61"/>
  <c r="AE271" i="61"/>
  <c r="AD271" i="61"/>
  <c r="AC271" i="61"/>
  <c r="AB271" i="61"/>
  <c r="AA271" i="61"/>
  <c r="Z271" i="61"/>
  <c r="Y271" i="61"/>
  <c r="X271" i="61"/>
  <c r="W271" i="61"/>
  <c r="V271" i="61"/>
  <c r="U271" i="61"/>
  <c r="T271" i="61"/>
  <c r="S271" i="61"/>
  <c r="R271" i="61"/>
  <c r="Q271" i="61"/>
  <c r="P271" i="61"/>
  <c r="O271" i="61"/>
  <c r="N271" i="61"/>
  <c r="M271" i="61"/>
  <c r="L271" i="61"/>
  <c r="K271" i="61"/>
  <c r="J271" i="61"/>
  <c r="I271" i="61"/>
  <c r="H271" i="61"/>
  <c r="G271" i="61"/>
  <c r="F271" i="61"/>
  <c r="E271" i="61"/>
  <c r="D271" i="61"/>
  <c r="C271" i="61"/>
  <c r="B271" i="61"/>
  <c r="A271" i="61"/>
  <c r="AE270" i="61"/>
  <c r="AD270" i="61"/>
  <c r="AC270" i="61"/>
  <c r="AB270" i="61"/>
  <c r="AA270" i="61"/>
  <c r="Z270" i="61"/>
  <c r="Y270" i="61"/>
  <c r="X270" i="61"/>
  <c r="W270" i="61"/>
  <c r="V270" i="61"/>
  <c r="U270" i="61"/>
  <c r="T270" i="61"/>
  <c r="S270" i="61"/>
  <c r="R270" i="61"/>
  <c r="Q270" i="61"/>
  <c r="P270" i="61"/>
  <c r="B270" i="61"/>
  <c r="S245" i="61"/>
  <c r="AG235" i="61"/>
  <c r="AF235" i="61"/>
  <c r="AE235" i="61"/>
  <c r="AD235" i="61"/>
  <c r="AC235" i="61"/>
  <c r="AB235" i="61"/>
  <c r="AA235" i="61"/>
  <c r="Z235" i="61"/>
  <c r="Y235" i="61"/>
  <c r="X235" i="61"/>
  <c r="W235" i="61"/>
  <c r="V235" i="61"/>
  <c r="U235" i="61"/>
  <c r="T235" i="61"/>
  <c r="S235" i="61"/>
  <c r="R235" i="61"/>
  <c r="Q235" i="61"/>
  <c r="C235" i="61"/>
  <c r="D234" i="61"/>
  <c r="E234" i="61" s="1"/>
  <c r="B234" i="61"/>
  <c r="AF270" i="61" s="1"/>
  <c r="E233" i="61"/>
  <c r="F233" i="61" s="1"/>
  <c r="G233" i="61" s="1"/>
  <c r="H233" i="61" s="1"/>
  <c r="I233" i="61" s="1"/>
  <c r="J233" i="61" s="1"/>
  <c r="K233" i="61" s="1"/>
  <c r="L233" i="61" s="1"/>
  <c r="M233" i="61" s="1"/>
  <c r="N233" i="61" s="1"/>
  <c r="O233" i="61" s="1"/>
  <c r="P233" i="61" s="1"/>
  <c r="D233" i="61"/>
  <c r="B233" i="61"/>
  <c r="D232" i="61"/>
  <c r="E232" i="61" s="1"/>
  <c r="F232" i="61" s="1"/>
  <c r="G232" i="61" s="1"/>
  <c r="H232" i="61" s="1"/>
  <c r="I232" i="61" s="1"/>
  <c r="B232" i="61"/>
  <c r="F231" i="61"/>
  <c r="G231" i="61" s="1"/>
  <c r="H231" i="61" s="1"/>
  <c r="E231" i="61"/>
  <c r="D231" i="61"/>
  <c r="B231" i="61"/>
  <c r="D230" i="61"/>
  <c r="D235" i="61" s="1"/>
  <c r="B230" i="61"/>
  <c r="E229" i="61"/>
  <c r="F229" i="61" s="1"/>
  <c r="D229" i="61"/>
  <c r="B229" i="61"/>
  <c r="B110" i="61" s="1"/>
  <c r="AG227" i="61"/>
  <c r="AF227" i="61"/>
  <c r="AE227" i="61"/>
  <c r="AD227" i="61"/>
  <c r="AC227" i="61"/>
  <c r="AB227" i="61"/>
  <c r="AA227" i="61"/>
  <c r="Z227" i="61"/>
  <c r="Y227" i="61"/>
  <c r="X227" i="61"/>
  <c r="W227" i="61"/>
  <c r="V227" i="61"/>
  <c r="U227" i="61"/>
  <c r="T227" i="61"/>
  <c r="S227" i="61"/>
  <c r="R227" i="61"/>
  <c r="Q227" i="61"/>
  <c r="P227" i="61"/>
  <c r="O227" i="61"/>
  <c r="N227" i="61"/>
  <c r="M227" i="61"/>
  <c r="L227" i="61"/>
  <c r="K227" i="61"/>
  <c r="J227" i="61"/>
  <c r="I227" i="61"/>
  <c r="H227" i="61"/>
  <c r="G227" i="61"/>
  <c r="F227" i="61"/>
  <c r="E227" i="61"/>
  <c r="D227" i="61"/>
  <c r="C227" i="61"/>
  <c r="B227" i="61"/>
  <c r="AI120" i="61"/>
  <c r="AH120" i="61"/>
  <c r="AI119" i="61"/>
  <c r="AH119" i="61"/>
  <c r="AI118" i="61"/>
  <c r="AH118" i="61"/>
  <c r="AI117" i="61"/>
  <c r="AH117" i="61"/>
  <c r="AI116" i="61"/>
  <c r="AH116" i="61"/>
  <c r="AI115" i="61"/>
  <c r="AH115" i="61"/>
  <c r="AI114" i="61"/>
  <c r="AH114" i="61"/>
  <c r="AI113" i="61"/>
  <c r="AH113" i="61"/>
  <c r="AI112" i="61"/>
  <c r="AH112" i="61"/>
  <c r="AI111" i="61"/>
  <c r="AH111" i="61"/>
  <c r="AF110" i="61"/>
  <c r="AE110" i="61"/>
  <c r="AC110" i="61"/>
  <c r="AB110" i="61"/>
  <c r="AA110" i="61"/>
  <c r="Z110" i="61"/>
  <c r="Y110" i="61"/>
  <c r="X110" i="61"/>
  <c r="W110" i="61"/>
  <c r="V110" i="61"/>
  <c r="U110" i="61"/>
  <c r="T110" i="61"/>
  <c r="S110" i="61"/>
  <c r="R110" i="61"/>
  <c r="Q110" i="61"/>
  <c r="D110" i="61"/>
  <c r="C110" i="61"/>
  <c r="AI109" i="61"/>
  <c r="AH109" i="61"/>
  <c r="AI108" i="61"/>
  <c r="AH108" i="61"/>
  <c r="AI107" i="61"/>
  <c r="AH107" i="61"/>
  <c r="AI106" i="61"/>
  <c r="AH106" i="61"/>
  <c r="AI105" i="61"/>
  <c r="AH105" i="61"/>
  <c r="AI104" i="61"/>
  <c r="AH104" i="61"/>
  <c r="AI103" i="61"/>
  <c r="AH103" i="61"/>
  <c r="AI102" i="61"/>
  <c r="AH102" i="61"/>
  <c r="AI101" i="61"/>
  <c r="AH101" i="61"/>
  <c r="AI99" i="61"/>
  <c r="AH99" i="61"/>
  <c r="AI98" i="61"/>
  <c r="AH98" i="61"/>
  <c r="AI97" i="61"/>
  <c r="AH97" i="61"/>
  <c r="AI96" i="61"/>
  <c r="AH96" i="61"/>
  <c r="AI95" i="61"/>
  <c r="AH95" i="61"/>
  <c r="AI94" i="61"/>
  <c r="AH94" i="61"/>
  <c r="AI93" i="61"/>
  <c r="AH93" i="61"/>
  <c r="AI90" i="61"/>
  <c r="AH90" i="61"/>
  <c r="AI88" i="61"/>
  <c r="AH88" i="61"/>
  <c r="AG88" i="61"/>
  <c r="AI87" i="61"/>
  <c r="AH87" i="61"/>
  <c r="AI86" i="61"/>
  <c r="AH86" i="61"/>
  <c r="AI85" i="61"/>
  <c r="AH85" i="61"/>
  <c r="AN84" i="61"/>
  <c r="AG84" i="61"/>
  <c r="AG91" i="61" s="1"/>
  <c r="AF84" i="61"/>
  <c r="AF100" i="61" s="1"/>
  <c r="AE84" i="61"/>
  <c r="AE100" i="61" s="1"/>
  <c r="AD84" i="61"/>
  <c r="AC5" i="61" s="1"/>
  <c r="AC84" i="61"/>
  <c r="AC100" i="61" s="1"/>
  <c r="AB84" i="61"/>
  <c r="AB100" i="61" s="1"/>
  <c r="AA84" i="61"/>
  <c r="AA100" i="61" s="1"/>
  <c r="Z84" i="61"/>
  <c r="Y5" i="61" s="1"/>
  <c r="Y84" i="61"/>
  <c r="Y100" i="61" s="1"/>
  <c r="X84" i="61"/>
  <c r="W5" i="61" s="1"/>
  <c r="W84" i="61"/>
  <c r="W100" i="61" s="1"/>
  <c r="V84" i="61"/>
  <c r="V100" i="61" s="1"/>
  <c r="U84" i="61"/>
  <c r="U100" i="61" s="1"/>
  <c r="T84" i="61"/>
  <c r="T100" i="61" s="1"/>
  <c r="S84" i="61"/>
  <c r="S100" i="61" s="1"/>
  <c r="R84" i="61"/>
  <c r="R100" i="61" s="1"/>
  <c r="Q84" i="61"/>
  <c r="Q100" i="61" s="1"/>
  <c r="P84" i="61"/>
  <c r="P100" i="61" s="1"/>
  <c r="O84" i="61"/>
  <c r="N5" i="61" s="1"/>
  <c r="N84" i="61"/>
  <c r="N100" i="61" s="1"/>
  <c r="M84" i="61"/>
  <c r="M100" i="61" s="1"/>
  <c r="L84" i="61"/>
  <c r="L100" i="61" s="1"/>
  <c r="K84" i="61"/>
  <c r="K100" i="61" s="1"/>
  <c r="J84" i="61"/>
  <c r="I5" i="61" s="1"/>
  <c r="I84" i="61"/>
  <c r="I100" i="61" s="1"/>
  <c r="H84" i="61"/>
  <c r="G5" i="61" s="1"/>
  <c r="G84" i="61"/>
  <c r="G100" i="61" s="1"/>
  <c r="F84" i="61"/>
  <c r="F100" i="61" s="1"/>
  <c r="E84" i="61"/>
  <c r="E100" i="61" s="1"/>
  <c r="D84" i="61"/>
  <c r="D100" i="61" s="1"/>
  <c r="C84" i="61"/>
  <c r="C100" i="61" s="1"/>
  <c r="B84" i="61"/>
  <c r="AI83" i="61"/>
  <c r="AH83" i="61"/>
  <c r="AN82" i="61"/>
  <c r="AI82" i="61"/>
  <c r="AH82" i="61"/>
  <c r="AN81" i="61"/>
  <c r="AI81" i="61"/>
  <c r="AH81" i="61"/>
  <c r="AI80" i="61"/>
  <c r="AH80" i="61"/>
  <c r="AI79" i="61"/>
  <c r="AH79" i="61"/>
  <c r="AI78" i="61"/>
  <c r="AH78" i="61"/>
  <c r="AI77" i="61"/>
  <c r="AH77" i="61"/>
  <c r="AI76" i="61"/>
  <c r="AH76" i="61"/>
  <c r="AI75" i="61"/>
  <c r="AH75" i="61"/>
  <c r="AI74" i="61"/>
  <c r="AH74" i="61"/>
  <c r="AI73" i="61"/>
  <c r="AH73" i="61"/>
  <c r="AG72" i="61"/>
  <c r="AF72" i="61"/>
  <c r="AE72" i="61"/>
  <c r="AD72" i="61"/>
  <c r="AC72" i="61"/>
  <c r="AB72" i="61"/>
  <c r="AA72" i="61"/>
  <c r="Z72" i="61"/>
  <c r="Y72" i="61"/>
  <c r="X72" i="61"/>
  <c r="W72" i="61"/>
  <c r="V72" i="61"/>
  <c r="U72" i="61"/>
  <c r="T72" i="61"/>
  <c r="S72" i="61"/>
  <c r="R72" i="61"/>
  <c r="Q72" i="61"/>
  <c r="P72" i="61"/>
  <c r="O72" i="61"/>
  <c r="N72" i="61"/>
  <c r="M72" i="61"/>
  <c r="L72" i="61"/>
  <c r="B72" i="61"/>
  <c r="AI71" i="61"/>
  <c r="AH71" i="61"/>
  <c r="AI70" i="61"/>
  <c r="AH70" i="61"/>
  <c r="AI69" i="61"/>
  <c r="AH69" i="61"/>
  <c r="AG68" i="61"/>
  <c r="AG3" i="61" s="1"/>
  <c r="AG6" i="61" s="1"/>
  <c r="AF68" i="61"/>
  <c r="AE68" i="61"/>
  <c r="AD68" i="61"/>
  <c r="AC68" i="61"/>
  <c r="AB68" i="61"/>
  <c r="AA68" i="61"/>
  <c r="Z68" i="61"/>
  <c r="Y68" i="61"/>
  <c r="X68" i="61"/>
  <c r="W68" i="61"/>
  <c r="V68" i="61"/>
  <c r="U68" i="61"/>
  <c r="T68" i="61"/>
  <c r="S68" i="61"/>
  <c r="R68" i="61"/>
  <c r="Q68" i="61"/>
  <c r="P68" i="61"/>
  <c r="O68" i="61"/>
  <c r="N68" i="61"/>
  <c r="M68" i="61"/>
  <c r="L68" i="61"/>
  <c r="K68" i="61"/>
  <c r="J68" i="61"/>
  <c r="I68" i="61"/>
  <c r="H68" i="61"/>
  <c r="G68" i="61"/>
  <c r="F68" i="61"/>
  <c r="E68" i="61"/>
  <c r="D68" i="61"/>
  <c r="C68" i="61"/>
  <c r="B68" i="61"/>
  <c r="AI67" i="61"/>
  <c r="AH67" i="61"/>
  <c r="AG67" i="61"/>
  <c r="AI66" i="61"/>
  <c r="AH66" i="61"/>
  <c r="AI65" i="61"/>
  <c r="AH65" i="61"/>
  <c r="AI64" i="61"/>
  <c r="AH64" i="61"/>
  <c r="AI63" i="61"/>
  <c r="AH63" i="61"/>
  <c r="AI62" i="61"/>
  <c r="AH62" i="61"/>
  <c r="AI61" i="61"/>
  <c r="AH61" i="61"/>
  <c r="AI60" i="61"/>
  <c r="AH60" i="61"/>
  <c r="AI59" i="61"/>
  <c r="AH59" i="61"/>
  <c r="AI58" i="61"/>
  <c r="AH58" i="61"/>
  <c r="AI57" i="61"/>
  <c r="AH57" i="61"/>
  <c r="AI56" i="61"/>
  <c r="AH56" i="61"/>
  <c r="AI55" i="61"/>
  <c r="AH55" i="61"/>
  <c r="AG54" i="61"/>
  <c r="AF54" i="61"/>
  <c r="AE54" i="61"/>
  <c r="AD54" i="61"/>
  <c r="AB54" i="61"/>
  <c r="AA54" i="61"/>
  <c r="Z54" i="61"/>
  <c r="Y54" i="61"/>
  <c r="X54" i="61"/>
  <c r="W54" i="61"/>
  <c r="V54" i="61"/>
  <c r="U54" i="61"/>
  <c r="T54" i="61"/>
  <c r="S54" i="61"/>
  <c r="R54" i="61"/>
  <c r="Q54" i="61"/>
  <c r="P54" i="61"/>
  <c r="O54" i="61"/>
  <c r="N54" i="61"/>
  <c r="M54" i="61"/>
  <c r="L54" i="61"/>
  <c r="K54" i="61"/>
  <c r="J54" i="61"/>
  <c r="I54" i="61"/>
  <c r="H54" i="61"/>
  <c r="G54" i="61"/>
  <c r="F54" i="61"/>
  <c r="E54" i="61"/>
  <c r="D54" i="61"/>
  <c r="C54" i="61"/>
  <c r="B54" i="61"/>
  <c r="AI53" i="61"/>
  <c r="AH53" i="61"/>
  <c r="AI52" i="61"/>
  <c r="AH52" i="61"/>
  <c r="AI51" i="61"/>
  <c r="AH51" i="61"/>
  <c r="AG50" i="61"/>
  <c r="AG89" i="61" s="1"/>
  <c r="AF50" i="61"/>
  <c r="AE50" i="61"/>
  <c r="AD50" i="61"/>
  <c r="AB50" i="61"/>
  <c r="AA50" i="61"/>
  <c r="Z50" i="61"/>
  <c r="Y50" i="61"/>
  <c r="X50" i="61"/>
  <c r="W50" i="61"/>
  <c r="V50" i="61"/>
  <c r="U50" i="61"/>
  <c r="T50" i="61"/>
  <c r="S50" i="61"/>
  <c r="R50" i="61"/>
  <c r="Q50" i="61"/>
  <c r="P50" i="61"/>
  <c r="O50" i="61"/>
  <c r="N50" i="61"/>
  <c r="M50" i="61"/>
  <c r="L50" i="61"/>
  <c r="K50" i="61"/>
  <c r="J50" i="61"/>
  <c r="I50" i="61"/>
  <c r="H50" i="61"/>
  <c r="G50" i="61"/>
  <c r="F50" i="61"/>
  <c r="E50" i="61"/>
  <c r="D50" i="61"/>
  <c r="C50" i="61"/>
  <c r="B50" i="61"/>
  <c r="AI49" i="61"/>
  <c r="AH49" i="61"/>
  <c r="AI48" i="61"/>
  <c r="AH48" i="61"/>
  <c r="AI47" i="61"/>
  <c r="AH47" i="61"/>
  <c r="AI46" i="61"/>
  <c r="AH46" i="61"/>
  <c r="AI45" i="61"/>
  <c r="AH45" i="61"/>
  <c r="AI44" i="61"/>
  <c r="AH44" i="61"/>
  <c r="AI43" i="61"/>
  <c r="AH43" i="61"/>
  <c r="AI42" i="61"/>
  <c r="AH42" i="61"/>
  <c r="AI41" i="61"/>
  <c r="AH41" i="61"/>
  <c r="AI40" i="61"/>
  <c r="AH40" i="61"/>
  <c r="AI39" i="61"/>
  <c r="AH39" i="61"/>
  <c r="AI38" i="61"/>
  <c r="AH38" i="61"/>
  <c r="AI37" i="61"/>
  <c r="AH37" i="61"/>
  <c r="AI36" i="61"/>
  <c r="AH36" i="61"/>
  <c r="AI35" i="61"/>
  <c r="AH35" i="61"/>
  <c r="AI34" i="61"/>
  <c r="AH34" i="61"/>
  <c r="AI33" i="61"/>
  <c r="AH33" i="61"/>
  <c r="AI32" i="61"/>
  <c r="AH32" i="61"/>
  <c r="AI31" i="61"/>
  <c r="AH31" i="61"/>
  <c r="AI30" i="61"/>
  <c r="AH30" i="61"/>
  <c r="AI29" i="61"/>
  <c r="AH29" i="61"/>
  <c r="AI28" i="61"/>
  <c r="AH28" i="61"/>
  <c r="AI27" i="61"/>
  <c r="AH27" i="61"/>
  <c r="AI26" i="61"/>
  <c r="AH26" i="61"/>
  <c r="AI25" i="61"/>
  <c r="AH25" i="61"/>
  <c r="AI24" i="61"/>
  <c r="AH24" i="61"/>
  <c r="AI23" i="61"/>
  <c r="AH23" i="61"/>
  <c r="AI22" i="61"/>
  <c r="AH22" i="61"/>
  <c r="AI21" i="61"/>
  <c r="AH21" i="61"/>
  <c r="AI20" i="61"/>
  <c r="AH20" i="61"/>
  <c r="AI19" i="61"/>
  <c r="AH19" i="61"/>
  <c r="AI18" i="61"/>
  <c r="AH18" i="61"/>
  <c r="AI17" i="61"/>
  <c r="AH17" i="61"/>
  <c r="AI16" i="61"/>
  <c r="AH16" i="61"/>
  <c r="AI15" i="61"/>
  <c r="AH15" i="61"/>
  <c r="AI14" i="61"/>
  <c r="AH14" i="61"/>
  <c r="AI13" i="61"/>
  <c r="AH13" i="61"/>
  <c r="AI12" i="61"/>
  <c r="AH12" i="61"/>
  <c r="AI11" i="61"/>
  <c r="AH11" i="61"/>
  <c r="AD5" i="61"/>
  <c r="B5" i="61"/>
  <c r="AG4" i="61"/>
  <c r="K4" i="61"/>
  <c r="E4" i="61"/>
  <c r="H4" i="61" s="1"/>
  <c r="B4" i="61"/>
  <c r="S246" i="61" s="1"/>
  <c r="AG2" i="61"/>
  <c r="Y50" i="60"/>
  <c r="Y89" i="60" s="1"/>
  <c r="Y91" i="60" s="1"/>
  <c r="Y92" i="60" s="1"/>
  <c r="Z50" i="60"/>
  <c r="Y54" i="60"/>
  <c r="Z54" i="60"/>
  <c r="Y68" i="60"/>
  <c r="Z68" i="60"/>
  <c r="Y72" i="60"/>
  <c r="Z72" i="60"/>
  <c r="Y84" i="60"/>
  <c r="Z84" i="60"/>
  <c r="Y100" i="60"/>
  <c r="Z100" i="60"/>
  <c r="Y113" i="60"/>
  <c r="Y110" i="60" s="1"/>
  <c r="Z113" i="60"/>
  <c r="Z110" i="60" s="1"/>
  <c r="X113" i="60"/>
  <c r="V113" i="60"/>
  <c r="W113" i="60"/>
  <c r="AF89" i="61" l="1"/>
  <c r="AF91" i="61" s="1"/>
  <c r="AF7" i="61" s="1"/>
  <c r="AD100" i="61"/>
  <c r="AE89" i="61"/>
  <c r="AE91" i="61" s="1"/>
  <c r="AW249" i="61" s="1"/>
  <c r="AD89" i="61"/>
  <c r="AD91" i="61" s="1"/>
  <c r="AV249" i="61" s="1"/>
  <c r="AB5" i="61"/>
  <c r="AC89" i="61"/>
  <c r="AC91" i="61" s="1"/>
  <c r="AC7" i="61" s="1"/>
  <c r="AA5" i="61"/>
  <c r="AB89" i="61"/>
  <c r="AB91" i="61" s="1"/>
  <c r="AB92" i="61" s="1"/>
  <c r="Z5" i="61"/>
  <c r="AA89" i="61"/>
  <c r="AA91" i="61" s="1"/>
  <c r="AA92" i="61" s="1"/>
  <c r="AN83" i="61"/>
  <c r="Y89" i="61"/>
  <c r="Y91" i="61" s="1"/>
  <c r="Z100" i="61"/>
  <c r="Z89" i="61"/>
  <c r="Z91" i="61" s="1"/>
  <c r="Z7" i="61" s="1"/>
  <c r="V5" i="61"/>
  <c r="W89" i="61"/>
  <c r="W91" i="61" s="1"/>
  <c r="AO249" i="61" s="1"/>
  <c r="X89" i="61"/>
  <c r="X91" i="61" s="1"/>
  <c r="X7" i="61" s="1"/>
  <c r="U5" i="61"/>
  <c r="V89" i="61"/>
  <c r="V91" i="61" s="1"/>
  <c r="AN249" i="61" s="1"/>
  <c r="T5" i="61"/>
  <c r="U89" i="61"/>
  <c r="U91" i="61" s="1"/>
  <c r="U7" i="61" s="1"/>
  <c r="T89" i="61"/>
  <c r="T91" i="61" s="1"/>
  <c r="T92" i="61" s="1"/>
  <c r="S5" i="61"/>
  <c r="R5" i="61"/>
  <c r="S89" i="61"/>
  <c r="S91" i="61" s="1"/>
  <c r="S7" i="61" s="1"/>
  <c r="R89" i="61"/>
  <c r="R91" i="61" s="1"/>
  <c r="AJ249" i="61" s="1"/>
  <c r="Q5" i="61"/>
  <c r="Q89" i="61"/>
  <c r="Q91" i="61" s="1"/>
  <c r="AI249" i="61" s="1"/>
  <c r="P89" i="61"/>
  <c r="P91" i="61" s="1"/>
  <c r="P92" i="61" s="1"/>
  <c r="O89" i="61"/>
  <c r="O91" i="61" s="1"/>
  <c r="O92" i="61" s="1"/>
  <c r="O100" i="61"/>
  <c r="M5" i="61"/>
  <c r="N89" i="61"/>
  <c r="N91" i="61" s="1"/>
  <c r="AF249" i="61" s="1"/>
  <c r="L5" i="61"/>
  <c r="AH72" i="61"/>
  <c r="M89" i="61"/>
  <c r="M91" i="61" s="1"/>
  <c r="M92" i="61" s="1"/>
  <c r="L89" i="61"/>
  <c r="L91" i="61" s="1"/>
  <c r="AD249" i="61" s="1"/>
  <c r="K5" i="61"/>
  <c r="J5" i="61"/>
  <c r="K89" i="61"/>
  <c r="K91" i="61" s="1"/>
  <c r="K7" i="61" s="1"/>
  <c r="J100" i="61"/>
  <c r="J89" i="61"/>
  <c r="J91" i="61" s="1"/>
  <c r="I89" i="61"/>
  <c r="I91" i="61" s="1"/>
  <c r="H89" i="61"/>
  <c r="H91" i="61" s="1"/>
  <c r="F5" i="61"/>
  <c r="G89" i="61"/>
  <c r="G91" i="61" s="1"/>
  <c r="E5" i="61"/>
  <c r="F89" i="61"/>
  <c r="F91" i="61" s="1"/>
  <c r="F92" i="61" s="1"/>
  <c r="D5" i="61"/>
  <c r="E89" i="61"/>
  <c r="E91" i="61" s="1"/>
  <c r="E92" i="61" s="1"/>
  <c r="AI68" i="61"/>
  <c r="AH84" i="61"/>
  <c r="C5" i="61"/>
  <c r="D89" i="61"/>
  <c r="D91" i="61" s="1"/>
  <c r="D92" i="61" s="1"/>
  <c r="AH54" i="61"/>
  <c r="C89" i="61"/>
  <c r="C91" i="61" s="1"/>
  <c r="C7" i="61" s="1"/>
  <c r="B89" i="61"/>
  <c r="B100" i="61"/>
  <c r="AF5" i="61"/>
  <c r="B91" i="61"/>
  <c r="J7" i="61"/>
  <c r="J92" i="61"/>
  <c r="AB249" i="61"/>
  <c r="U249" i="61"/>
  <c r="X249" i="61"/>
  <c r="F7" i="61"/>
  <c r="Y249" i="61"/>
  <c r="G7" i="61"/>
  <c r="J232" i="61"/>
  <c r="K232" i="61" s="1"/>
  <c r="L232" i="61" s="1"/>
  <c r="M232" i="61" s="1"/>
  <c r="N232" i="61" s="1"/>
  <c r="O232" i="61" s="1"/>
  <c r="P232" i="61" s="1"/>
  <c r="L92" i="61"/>
  <c r="L7" i="61"/>
  <c r="E110" i="61"/>
  <c r="D270" i="61"/>
  <c r="F234" i="61"/>
  <c r="H7" i="61"/>
  <c r="Z249" i="61"/>
  <c r="H92" i="61"/>
  <c r="G229" i="61"/>
  <c r="F110" i="61"/>
  <c r="I7" i="61"/>
  <c r="I92" i="61"/>
  <c r="AA249" i="61"/>
  <c r="Y7" i="61"/>
  <c r="Y92" i="61"/>
  <c r="AQ249" i="61"/>
  <c r="AH68" i="61"/>
  <c r="D246" i="61"/>
  <c r="O5" i="61"/>
  <c r="AE5" i="61"/>
  <c r="H100" i="61"/>
  <c r="X100" i="61"/>
  <c r="E230" i="61"/>
  <c r="H5" i="61"/>
  <c r="P5" i="61"/>
  <c r="X5" i="61"/>
  <c r="C270" i="61"/>
  <c r="AI84" i="61"/>
  <c r="AI50" i="61"/>
  <c r="AI54" i="61"/>
  <c r="AH50" i="61"/>
  <c r="B235" i="61"/>
  <c r="AI72" i="61"/>
  <c r="Z89" i="60"/>
  <c r="Z91" i="60" s="1"/>
  <c r="Z92" i="60" s="1"/>
  <c r="AA7" i="61" l="1"/>
  <c r="AX249" i="61"/>
  <c r="AF92" i="61"/>
  <c r="AE92" i="61"/>
  <c r="AE7" i="61"/>
  <c r="AD7" i="61"/>
  <c r="AD92" i="61"/>
  <c r="AC92" i="61"/>
  <c r="AU249" i="61"/>
  <c r="AB7" i="61"/>
  <c r="AT249" i="61"/>
  <c r="AS249" i="61"/>
  <c r="AR249" i="61"/>
  <c r="Z92" i="61"/>
  <c r="AP249" i="61"/>
  <c r="W92" i="61"/>
  <c r="W7" i="61"/>
  <c r="X92" i="61"/>
  <c r="V92" i="61"/>
  <c r="V7" i="61"/>
  <c r="U92" i="61"/>
  <c r="AM249" i="61"/>
  <c r="AL249" i="61"/>
  <c r="T7" i="61"/>
  <c r="AK249" i="61"/>
  <c r="S92" i="61"/>
  <c r="R92" i="61"/>
  <c r="R7" i="61"/>
  <c r="Q92" i="61"/>
  <c r="Q7" i="61"/>
  <c r="P7" i="61"/>
  <c r="AH249" i="61"/>
  <c r="AG249" i="61"/>
  <c r="O7" i="61"/>
  <c r="B244" i="61"/>
  <c r="C244" i="61"/>
  <c r="K6" i="61" s="1"/>
  <c r="N7" i="61"/>
  <c r="N92" i="61"/>
  <c r="AE249" i="61"/>
  <c r="M7" i="61"/>
  <c r="AC249" i="61"/>
  <c r="K92" i="61"/>
  <c r="G92" i="61"/>
  <c r="E7" i="61"/>
  <c r="W249" i="61"/>
  <c r="D7" i="61"/>
  <c r="V249" i="61"/>
  <c r="C92" i="61"/>
  <c r="AI89" i="61"/>
  <c r="AI100" i="61"/>
  <c r="AH89" i="61"/>
  <c r="H229" i="61"/>
  <c r="G110" i="61"/>
  <c r="AH100" i="61"/>
  <c r="E270" i="61"/>
  <c r="G234" i="61"/>
  <c r="B7" i="61"/>
  <c r="B92" i="61"/>
  <c r="AI91" i="61"/>
  <c r="T249" i="61"/>
  <c r="AH91" i="61"/>
  <c r="E235" i="61"/>
  <c r="F230" i="61"/>
  <c r="A7" i="61" l="1"/>
  <c r="F270" i="61"/>
  <c r="H234" i="61"/>
  <c r="H110" i="61" s="1"/>
  <c r="G230" i="61"/>
  <c r="F235" i="61"/>
  <c r="AI92" i="61"/>
  <c r="AH92" i="61"/>
  <c r="I229" i="61"/>
  <c r="J229" i="61" l="1"/>
  <c r="H230" i="61"/>
  <c r="G235" i="61"/>
  <c r="G270" i="61"/>
  <c r="I234" i="61"/>
  <c r="I110" i="61" s="1"/>
  <c r="I230" i="61" l="1"/>
  <c r="H235" i="61"/>
  <c r="J110" i="61"/>
  <c r="K229" i="61"/>
  <c r="H270" i="61"/>
  <c r="J234" i="61"/>
  <c r="K234" i="61" l="1"/>
  <c r="I270" i="61"/>
  <c r="K110" i="61"/>
  <c r="L229" i="61"/>
  <c r="J230" i="61"/>
  <c r="K230" i="61" l="1"/>
  <c r="M229" i="61"/>
  <c r="L110" i="61"/>
  <c r="J270" i="61"/>
  <c r="L234" i="61"/>
  <c r="L230" i="61" l="1"/>
  <c r="N229" i="61"/>
  <c r="K270" i="61"/>
  <c r="M234" i="61"/>
  <c r="L270" i="61" l="1"/>
  <c r="N234" i="61"/>
  <c r="O229" i="61"/>
  <c r="N110" i="61"/>
  <c r="M110" i="61"/>
  <c r="M230" i="61"/>
  <c r="N230" i="61" l="1"/>
  <c r="P229" i="61"/>
  <c r="M270" i="61"/>
  <c r="O234" i="61"/>
  <c r="O230" i="61" l="1"/>
  <c r="N270" i="61"/>
  <c r="P234" i="61"/>
  <c r="O270" i="61" s="1"/>
  <c r="O110" i="61"/>
  <c r="AH110" i="61" l="1"/>
  <c r="AI110" i="61"/>
  <c r="P230" i="61"/>
  <c r="U113" i="60" l="1"/>
  <c r="T113" i="60"/>
  <c r="S113" i="60" l="1"/>
  <c r="S110" i="60" s="1"/>
  <c r="S50" i="60"/>
  <c r="S54" i="60"/>
  <c r="S68" i="60"/>
  <c r="S72" i="60"/>
  <c r="L54" i="60"/>
  <c r="K50" i="60"/>
  <c r="K54" i="60"/>
  <c r="K68" i="60"/>
  <c r="K84" i="60"/>
  <c r="K100" i="60" s="1"/>
  <c r="K110" i="60"/>
  <c r="E50" i="60"/>
  <c r="E54" i="60"/>
  <c r="E68" i="60"/>
  <c r="E84" i="60"/>
  <c r="D5" i="60" s="1"/>
  <c r="E110" i="60"/>
  <c r="B110" i="60"/>
  <c r="B84" i="60"/>
  <c r="B100" i="60" s="1"/>
  <c r="B72" i="60"/>
  <c r="B68" i="60"/>
  <c r="B54" i="60"/>
  <c r="B50" i="60"/>
  <c r="AF274" i="60"/>
  <c r="AE274" i="60"/>
  <c r="AD274" i="60"/>
  <c r="AC274" i="60"/>
  <c r="AB274" i="60"/>
  <c r="AA274" i="60"/>
  <c r="Z274" i="60"/>
  <c r="Y274" i="60"/>
  <c r="X274" i="60"/>
  <c r="W274" i="60"/>
  <c r="V274" i="60"/>
  <c r="U274" i="60"/>
  <c r="T274" i="60"/>
  <c r="S274" i="60"/>
  <c r="R274" i="60"/>
  <c r="Q274" i="60"/>
  <c r="P274" i="60"/>
  <c r="O274" i="60"/>
  <c r="N274" i="60"/>
  <c r="M274" i="60"/>
  <c r="L274" i="60"/>
  <c r="K274" i="60"/>
  <c r="J274" i="60"/>
  <c r="I274" i="60"/>
  <c r="H274" i="60"/>
  <c r="G274" i="60"/>
  <c r="F274" i="60"/>
  <c r="E274" i="60"/>
  <c r="D274" i="60"/>
  <c r="C274" i="60"/>
  <c r="B274" i="60"/>
  <c r="A274" i="60"/>
  <c r="AF273" i="60"/>
  <c r="AE273" i="60"/>
  <c r="AD273" i="60"/>
  <c r="AC273" i="60"/>
  <c r="AB273" i="60"/>
  <c r="AA273" i="60"/>
  <c r="Z273" i="60"/>
  <c r="Y273" i="60"/>
  <c r="X273" i="60"/>
  <c r="W273" i="60"/>
  <c r="V273" i="60"/>
  <c r="U273" i="60"/>
  <c r="T273" i="60"/>
  <c r="S273" i="60"/>
  <c r="R273" i="60"/>
  <c r="Q273" i="60"/>
  <c r="P273" i="60"/>
  <c r="O273" i="60"/>
  <c r="N273" i="60"/>
  <c r="M273" i="60"/>
  <c r="L273" i="60"/>
  <c r="K273" i="60"/>
  <c r="J273" i="60"/>
  <c r="I273" i="60"/>
  <c r="H273" i="60"/>
  <c r="G273" i="60"/>
  <c r="F273" i="60"/>
  <c r="E273" i="60"/>
  <c r="D273" i="60"/>
  <c r="C273" i="60"/>
  <c r="B273" i="60"/>
  <c r="A273" i="60"/>
  <c r="AF272" i="60"/>
  <c r="AE272" i="60"/>
  <c r="AD272" i="60"/>
  <c r="AC272" i="60"/>
  <c r="AB272" i="60"/>
  <c r="AA272" i="60"/>
  <c r="Z272" i="60"/>
  <c r="Y272" i="60"/>
  <c r="X272" i="60"/>
  <c r="W272" i="60"/>
  <c r="V272" i="60"/>
  <c r="U272" i="60"/>
  <c r="T272" i="60"/>
  <c r="S272" i="60"/>
  <c r="R272" i="60"/>
  <c r="Q272" i="60"/>
  <c r="P272" i="60"/>
  <c r="O272" i="60"/>
  <c r="N272" i="60"/>
  <c r="M272" i="60"/>
  <c r="L272" i="60"/>
  <c r="K272" i="60"/>
  <c r="J272" i="60"/>
  <c r="I272" i="60"/>
  <c r="H272" i="60"/>
  <c r="G272" i="60"/>
  <c r="F272" i="60"/>
  <c r="E272" i="60"/>
  <c r="D272" i="60"/>
  <c r="C272" i="60"/>
  <c r="B272" i="60"/>
  <c r="A272" i="60"/>
  <c r="AF271" i="60"/>
  <c r="AE271" i="60"/>
  <c r="AD271" i="60"/>
  <c r="AC271" i="60"/>
  <c r="AB271" i="60"/>
  <c r="AA271" i="60"/>
  <c r="Z271" i="60"/>
  <c r="Y271" i="60"/>
  <c r="X271" i="60"/>
  <c r="W271" i="60"/>
  <c r="V271" i="60"/>
  <c r="U271" i="60"/>
  <c r="T271" i="60"/>
  <c r="S271" i="60"/>
  <c r="R271" i="60"/>
  <c r="Q271" i="60"/>
  <c r="P271" i="60"/>
  <c r="O271" i="60"/>
  <c r="N271" i="60"/>
  <c r="M271" i="60"/>
  <c r="L271" i="60"/>
  <c r="K271" i="60"/>
  <c r="J271" i="60"/>
  <c r="I271" i="60"/>
  <c r="H271" i="60"/>
  <c r="G271" i="60"/>
  <c r="F271" i="60"/>
  <c r="E271" i="60"/>
  <c r="D271" i="60"/>
  <c r="C271" i="60"/>
  <c r="B271" i="60"/>
  <c r="A271" i="60"/>
  <c r="AE270" i="60"/>
  <c r="AD270" i="60"/>
  <c r="AC270" i="60"/>
  <c r="AB270" i="60"/>
  <c r="AA270" i="60"/>
  <c r="Z270" i="60"/>
  <c r="Y270" i="60"/>
  <c r="X270" i="60"/>
  <c r="W270" i="60"/>
  <c r="V270" i="60"/>
  <c r="U270" i="60"/>
  <c r="T270" i="60"/>
  <c r="S270" i="60"/>
  <c r="R270" i="60"/>
  <c r="Q270" i="60"/>
  <c r="P270" i="60"/>
  <c r="B270" i="60"/>
  <c r="S245" i="60"/>
  <c r="AG235" i="60"/>
  <c r="AF235" i="60"/>
  <c r="AE235" i="60"/>
  <c r="AD235" i="60"/>
  <c r="AC235" i="60"/>
  <c r="AB235" i="60"/>
  <c r="AA235" i="60"/>
  <c r="Z235" i="60"/>
  <c r="Y235" i="60"/>
  <c r="X235" i="60"/>
  <c r="W235" i="60"/>
  <c r="V235" i="60"/>
  <c r="U235" i="60"/>
  <c r="T235" i="60"/>
  <c r="S235" i="60"/>
  <c r="R235" i="60"/>
  <c r="Q235" i="60"/>
  <c r="C235" i="60"/>
  <c r="E234" i="60"/>
  <c r="D270" i="60" s="1"/>
  <c r="D234" i="60"/>
  <c r="C270" i="60" s="1"/>
  <c r="B234" i="60"/>
  <c r="AF270" i="60" s="1"/>
  <c r="E233" i="60"/>
  <c r="F233" i="60" s="1"/>
  <c r="G233" i="60" s="1"/>
  <c r="H233" i="60" s="1"/>
  <c r="I233" i="60" s="1"/>
  <c r="J233" i="60" s="1"/>
  <c r="K233" i="60" s="1"/>
  <c r="L233" i="60" s="1"/>
  <c r="M233" i="60" s="1"/>
  <c r="N233" i="60" s="1"/>
  <c r="O233" i="60" s="1"/>
  <c r="P233" i="60" s="1"/>
  <c r="D233" i="60"/>
  <c r="B233" i="60"/>
  <c r="I232" i="60"/>
  <c r="H232" i="60"/>
  <c r="G232" i="60"/>
  <c r="F232" i="60"/>
  <c r="E232" i="60"/>
  <c r="D232" i="60"/>
  <c r="B232" i="60"/>
  <c r="G231" i="60"/>
  <c r="H231" i="60" s="1"/>
  <c r="F231" i="60"/>
  <c r="E231" i="60"/>
  <c r="D231" i="60"/>
  <c r="B231" i="60"/>
  <c r="E230" i="60"/>
  <c r="F230" i="60" s="1"/>
  <c r="G230" i="60" s="1"/>
  <c r="H230" i="60" s="1"/>
  <c r="I230" i="60" s="1"/>
  <c r="J230" i="60" s="1"/>
  <c r="K230" i="60" s="1"/>
  <c r="L230" i="60" s="1"/>
  <c r="M230" i="60" s="1"/>
  <c r="N230" i="60" s="1"/>
  <c r="O230" i="60" s="1"/>
  <c r="P230" i="60" s="1"/>
  <c r="D230" i="60"/>
  <c r="D235" i="60" s="1"/>
  <c r="B230" i="60"/>
  <c r="E229" i="60"/>
  <c r="F229" i="60" s="1"/>
  <c r="D229" i="60"/>
  <c r="B229" i="60"/>
  <c r="AG227" i="60"/>
  <c r="AF227" i="60"/>
  <c r="AE227" i="60"/>
  <c r="AD227" i="60"/>
  <c r="AC227" i="60"/>
  <c r="AB227" i="60"/>
  <c r="AA227" i="60"/>
  <c r="Z227" i="60"/>
  <c r="Y227" i="60"/>
  <c r="X227" i="60"/>
  <c r="W227" i="60"/>
  <c r="V227" i="60"/>
  <c r="U227" i="60"/>
  <c r="T227" i="60"/>
  <c r="S227" i="60"/>
  <c r="R227" i="60"/>
  <c r="Q227" i="60"/>
  <c r="P227" i="60"/>
  <c r="O227" i="60"/>
  <c r="N227" i="60"/>
  <c r="M227" i="60"/>
  <c r="L227" i="60"/>
  <c r="K227" i="60"/>
  <c r="J227" i="60"/>
  <c r="I227" i="60"/>
  <c r="H227" i="60"/>
  <c r="G227" i="60"/>
  <c r="F227" i="60"/>
  <c r="E227" i="60"/>
  <c r="D227" i="60"/>
  <c r="C227" i="60"/>
  <c r="B227" i="60"/>
  <c r="AI120" i="60"/>
  <c r="AH120" i="60"/>
  <c r="AI119" i="60"/>
  <c r="AH119" i="60"/>
  <c r="AI118" i="60"/>
  <c r="AH118" i="60"/>
  <c r="AI117" i="60"/>
  <c r="AH117" i="60"/>
  <c r="AI116" i="60"/>
  <c r="AH116" i="60"/>
  <c r="AI115" i="60"/>
  <c r="AH115" i="60"/>
  <c r="AI114" i="60"/>
  <c r="AH114" i="60"/>
  <c r="AI113" i="60"/>
  <c r="AH113" i="60"/>
  <c r="AI112" i="60"/>
  <c r="AH112" i="60"/>
  <c r="AI111" i="60"/>
  <c r="AH111" i="60"/>
  <c r="AF110" i="60"/>
  <c r="AE110" i="60"/>
  <c r="AC110" i="60"/>
  <c r="AB110" i="60"/>
  <c r="X110" i="60"/>
  <c r="W110" i="60"/>
  <c r="V110" i="60"/>
  <c r="U110" i="60"/>
  <c r="T110" i="60"/>
  <c r="R110" i="60"/>
  <c r="Q110" i="60"/>
  <c r="D110" i="60"/>
  <c r="C110" i="60"/>
  <c r="AI109" i="60"/>
  <c r="AH109" i="60"/>
  <c r="AI108" i="60"/>
  <c r="AH108" i="60"/>
  <c r="AI107" i="60"/>
  <c r="AH107" i="60"/>
  <c r="AI106" i="60"/>
  <c r="AH106" i="60"/>
  <c r="AI105" i="60"/>
  <c r="AH105" i="60"/>
  <c r="AI104" i="60"/>
  <c r="AH104" i="60"/>
  <c r="AI103" i="60"/>
  <c r="AH103" i="60"/>
  <c r="AI102" i="60"/>
  <c r="AH102" i="60"/>
  <c r="AI101" i="60"/>
  <c r="AH101" i="60"/>
  <c r="AI99" i="60"/>
  <c r="AH99" i="60"/>
  <c r="AI98" i="60"/>
  <c r="AH98" i="60"/>
  <c r="AI97" i="60"/>
  <c r="AH97" i="60"/>
  <c r="AI96" i="60"/>
  <c r="AH96" i="60"/>
  <c r="AI95" i="60"/>
  <c r="AH95" i="60"/>
  <c r="AI94" i="60"/>
  <c r="AH94" i="60"/>
  <c r="AI93" i="60"/>
  <c r="AH93" i="60"/>
  <c r="AI90" i="60"/>
  <c r="AH90" i="60"/>
  <c r="AI88" i="60"/>
  <c r="AH88" i="60"/>
  <c r="AG88" i="60"/>
  <c r="AI87" i="60"/>
  <c r="AH87" i="60"/>
  <c r="AI86" i="60"/>
  <c r="AH86" i="60"/>
  <c r="AI85" i="60"/>
  <c r="AH85" i="60"/>
  <c r="AN84" i="60"/>
  <c r="AG84" i="60"/>
  <c r="AG91" i="60" s="1"/>
  <c r="AF84" i="60"/>
  <c r="AE5" i="60" s="1"/>
  <c r="AE84" i="60"/>
  <c r="AE100" i="60" s="1"/>
  <c r="AD84" i="60"/>
  <c r="AD100" i="60" s="1"/>
  <c r="AC84" i="60"/>
  <c r="AC100" i="60" s="1"/>
  <c r="AB84" i="60"/>
  <c r="AB100" i="60" s="1"/>
  <c r="X84" i="60"/>
  <c r="W5" i="60" s="1"/>
  <c r="W84" i="60"/>
  <c r="W100" i="60" s="1"/>
  <c r="V84" i="60"/>
  <c r="V100" i="60" s="1"/>
  <c r="U84" i="60"/>
  <c r="U100" i="60" s="1"/>
  <c r="T84" i="60"/>
  <c r="T100" i="60" s="1"/>
  <c r="S84" i="60"/>
  <c r="S100" i="60" s="1"/>
  <c r="R84" i="60"/>
  <c r="R100" i="60" s="1"/>
  <c r="Q84" i="60"/>
  <c r="Q100" i="60" s="1"/>
  <c r="P84" i="60"/>
  <c r="P100" i="60" s="1"/>
  <c r="O84" i="60"/>
  <c r="O100" i="60" s="1"/>
  <c r="N84" i="60"/>
  <c r="N100" i="60" s="1"/>
  <c r="M84" i="60"/>
  <c r="M100" i="60" s="1"/>
  <c r="L84" i="60"/>
  <c r="L100" i="60" s="1"/>
  <c r="J84" i="60"/>
  <c r="J100" i="60" s="1"/>
  <c r="I84" i="60"/>
  <c r="I100" i="60" s="1"/>
  <c r="H84" i="60"/>
  <c r="H100" i="60" s="1"/>
  <c r="G84" i="60"/>
  <c r="G100" i="60" s="1"/>
  <c r="F84" i="60"/>
  <c r="F100" i="60" s="1"/>
  <c r="D84" i="60"/>
  <c r="D100" i="60" s="1"/>
  <c r="C84" i="60"/>
  <c r="C100" i="60" s="1"/>
  <c r="AN83" i="60"/>
  <c r="AI83" i="60"/>
  <c r="AH83" i="60"/>
  <c r="AN82" i="60"/>
  <c r="AI82" i="60"/>
  <c r="AH82" i="60"/>
  <c r="AN81" i="60"/>
  <c r="AI81" i="60"/>
  <c r="AH81" i="60"/>
  <c r="AI80" i="60"/>
  <c r="AH80" i="60"/>
  <c r="AI79" i="60"/>
  <c r="AH79" i="60"/>
  <c r="AI78" i="60"/>
  <c r="AH78" i="60"/>
  <c r="AI77" i="60"/>
  <c r="AH77" i="60"/>
  <c r="AI76" i="60"/>
  <c r="AH76" i="60"/>
  <c r="AI75" i="60"/>
  <c r="AH75" i="60"/>
  <c r="AI74" i="60"/>
  <c r="AH74" i="60"/>
  <c r="AI73" i="60"/>
  <c r="AH73" i="60"/>
  <c r="AG72" i="60"/>
  <c r="AF72" i="60"/>
  <c r="AE72" i="60"/>
  <c r="AD72" i="60"/>
  <c r="AC72" i="60"/>
  <c r="AB72" i="60"/>
  <c r="X72" i="60"/>
  <c r="W72" i="60"/>
  <c r="V72" i="60"/>
  <c r="U72" i="60"/>
  <c r="T72" i="60"/>
  <c r="R72" i="60"/>
  <c r="Q72" i="60"/>
  <c r="P72" i="60"/>
  <c r="O72" i="60"/>
  <c r="N72" i="60"/>
  <c r="M72" i="60"/>
  <c r="L72" i="60"/>
  <c r="AI71" i="60"/>
  <c r="AH71" i="60"/>
  <c r="AI70" i="60"/>
  <c r="AH70" i="60"/>
  <c r="AI69" i="60"/>
  <c r="AH69" i="60"/>
  <c r="AG68" i="60"/>
  <c r="AF68" i="60"/>
  <c r="AE68" i="60"/>
  <c r="AD68" i="60"/>
  <c r="AC68" i="60"/>
  <c r="AB68" i="60"/>
  <c r="X68" i="60"/>
  <c r="W68" i="60"/>
  <c r="V68" i="60"/>
  <c r="U68" i="60"/>
  <c r="T68" i="60"/>
  <c r="R68" i="60"/>
  <c r="Q68" i="60"/>
  <c r="P68" i="60"/>
  <c r="O68" i="60"/>
  <c r="N68" i="60"/>
  <c r="M68" i="60"/>
  <c r="L68" i="60"/>
  <c r="J68" i="60"/>
  <c r="I68" i="60"/>
  <c r="H68" i="60"/>
  <c r="G68" i="60"/>
  <c r="F68" i="60"/>
  <c r="D68" i="60"/>
  <c r="C68" i="60"/>
  <c r="AI67" i="60"/>
  <c r="AH67" i="60"/>
  <c r="AG67" i="60"/>
  <c r="AI66" i="60"/>
  <c r="AH66" i="60"/>
  <c r="AI65" i="60"/>
  <c r="AH65" i="60"/>
  <c r="AI64" i="60"/>
  <c r="AH64" i="60"/>
  <c r="AI63" i="60"/>
  <c r="AH63" i="60"/>
  <c r="AI62" i="60"/>
  <c r="AH62" i="60"/>
  <c r="AI61" i="60"/>
  <c r="AH61" i="60"/>
  <c r="AI60" i="60"/>
  <c r="AH60" i="60"/>
  <c r="AI59" i="60"/>
  <c r="AH59" i="60"/>
  <c r="AI58" i="60"/>
  <c r="AH58" i="60"/>
  <c r="AI57" i="60"/>
  <c r="AH57" i="60"/>
  <c r="AI56" i="60"/>
  <c r="AH56" i="60"/>
  <c r="AI55" i="60"/>
  <c r="AH55" i="60"/>
  <c r="AG54" i="60"/>
  <c r="AF54" i="60"/>
  <c r="AE54" i="60"/>
  <c r="AD54" i="60"/>
  <c r="AC54" i="60"/>
  <c r="AB54" i="60"/>
  <c r="X54" i="60"/>
  <c r="W54" i="60"/>
  <c r="V54" i="60"/>
  <c r="U54" i="60"/>
  <c r="T54" i="60"/>
  <c r="R54" i="60"/>
  <c r="Q54" i="60"/>
  <c r="P54" i="60"/>
  <c r="O54" i="60"/>
  <c r="N54" i="60"/>
  <c r="M54" i="60"/>
  <c r="J54" i="60"/>
  <c r="I54" i="60"/>
  <c r="H54" i="60"/>
  <c r="G54" i="60"/>
  <c r="F54" i="60"/>
  <c r="D54" i="60"/>
  <c r="C54" i="60"/>
  <c r="AI53" i="60"/>
  <c r="AH53" i="60"/>
  <c r="AI52" i="60"/>
  <c r="AH52" i="60"/>
  <c r="AI51" i="60"/>
  <c r="AH51" i="60"/>
  <c r="AG50" i="60"/>
  <c r="AG89" i="60" s="1"/>
  <c r="AF50" i="60"/>
  <c r="AE50" i="60"/>
  <c r="AD50" i="60"/>
  <c r="AC50" i="60"/>
  <c r="AB50" i="60"/>
  <c r="X50" i="60"/>
  <c r="W50" i="60"/>
  <c r="V50" i="60"/>
  <c r="U50" i="60"/>
  <c r="T50" i="60"/>
  <c r="R50" i="60"/>
  <c r="Q50" i="60"/>
  <c r="P50" i="60"/>
  <c r="O50" i="60"/>
  <c r="N50" i="60"/>
  <c r="M50" i="60"/>
  <c r="L50" i="60"/>
  <c r="J50" i="60"/>
  <c r="I50" i="60"/>
  <c r="H50" i="60"/>
  <c r="G50" i="60"/>
  <c r="F50" i="60"/>
  <c r="D50" i="60"/>
  <c r="C50" i="60"/>
  <c r="AI49" i="60"/>
  <c r="AH49" i="60"/>
  <c r="AI48" i="60"/>
  <c r="AH48" i="60"/>
  <c r="AI47" i="60"/>
  <c r="AH47" i="60"/>
  <c r="AI46" i="60"/>
  <c r="AH46" i="60"/>
  <c r="AI45" i="60"/>
  <c r="AH45" i="60"/>
  <c r="AI44" i="60"/>
  <c r="AH44" i="60"/>
  <c r="AI43" i="60"/>
  <c r="AH43" i="60"/>
  <c r="AI42" i="60"/>
  <c r="AH42" i="60"/>
  <c r="AI41" i="60"/>
  <c r="AH41" i="60"/>
  <c r="AI40" i="60"/>
  <c r="AH40" i="60"/>
  <c r="AI39" i="60"/>
  <c r="AH39" i="60"/>
  <c r="AI38" i="60"/>
  <c r="AH38" i="60"/>
  <c r="AI37" i="60"/>
  <c r="AH37" i="60"/>
  <c r="AI36" i="60"/>
  <c r="AH36" i="60"/>
  <c r="AI35" i="60"/>
  <c r="AH35" i="60"/>
  <c r="AI34" i="60"/>
  <c r="AH34" i="60"/>
  <c r="AI33" i="60"/>
  <c r="AH33" i="60"/>
  <c r="AI32" i="60"/>
  <c r="AH32" i="60"/>
  <c r="AI31" i="60"/>
  <c r="AH31" i="60"/>
  <c r="AI30" i="60"/>
  <c r="AH30" i="60"/>
  <c r="AI29" i="60"/>
  <c r="AH29" i="60"/>
  <c r="AI28" i="60"/>
  <c r="AH28" i="60"/>
  <c r="AI27" i="60"/>
  <c r="AH27" i="60"/>
  <c r="AI26" i="60"/>
  <c r="AH26" i="60"/>
  <c r="AI25" i="60"/>
  <c r="AH25" i="60"/>
  <c r="AI24" i="60"/>
  <c r="AH24" i="60"/>
  <c r="AI23" i="60"/>
  <c r="AH23" i="60"/>
  <c r="AI22" i="60"/>
  <c r="AH22" i="60"/>
  <c r="AI21" i="60"/>
  <c r="AH21" i="60"/>
  <c r="AI20" i="60"/>
  <c r="AH20" i="60"/>
  <c r="AI19" i="60"/>
  <c r="AH19" i="60"/>
  <c r="AI18" i="60"/>
  <c r="AH18" i="60"/>
  <c r="AI17" i="60"/>
  <c r="AH17" i="60"/>
  <c r="AI16" i="60"/>
  <c r="AH16" i="60"/>
  <c r="AI15" i="60"/>
  <c r="AH15" i="60"/>
  <c r="AI14" i="60"/>
  <c r="AH14" i="60"/>
  <c r="AI13" i="60"/>
  <c r="AH13" i="60"/>
  <c r="AI12" i="60"/>
  <c r="AH12" i="60"/>
  <c r="AI11" i="60"/>
  <c r="AH11" i="60"/>
  <c r="AC5" i="60"/>
  <c r="Z5" i="60"/>
  <c r="Y5" i="60"/>
  <c r="J5" i="60"/>
  <c r="AG4" i="60"/>
  <c r="K4" i="60"/>
  <c r="E4" i="60"/>
  <c r="H4" i="60" s="1"/>
  <c r="B4" i="60"/>
  <c r="S246" i="60" s="1"/>
  <c r="AG3" i="60"/>
  <c r="AG2" i="60"/>
  <c r="AG6" i="60" s="1"/>
  <c r="AA113" i="59"/>
  <c r="AA110" i="59" s="1"/>
  <c r="AA100" i="59"/>
  <c r="AA99" i="59"/>
  <c r="AA88" i="59"/>
  <c r="AA84" i="59"/>
  <c r="AA72" i="59"/>
  <c r="AA68" i="59"/>
  <c r="AA54" i="59"/>
  <c r="AA50" i="59"/>
  <c r="Z113" i="59"/>
  <c r="Y113" i="59"/>
  <c r="Y72" i="59"/>
  <c r="X113" i="59"/>
  <c r="W113" i="59"/>
  <c r="V113" i="59"/>
  <c r="T113" i="59"/>
  <c r="S113" i="59"/>
  <c r="Q84" i="59"/>
  <c r="P68" i="59"/>
  <c r="P49" i="59"/>
  <c r="O49" i="59"/>
  <c r="N49" i="59"/>
  <c r="AF100" i="60" l="1"/>
  <c r="AF89" i="60"/>
  <c r="AF91" i="60" s="1"/>
  <c r="AF7" i="60" s="1"/>
  <c r="AD5" i="60"/>
  <c r="AE89" i="60"/>
  <c r="AE91" i="60" s="1"/>
  <c r="AW249" i="60" s="1"/>
  <c r="AD89" i="60"/>
  <c r="AD91" i="60" s="1"/>
  <c r="AD7" i="60" s="1"/>
  <c r="AB5" i="60"/>
  <c r="AC89" i="60"/>
  <c r="AC91" i="60" s="1"/>
  <c r="AC92" i="60" s="1"/>
  <c r="AA5" i="60"/>
  <c r="AB89" i="60"/>
  <c r="AB91" i="60" s="1"/>
  <c r="AB92" i="60" s="1"/>
  <c r="X100" i="60"/>
  <c r="AI100" i="60" s="1"/>
  <c r="X89" i="60"/>
  <c r="X91" i="60" s="1"/>
  <c r="X92" i="60" s="1"/>
  <c r="V5" i="60"/>
  <c r="U5" i="60"/>
  <c r="W89" i="60"/>
  <c r="W91" i="60" s="1"/>
  <c r="AO249" i="60" s="1"/>
  <c r="V89" i="60"/>
  <c r="V91" i="60" s="1"/>
  <c r="V7" i="60" s="1"/>
  <c r="T5" i="60"/>
  <c r="U89" i="60"/>
  <c r="U91" i="60" s="1"/>
  <c r="U92" i="60" s="1"/>
  <c r="S5" i="60"/>
  <c r="R5" i="60"/>
  <c r="Q5" i="60"/>
  <c r="R89" i="60"/>
  <c r="R91" i="60" s="1"/>
  <c r="R7" i="60" s="1"/>
  <c r="S89" i="60"/>
  <c r="S91" i="60" s="1"/>
  <c r="AK249" i="60" s="1"/>
  <c r="Q89" i="60"/>
  <c r="Q91" i="60" s="1"/>
  <c r="Q7" i="60" s="1"/>
  <c r="L5" i="60"/>
  <c r="M5" i="60"/>
  <c r="N5" i="60"/>
  <c r="O5" i="60"/>
  <c r="N89" i="60"/>
  <c r="N91" i="60" s="1"/>
  <c r="AF249" i="60" s="1"/>
  <c r="P89" i="60"/>
  <c r="P91" i="60" s="1"/>
  <c r="P7" i="60" s="1"/>
  <c r="M89" i="60"/>
  <c r="M91" i="60" s="1"/>
  <c r="M92" i="60" s="1"/>
  <c r="O89" i="60"/>
  <c r="O91" i="60" s="1"/>
  <c r="AG249" i="60" s="1"/>
  <c r="T89" i="60"/>
  <c r="T91" i="60" s="1"/>
  <c r="T92" i="60" s="1"/>
  <c r="K5" i="60"/>
  <c r="AH72" i="60"/>
  <c r="L89" i="60"/>
  <c r="L91" i="60" s="1"/>
  <c r="K89" i="60"/>
  <c r="K91" i="60" s="1"/>
  <c r="K92" i="60" s="1"/>
  <c r="I5" i="60"/>
  <c r="J89" i="60"/>
  <c r="J91" i="60" s="1"/>
  <c r="J7" i="60" s="1"/>
  <c r="I89" i="60"/>
  <c r="I91" i="60" s="1"/>
  <c r="I92" i="60" s="1"/>
  <c r="G5" i="60"/>
  <c r="H89" i="60"/>
  <c r="H91" i="60" s="1"/>
  <c r="Z249" i="60" s="1"/>
  <c r="G89" i="60"/>
  <c r="G91" i="60" s="1"/>
  <c r="Y249" i="60" s="1"/>
  <c r="F5" i="60"/>
  <c r="E5" i="60"/>
  <c r="AI68" i="60"/>
  <c r="F89" i="60"/>
  <c r="F91" i="60" s="1"/>
  <c r="X249" i="60" s="1"/>
  <c r="E89" i="60"/>
  <c r="E91" i="60" s="1"/>
  <c r="E92" i="60" s="1"/>
  <c r="E100" i="60"/>
  <c r="C5" i="60"/>
  <c r="D89" i="60"/>
  <c r="D91" i="60" s="1"/>
  <c r="D92" i="60" s="1"/>
  <c r="AI54" i="60"/>
  <c r="C89" i="60"/>
  <c r="C91" i="60" s="1"/>
  <c r="C7" i="60" s="1"/>
  <c r="AF5" i="60"/>
  <c r="B89" i="60"/>
  <c r="B91" i="60" s="1"/>
  <c r="B92" i="60" s="1"/>
  <c r="Y7" i="60"/>
  <c r="AQ249" i="60"/>
  <c r="L92" i="60"/>
  <c r="L7" i="60"/>
  <c r="AD249" i="60"/>
  <c r="V249" i="60"/>
  <c r="D7" i="60"/>
  <c r="Z7" i="60"/>
  <c r="AR249" i="60"/>
  <c r="K7" i="60"/>
  <c r="AC249" i="60"/>
  <c r="G229" i="60"/>
  <c r="AA7" i="60"/>
  <c r="AS249" i="60"/>
  <c r="AH68" i="60"/>
  <c r="AI72" i="60"/>
  <c r="E235" i="60"/>
  <c r="D246" i="60"/>
  <c r="H5" i="60"/>
  <c r="P5" i="60"/>
  <c r="X5" i="60"/>
  <c r="AH84" i="60"/>
  <c r="J232" i="60"/>
  <c r="K232" i="60" s="1"/>
  <c r="L232" i="60" s="1"/>
  <c r="M232" i="60" s="1"/>
  <c r="N232" i="60" s="1"/>
  <c r="O232" i="60" s="1"/>
  <c r="P232" i="60" s="1"/>
  <c r="F234" i="60"/>
  <c r="AH50" i="60"/>
  <c r="AH54" i="60"/>
  <c r="AI84" i="60"/>
  <c r="B5" i="60"/>
  <c r="AI50" i="60"/>
  <c r="B235" i="60"/>
  <c r="AA89" i="59"/>
  <c r="AA91" i="59" s="1"/>
  <c r="AA92" i="59" s="1"/>
  <c r="AA109" i="59" s="1"/>
  <c r="AF92" i="60" l="1"/>
  <c r="AX249" i="60"/>
  <c r="AV249" i="60"/>
  <c r="AE92" i="60"/>
  <c r="AE7" i="60"/>
  <c r="AD92" i="60"/>
  <c r="AC7" i="60"/>
  <c r="AU249" i="60"/>
  <c r="AT249" i="60"/>
  <c r="AB7" i="60"/>
  <c r="AN249" i="60"/>
  <c r="V92" i="60"/>
  <c r="AP249" i="60"/>
  <c r="AH100" i="60"/>
  <c r="X7" i="60"/>
  <c r="W92" i="60"/>
  <c r="W7" i="60"/>
  <c r="U7" i="60"/>
  <c r="AM249" i="60"/>
  <c r="T7" i="60"/>
  <c r="AL249" i="60"/>
  <c r="S92" i="60"/>
  <c r="S7" i="60"/>
  <c r="AJ249" i="60"/>
  <c r="R92" i="60"/>
  <c r="AI249" i="60"/>
  <c r="Q92" i="60"/>
  <c r="N92" i="60"/>
  <c r="N7" i="60"/>
  <c r="O92" i="60"/>
  <c r="O7" i="60"/>
  <c r="AH249" i="60"/>
  <c r="P92" i="60"/>
  <c r="M7" i="60"/>
  <c r="AE249" i="60"/>
  <c r="AB249" i="60"/>
  <c r="J92" i="60"/>
  <c r="AA249" i="60"/>
  <c r="I7" i="60"/>
  <c r="H92" i="60"/>
  <c r="H7" i="60"/>
  <c r="B244" i="60"/>
  <c r="G92" i="60"/>
  <c r="G7" i="60"/>
  <c r="C244" i="60"/>
  <c r="K6" i="60" s="1"/>
  <c r="F7" i="60"/>
  <c r="F92" i="60"/>
  <c r="W249" i="60"/>
  <c r="E7" i="60"/>
  <c r="U249" i="60"/>
  <c r="C92" i="60"/>
  <c r="AH89" i="60"/>
  <c r="AI89" i="60"/>
  <c r="E270" i="60"/>
  <c r="G234" i="60"/>
  <c r="G110" i="60" s="1"/>
  <c r="F235" i="60"/>
  <c r="F110" i="60"/>
  <c r="B7" i="60"/>
  <c r="AI91" i="60"/>
  <c r="T249" i="60"/>
  <c r="AH91" i="60"/>
  <c r="H229" i="60"/>
  <c r="A7" i="60" l="1"/>
  <c r="AI92" i="60"/>
  <c r="AH92" i="60"/>
  <c r="G235" i="60"/>
  <c r="I229" i="60"/>
  <c r="F270" i="60"/>
  <c r="H234" i="60"/>
  <c r="G270" i="60" l="1"/>
  <c r="I234" i="60"/>
  <c r="H110" i="60"/>
  <c r="H235" i="60"/>
  <c r="I110" i="60"/>
  <c r="J229" i="60"/>
  <c r="K229" i="60" l="1"/>
  <c r="H270" i="60"/>
  <c r="J234" i="60"/>
  <c r="K234" i="60" l="1"/>
  <c r="I270" i="60"/>
  <c r="L229" i="60"/>
  <c r="J110" i="60"/>
  <c r="M229" i="60" l="1"/>
  <c r="L110" i="60"/>
  <c r="J270" i="60"/>
  <c r="L234" i="60"/>
  <c r="M234" i="60" l="1"/>
  <c r="K270" i="60"/>
  <c r="N229" i="60"/>
  <c r="L270" i="60" l="1"/>
  <c r="N234" i="60"/>
  <c r="M110" i="60"/>
  <c r="O229" i="60"/>
  <c r="N110" i="60"/>
  <c r="P229" i="60" l="1"/>
  <c r="O110" i="60"/>
  <c r="M270" i="60"/>
  <c r="O234" i="60"/>
  <c r="AH110" i="60" l="1"/>
  <c r="AI110" i="60"/>
  <c r="N270" i="60"/>
  <c r="P234" i="60"/>
  <c r="O270" i="60" s="1"/>
  <c r="M49" i="59" l="1"/>
  <c r="L113" i="59"/>
  <c r="L49" i="59"/>
  <c r="K113" i="59"/>
  <c r="K49" i="59"/>
  <c r="J113" i="59"/>
  <c r="J49" i="59" l="1"/>
  <c r="I113" i="59"/>
  <c r="I49" i="59"/>
  <c r="H113" i="59"/>
  <c r="H49" i="59"/>
  <c r="G113" i="59"/>
  <c r="G49" i="59"/>
  <c r="AI64" i="59"/>
  <c r="E14" i="3"/>
  <c r="E12" i="3"/>
  <c r="E9" i="3"/>
  <c r="E8" i="3"/>
  <c r="E7" i="3"/>
  <c r="E6" i="3"/>
  <c r="G5" i="3"/>
  <c r="E5" i="3"/>
  <c r="F113" i="59"/>
  <c r="E113" i="59"/>
  <c r="B84" i="59"/>
  <c r="AF274" i="59"/>
  <c r="AE274" i="59"/>
  <c r="AD274" i="59"/>
  <c r="AC274" i="59"/>
  <c r="AB274" i="59"/>
  <c r="AA274" i="59"/>
  <c r="Z274" i="59"/>
  <c r="Y274" i="59"/>
  <c r="X274" i="59"/>
  <c r="W274" i="59"/>
  <c r="V274" i="59"/>
  <c r="U274" i="59"/>
  <c r="T274" i="59"/>
  <c r="S274" i="59"/>
  <c r="R274" i="59"/>
  <c r="Q274" i="59"/>
  <c r="P274" i="59"/>
  <c r="O274" i="59"/>
  <c r="N274" i="59"/>
  <c r="M274" i="59"/>
  <c r="L274" i="59"/>
  <c r="K274" i="59"/>
  <c r="J274" i="59"/>
  <c r="I274" i="59"/>
  <c r="H274" i="59"/>
  <c r="G274" i="59"/>
  <c r="F274" i="59"/>
  <c r="E274" i="59"/>
  <c r="D274" i="59"/>
  <c r="C274" i="59"/>
  <c r="B274" i="59"/>
  <c r="A274" i="59"/>
  <c r="AF273" i="59"/>
  <c r="AE273" i="59"/>
  <c r="AD273" i="59"/>
  <c r="AC273" i="59"/>
  <c r="AB273" i="59"/>
  <c r="AA273" i="59"/>
  <c r="Z273" i="59"/>
  <c r="Y273" i="59"/>
  <c r="X273" i="59"/>
  <c r="W273" i="59"/>
  <c r="V273" i="59"/>
  <c r="U273" i="59"/>
  <c r="T273" i="59"/>
  <c r="S273" i="59"/>
  <c r="R273" i="59"/>
  <c r="Q273" i="59"/>
  <c r="P273" i="59"/>
  <c r="O273" i="59"/>
  <c r="N273" i="59"/>
  <c r="M273" i="59"/>
  <c r="L273" i="59"/>
  <c r="K273" i="59"/>
  <c r="J273" i="59"/>
  <c r="I273" i="59"/>
  <c r="H273" i="59"/>
  <c r="G273" i="59"/>
  <c r="F273" i="59"/>
  <c r="E273" i="59"/>
  <c r="D273" i="59"/>
  <c r="C273" i="59"/>
  <c r="B273" i="59"/>
  <c r="A273" i="59"/>
  <c r="AF272" i="59"/>
  <c r="AE272" i="59"/>
  <c r="AD272" i="59"/>
  <c r="AC272" i="59"/>
  <c r="AB272" i="59"/>
  <c r="AA272" i="59"/>
  <c r="Z272" i="59"/>
  <c r="Y272" i="59"/>
  <c r="X272" i="59"/>
  <c r="W272" i="59"/>
  <c r="V272" i="59"/>
  <c r="U272" i="59"/>
  <c r="T272" i="59"/>
  <c r="S272" i="59"/>
  <c r="R272" i="59"/>
  <c r="Q272" i="59"/>
  <c r="P272" i="59"/>
  <c r="O272" i="59"/>
  <c r="N272" i="59"/>
  <c r="M272" i="59"/>
  <c r="L272" i="59"/>
  <c r="K272" i="59"/>
  <c r="J272" i="59"/>
  <c r="I272" i="59"/>
  <c r="H272" i="59"/>
  <c r="G272" i="59"/>
  <c r="F272" i="59"/>
  <c r="E272" i="59"/>
  <c r="D272" i="59"/>
  <c r="C272" i="59"/>
  <c r="B272" i="59"/>
  <c r="A272" i="59"/>
  <c r="AF271" i="59"/>
  <c r="AE271" i="59"/>
  <c r="AD271" i="59"/>
  <c r="AC271" i="59"/>
  <c r="AB271" i="59"/>
  <c r="AA271" i="59"/>
  <c r="Z271" i="59"/>
  <c r="Y271" i="59"/>
  <c r="X271" i="59"/>
  <c r="W271" i="59"/>
  <c r="V271" i="59"/>
  <c r="U271" i="59"/>
  <c r="T271" i="59"/>
  <c r="S271" i="59"/>
  <c r="R271" i="59"/>
  <c r="Q271" i="59"/>
  <c r="P271" i="59"/>
  <c r="O271" i="59"/>
  <c r="N271" i="59"/>
  <c r="M271" i="59"/>
  <c r="L271" i="59"/>
  <c r="K271" i="59"/>
  <c r="J271" i="59"/>
  <c r="I271" i="59"/>
  <c r="H271" i="59"/>
  <c r="G271" i="59"/>
  <c r="F271" i="59"/>
  <c r="E271" i="59"/>
  <c r="D271" i="59"/>
  <c r="C271" i="59"/>
  <c r="B271" i="59"/>
  <c r="A271" i="59"/>
  <c r="AE270" i="59"/>
  <c r="AD270" i="59"/>
  <c r="AC270" i="59"/>
  <c r="AB270" i="59"/>
  <c r="AA270" i="59"/>
  <c r="Z270" i="59"/>
  <c r="Y270" i="59"/>
  <c r="X270" i="59"/>
  <c r="W270" i="59"/>
  <c r="V270" i="59"/>
  <c r="U270" i="59"/>
  <c r="T270" i="59"/>
  <c r="S270" i="59"/>
  <c r="R270" i="59"/>
  <c r="Q270" i="59"/>
  <c r="P270" i="59"/>
  <c r="C270" i="59"/>
  <c r="B270" i="59"/>
  <c r="S245" i="59"/>
  <c r="AG235" i="59"/>
  <c r="AF235" i="59"/>
  <c r="AE235" i="59"/>
  <c r="AD235" i="59"/>
  <c r="AC235" i="59"/>
  <c r="AB235" i="59"/>
  <c r="AA235" i="59"/>
  <c r="Z235" i="59"/>
  <c r="Y235" i="59"/>
  <c r="X235" i="59"/>
  <c r="W235" i="59"/>
  <c r="V235" i="59"/>
  <c r="U235" i="59"/>
  <c r="T235" i="59"/>
  <c r="S235" i="59"/>
  <c r="R235" i="59"/>
  <c r="Q235" i="59"/>
  <c r="C235" i="59"/>
  <c r="D234" i="59"/>
  <c r="E234" i="59" s="1"/>
  <c r="B234" i="59"/>
  <c r="AF270" i="59" s="1"/>
  <c r="D233" i="59"/>
  <c r="E233" i="59" s="1"/>
  <c r="F233" i="59" s="1"/>
  <c r="G233" i="59" s="1"/>
  <c r="H233" i="59" s="1"/>
  <c r="I233" i="59" s="1"/>
  <c r="J233" i="59" s="1"/>
  <c r="K233" i="59" s="1"/>
  <c r="L233" i="59" s="1"/>
  <c r="M233" i="59" s="1"/>
  <c r="N233" i="59" s="1"/>
  <c r="O233" i="59" s="1"/>
  <c r="P233" i="59" s="1"/>
  <c r="B233" i="59"/>
  <c r="D232" i="59"/>
  <c r="E232" i="59" s="1"/>
  <c r="F232" i="59" s="1"/>
  <c r="G232" i="59" s="1"/>
  <c r="H232" i="59" s="1"/>
  <c r="I232" i="59" s="1"/>
  <c r="B232" i="59"/>
  <c r="E231" i="59"/>
  <c r="F231" i="59" s="1"/>
  <c r="G231" i="59" s="1"/>
  <c r="H231" i="59" s="1"/>
  <c r="D231" i="59"/>
  <c r="B231" i="59"/>
  <c r="D230" i="59"/>
  <c r="E230" i="59" s="1"/>
  <c r="F230" i="59" s="1"/>
  <c r="G230" i="59" s="1"/>
  <c r="H230" i="59" s="1"/>
  <c r="I230" i="59" s="1"/>
  <c r="J230" i="59" s="1"/>
  <c r="K230" i="59" s="1"/>
  <c r="L230" i="59" s="1"/>
  <c r="M230" i="59" s="1"/>
  <c r="N230" i="59" s="1"/>
  <c r="O230" i="59" s="1"/>
  <c r="P230" i="59" s="1"/>
  <c r="B230" i="59"/>
  <c r="D229" i="59"/>
  <c r="B229" i="59"/>
  <c r="AG227" i="59"/>
  <c r="AF227" i="59"/>
  <c r="AE227" i="59"/>
  <c r="AD227" i="59"/>
  <c r="AC227" i="59"/>
  <c r="AB227" i="59"/>
  <c r="AA227" i="59"/>
  <c r="Z227" i="59"/>
  <c r="Y227" i="59"/>
  <c r="X227" i="59"/>
  <c r="W227" i="59"/>
  <c r="V227" i="59"/>
  <c r="U227" i="59"/>
  <c r="T227" i="59"/>
  <c r="S227" i="59"/>
  <c r="R227" i="59"/>
  <c r="Q227" i="59"/>
  <c r="P227" i="59"/>
  <c r="O227" i="59"/>
  <c r="N227" i="59"/>
  <c r="M227" i="59"/>
  <c r="L227" i="59"/>
  <c r="K227" i="59"/>
  <c r="J227" i="59"/>
  <c r="I227" i="59"/>
  <c r="H227" i="59"/>
  <c r="G227" i="59"/>
  <c r="F227" i="59"/>
  <c r="E227" i="59"/>
  <c r="D227" i="59"/>
  <c r="C227" i="59"/>
  <c r="B227" i="59"/>
  <c r="AI120" i="59"/>
  <c r="AH120" i="59"/>
  <c r="AI119" i="59"/>
  <c r="AH119" i="59"/>
  <c r="AI118" i="59"/>
  <c r="AH118" i="59"/>
  <c r="AI117" i="59"/>
  <c r="AH117" i="59"/>
  <c r="AI116" i="59"/>
  <c r="AH116" i="59"/>
  <c r="AI115" i="59"/>
  <c r="AH115" i="59"/>
  <c r="AI114" i="59"/>
  <c r="AH114" i="59"/>
  <c r="AH113" i="59"/>
  <c r="AI112" i="59"/>
  <c r="AH112" i="59"/>
  <c r="AI111" i="59"/>
  <c r="AH111" i="59"/>
  <c r="AF110" i="59"/>
  <c r="AE110" i="59"/>
  <c r="AC110" i="59"/>
  <c r="AB110" i="59"/>
  <c r="Z110" i="59"/>
  <c r="Y110" i="59"/>
  <c r="X110" i="59"/>
  <c r="W110" i="59"/>
  <c r="V110" i="59"/>
  <c r="U110" i="59"/>
  <c r="T110" i="59"/>
  <c r="S110" i="59"/>
  <c r="R110" i="59"/>
  <c r="Q110" i="59"/>
  <c r="C110" i="59"/>
  <c r="AI109" i="59"/>
  <c r="AH109" i="59"/>
  <c r="AI108" i="59"/>
  <c r="AH108" i="59"/>
  <c r="AI107" i="59"/>
  <c r="AH107" i="59"/>
  <c r="AI106" i="59"/>
  <c r="AH106" i="59"/>
  <c r="AI105" i="59"/>
  <c r="AH105" i="59"/>
  <c r="AI104" i="59"/>
  <c r="AH104" i="59"/>
  <c r="AI103" i="59"/>
  <c r="AH103" i="59"/>
  <c r="AI102" i="59"/>
  <c r="AH102" i="59"/>
  <c r="AI101" i="59"/>
  <c r="AH101" i="59"/>
  <c r="AI99" i="59"/>
  <c r="AH99" i="59"/>
  <c r="AI98" i="59"/>
  <c r="AH98" i="59"/>
  <c r="AI97" i="59"/>
  <c r="AH97" i="59"/>
  <c r="AI96" i="59"/>
  <c r="AH96" i="59"/>
  <c r="AI95" i="59"/>
  <c r="AH95" i="59"/>
  <c r="AI94" i="59"/>
  <c r="AH94" i="59"/>
  <c r="AI93" i="59"/>
  <c r="AH93" i="59"/>
  <c r="AI90" i="59"/>
  <c r="AH90" i="59"/>
  <c r="AI88" i="59"/>
  <c r="AH88" i="59"/>
  <c r="AG88" i="59"/>
  <c r="AI87" i="59"/>
  <c r="AH87" i="59"/>
  <c r="AI86" i="59"/>
  <c r="AH86" i="59"/>
  <c r="AI85" i="59"/>
  <c r="AH85" i="59"/>
  <c r="AN84" i="59"/>
  <c r="AG84" i="59"/>
  <c r="AF84" i="59"/>
  <c r="AE84" i="59"/>
  <c r="AE100" i="59" s="1"/>
  <c r="AD84" i="59"/>
  <c r="AD100" i="59" s="1"/>
  <c r="AC84" i="59"/>
  <c r="AC100" i="59" s="1"/>
  <c r="AB84" i="59"/>
  <c r="AB100" i="59" s="1"/>
  <c r="Z84" i="59"/>
  <c r="Y5" i="59" s="1"/>
  <c r="Y84" i="59"/>
  <c r="Y100" i="59" s="1"/>
  <c r="X84" i="59"/>
  <c r="W84" i="59"/>
  <c r="W100" i="59" s="1"/>
  <c r="V84" i="59"/>
  <c r="V100" i="59" s="1"/>
  <c r="U100" i="59"/>
  <c r="T84" i="59"/>
  <c r="S5" i="59" s="1"/>
  <c r="S84" i="59"/>
  <c r="R5" i="59" s="1"/>
  <c r="R84" i="59"/>
  <c r="Q5" i="59" s="1"/>
  <c r="Q100" i="59"/>
  <c r="P84" i="59"/>
  <c r="O84" i="59"/>
  <c r="O100" i="59" s="1"/>
  <c r="N84" i="59"/>
  <c r="N100" i="59" s="1"/>
  <c r="M84" i="59"/>
  <c r="M100" i="59" s="1"/>
  <c r="L84" i="59"/>
  <c r="K5" i="59" s="1"/>
  <c r="K84" i="59"/>
  <c r="K100" i="59" s="1"/>
  <c r="J84" i="59"/>
  <c r="I5" i="59" s="1"/>
  <c r="I84" i="59"/>
  <c r="H5" i="59" s="1"/>
  <c r="H84" i="59"/>
  <c r="G84" i="59"/>
  <c r="F5" i="59" s="1"/>
  <c r="F84" i="59"/>
  <c r="F100" i="59" s="1"/>
  <c r="E84" i="59"/>
  <c r="E100" i="59" s="1"/>
  <c r="D84" i="59"/>
  <c r="C5" i="59" s="1"/>
  <c r="C84" i="59"/>
  <c r="C100" i="59" s="1"/>
  <c r="AI83" i="59"/>
  <c r="AH83" i="59"/>
  <c r="AN82" i="59"/>
  <c r="AI82" i="59"/>
  <c r="AH82" i="59"/>
  <c r="AN81" i="59"/>
  <c r="AI81" i="59"/>
  <c r="AH81" i="59"/>
  <c r="AI80" i="59"/>
  <c r="AH80" i="59"/>
  <c r="AI79" i="59"/>
  <c r="AH79" i="59"/>
  <c r="AI78" i="59"/>
  <c r="AH78" i="59"/>
  <c r="AI77" i="59"/>
  <c r="AH77" i="59"/>
  <c r="AI76" i="59"/>
  <c r="AH76" i="59"/>
  <c r="AI75" i="59"/>
  <c r="AH75" i="59"/>
  <c r="AI74" i="59"/>
  <c r="AH74" i="59"/>
  <c r="AI73" i="59"/>
  <c r="AH73" i="59"/>
  <c r="AG72" i="59"/>
  <c r="AF72" i="59"/>
  <c r="AE72" i="59"/>
  <c r="AD72" i="59"/>
  <c r="AC72" i="59"/>
  <c r="AB72" i="59"/>
  <c r="Z72" i="59"/>
  <c r="X72" i="59"/>
  <c r="W72" i="59"/>
  <c r="V72" i="59"/>
  <c r="U72" i="59"/>
  <c r="T72" i="59"/>
  <c r="S72" i="59"/>
  <c r="R72" i="59"/>
  <c r="Q72" i="59"/>
  <c r="P72" i="59"/>
  <c r="O72" i="59"/>
  <c r="N72" i="59"/>
  <c r="M72" i="59"/>
  <c r="L72" i="59"/>
  <c r="B72" i="59"/>
  <c r="AI71" i="59"/>
  <c r="AH71" i="59"/>
  <c r="AI70" i="59"/>
  <c r="AH70" i="59"/>
  <c r="AI69" i="59"/>
  <c r="AH69" i="59"/>
  <c r="AF68" i="59"/>
  <c r="AE68" i="59"/>
  <c r="AD68" i="59"/>
  <c r="AC68" i="59"/>
  <c r="AB68" i="59"/>
  <c r="Z68" i="59"/>
  <c r="Y68" i="59"/>
  <c r="X68" i="59"/>
  <c r="V68" i="59"/>
  <c r="U68" i="59"/>
  <c r="T68" i="59"/>
  <c r="S68" i="59"/>
  <c r="R68" i="59"/>
  <c r="Q68" i="59"/>
  <c r="O68" i="59"/>
  <c r="N68" i="59"/>
  <c r="M68" i="59"/>
  <c r="L68" i="59"/>
  <c r="K68" i="59"/>
  <c r="J68" i="59"/>
  <c r="I68" i="59"/>
  <c r="H68" i="59"/>
  <c r="G68" i="59"/>
  <c r="F68" i="59"/>
  <c r="E68" i="59"/>
  <c r="D68" i="59"/>
  <c r="C68" i="59"/>
  <c r="B68" i="59"/>
  <c r="AI67" i="59"/>
  <c r="AH67" i="59"/>
  <c r="AG67" i="59"/>
  <c r="AG68" i="59" s="1"/>
  <c r="AG3" i="59" s="1"/>
  <c r="AI66" i="59"/>
  <c r="AH66" i="59"/>
  <c r="AI65" i="59"/>
  <c r="AH65" i="59"/>
  <c r="AI63" i="59"/>
  <c r="AH63" i="59"/>
  <c r="AI62" i="59"/>
  <c r="AH62" i="59"/>
  <c r="AI61" i="59"/>
  <c r="AH61" i="59"/>
  <c r="AI60" i="59"/>
  <c r="AH60" i="59"/>
  <c r="AI59" i="59"/>
  <c r="AH59" i="59"/>
  <c r="AI58" i="59"/>
  <c r="AH58" i="59"/>
  <c r="AI57" i="59"/>
  <c r="AH57" i="59"/>
  <c r="AI56" i="59"/>
  <c r="AH56" i="59"/>
  <c r="AI55" i="59"/>
  <c r="AH55" i="59"/>
  <c r="AG54" i="59"/>
  <c r="AF54" i="59"/>
  <c r="AE54" i="59"/>
  <c r="AD54" i="59"/>
  <c r="AC54" i="59"/>
  <c r="AB54" i="59"/>
  <c r="Z54" i="59"/>
  <c r="Y54" i="59"/>
  <c r="X54" i="59"/>
  <c r="W54" i="59"/>
  <c r="V54" i="59"/>
  <c r="U54" i="59"/>
  <c r="T54" i="59"/>
  <c r="S54" i="59"/>
  <c r="R54" i="59"/>
  <c r="Q54" i="59"/>
  <c r="P54" i="59"/>
  <c r="O54" i="59"/>
  <c r="N54" i="59"/>
  <c r="M54" i="59"/>
  <c r="L54" i="59"/>
  <c r="K54" i="59"/>
  <c r="J54" i="59"/>
  <c r="I54" i="59"/>
  <c r="H54" i="59"/>
  <c r="G54" i="59"/>
  <c r="F54" i="59"/>
  <c r="E54" i="59"/>
  <c r="D54" i="59"/>
  <c r="C54" i="59"/>
  <c r="B54" i="59"/>
  <c r="AI53" i="59"/>
  <c r="AH53" i="59"/>
  <c r="AI52" i="59"/>
  <c r="AH52" i="59"/>
  <c r="AI51" i="59"/>
  <c r="AH51" i="59"/>
  <c r="AG50" i="59"/>
  <c r="AF50" i="59"/>
  <c r="AE50" i="59"/>
  <c r="AD50" i="59"/>
  <c r="AC50" i="59"/>
  <c r="AB50" i="59"/>
  <c r="Z50" i="59"/>
  <c r="Y50" i="59"/>
  <c r="X50" i="59"/>
  <c r="W50" i="59"/>
  <c r="V50" i="59"/>
  <c r="U50" i="59"/>
  <c r="T50" i="59"/>
  <c r="S50" i="59"/>
  <c r="R50" i="59"/>
  <c r="Q50" i="59"/>
  <c r="P50" i="59"/>
  <c r="O50" i="59"/>
  <c r="N50" i="59"/>
  <c r="M50" i="59"/>
  <c r="L50" i="59"/>
  <c r="K50" i="59"/>
  <c r="J50" i="59"/>
  <c r="I50" i="59"/>
  <c r="H50" i="59"/>
  <c r="G50" i="59"/>
  <c r="F50" i="59"/>
  <c r="E50" i="59"/>
  <c r="D50" i="59"/>
  <c r="C50" i="59"/>
  <c r="B50" i="59"/>
  <c r="AI48" i="59"/>
  <c r="AH48" i="59"/>
  <c r="AI47" i="59"/>
  <c r="AH47" i="59"/>
  <c r="AI46" i="59"/>
  <c r="AH46" i="59"/>
  <c r="AI45" i="59"/>
  <c r="AH45" i="59"/>
  <c r="AI44" i="59"/>
  <c r="AH44" i="59"/>
  <c r="AI43" i="59"/>
  <c r="AH43" i="59"/>
  <c r="AI42" i="59"/>
  <c r="AH42" i="59"/>
  <c r="AI41" i="59"/>
  <c r="AH41" i="59"/>
  <c r="AI40" i="59"/>
  <c r="AH40" i="59"/>
  <c r="AI39" i="59"/>
  <c r="AH39" i="59"/>
  <c r="AI38" i="59"/>
  <c r="AH38" i="59"/>
  <c r="AI37" i="59"/>
  <c r="AH37" i="59"/>
  <c r="AI36" i="59"/>
  <c r="AH36" i="59"/>
  <c r="AI35" i="59"/>
  <c r="AH35" i="59"/>
  <c r="AI34" i="59"/>
  <c r="AH34" i="59"/>
  <c r="AI33" i="59"/>
  <c r="AH33" i="59"/>
  <c r="AI32" i="59"/>
  <c r="AH32" i="59"/>
  <c r="AI31" i="59"/>
  <c r="AH31" i="59"/>
  <c r="AI30" i="59"/>
  <c r="AH30" i="59"/>
  <c r="AI29" i="59"/>
  <c r="AH29" i="59"/>
  <c r="AI28" i="59"/>
  <c r="AH28" i="59"/>
  <c r="AI27" i="59"/>
  <c r="AH27" i="59"/>
  <c r="AI26" i="59"/>
  <c r="AH26" i="59"/>
  <c r="AI25" i="59"/>
  <c r="AH25" i="59"/>
  <c r="AI24" i="59"/>
  <c r="AH24" i="59"/>
  <c r="AI23" i="59"/>
  <c r="AH23" i="59"/>
  <c r="AI22" i="59"/>
  <c r="AH22" i="59"/>
  <c r="AI21" i="59"/>
  <c r="AH21" i="59"/>
  <c r="AI20" i="59"/>
  <c r="AH20" i="59"/>
  <c r="AI19" i="59"/>
  <c r="AH19" i="59"/>
  <c r="AI18" i="59"/>
  <c r="AH18" i="59"/>
  <c r="AI17" i="59"/>
  <c r="AH17" i="59"/>
  <c r="AI16" i="59"/>
  <c r="AH16" i="59"/>
  <c r="AI15" i="59"/>
  <c r="AH15" i="59"/>
  <c r="AI14" i="59"/>
  <c r="AH14" i="59"/>
  <c r="AI13" i="59"/>
  <c r="AH13" i="59"/>
  <c r="AI12" i="59"/>
  <c r="AH12" i="59"/>
  <c r="AI11" i="59"/>
  <c r="AH11" i="59"/>
  <c r="AG4" i="59"/>
  <c r="K4" i="59"/>
  <c r="E4" i="59"/>
  <c r="H4" i="59" s="1"/>
  <c r="B4" i="59"/>
  <c r="S246" i="59" s="1"/>
  <c r="AD5" i="59" l="1"/>
  <c r="AE89" i="59"/>
  <c r="AE91" i="59" s="1"/>
  <c r="AE92" i="59" s="1"/>
  <c r="AC5" i="59"/>
  <c r="AD89" i="59"/>
  <c r="AD91" i="59" s="1"/>
  <c r="AD92" i="59" s="1"/>
  <c r="AB5" i="59"/>
  <c r="X5" i="59"/>
  <c r="V5" i="59"/>
  <c r="U5" i="59"/>
  <c r="V89" i="59"/>
  <c r="V91" i="59" s="1"/>
  <c r="V92" i="59" s="1"/>
  <c r="T5" i="59"/>
  <c r="U89" i="59"/>
  <c r="U91" i="59" s="1"/>
  <c r="U92" i="59" s="1"/>
  <c r="S89" i="59"/>
  <c r="S91" i="59" s="1"/>
  <c r="S7" i="59" s="1"/>
  <c r="AC89" i="59"/>
  <c r="AC91" i="59" s="1"/>
  <c r="AC92" i="59" s="1"/>
  <c r="AN83" i="59"/>
  <c r="D235" i="59"/>
  <c r="X89" i="59"/>
  <c r="X91" i="59" s="1"/>
  <c r="X92" i="59" s="1"/>
  <c r="AF89" i="59"/>
  <c r="AF91" i="59" s="1"/>
  <c r="AF7" i="59" s="1"/>
  <c r="B235" i="59"/>
  <c r="Y89" i="59"/>
  <c r="Y91" i="59" s="1"/>
  <c r="Y7" i="59" s="1"/>
  <c r="AG89" i="59"/>
  <c r="AB89" i="59"/>
  <c r="AB91" i="59" s="1"/>
  <c r="AB92" i="59" s="1"/>
  <c r="AH49" i="59"/>
  <c r="R89" i="59"/>
  <c r="R91" i="59" s="1"/>
  <c r="R92" i="59" s="1"/>
  <c r="Z89" i="59"/>
  <c r="Z91" i="59" s="1"/>
  <c r="Z7" i="59" s="1"/>
  <c r="T89" i="59"/>
  <c r="T91" i="59" s="1"/>
  <c r="T92" i="59" s="1"/>
  <c r="AI113" i="59"/>
  <c r="P5" i="59"/>
  <c r="Q89" i="59"/>
  <c r="Q91" i="59" s="1"/>
  <c r="Q7" i="59" s="1"/>
  <c r="P89" i="59"/>
  <c r="P91" i="59" s="1"/>
  <c r="P7" i="59" s="1"/>
  <c r="N5" i="59"/>
  <c r="O89" i="59"/>
  <c r="O91" i="59" s="1"/>
  <c r="AG249" i="59" s="1"/>
  <c r="M5" i="59"/>
  <c r="AH72" i="59"/>
  <c r="N89" i="59"/>
  <c r="N91" i="59" s="1"/>
  <c r="AF249" i="59" s="1"/>
  <c r="L5" i="59"/>
  <c r="M89" i="59"/>
  <c r="M91" i="59" s="1"/>
  <c r="M92" i="59" s="1"/>
  <c r="L89" i="59"/>
  <c r="L91" i="59" s="1"/>
  <c r="L7" i="59" s="1"/>
  <c r="K89" i="59"/>
  <c r="K91" i="59" s="1"/>
  <c r="AC249" i="59" s="1"/>
  <c r="J89" i="59"/>
  <c r="J91" i="59" s="1"/>
  <c r="AB249" i="59" s="1"/>
  <c r="I100" i="59"/>
  <c r="I89" i="59"/>
  <c r="I91" i="59" s="1"/>
  <c r="AA249" i="59" s="1"/>
  <c r="AI49" i="59"/>
  <c r="H89" i="59"/>
  <c r="H91" i="59" s="1"/>
  <c r="H7" i="59" s="1"/>
  <c r="G100" i="59"/>
  <c r="G89" i="59"/>
  <c r="G91" i="59" s="1"/>
  <c r="G92" i="59" s="1"/>
  <c r="W68" i="59"/>
  <c r="W89" i="59" s="1"/>
  <c r="W91" i="59" s="1"/>
  <c r="AH64" i="59"/>
  <c r="E5" i="59"/>
  <c r="F89" i="59"/>
  <c r="F91" i="59" s="1"/>
  <c r="X249" i="59" s="1"/>
  <c r="D5" i="59"/>
  <c r="E89" i="59"/>
  <c r="E91" i="59" s="1"/>
  <c r="W249" i="59" s="1"/>
  <c r="D89" i="59"/>
  <c r="D91" i="59" s="1"/>
  <c r="D7" i="59" s="1"/>
  <c r="AH84" i="59"/>
  <c r="AH54" i="59"/>
  <c r="C89" i="59"/>
  <c r="C91" i="59" s="1"/>
  <c r="C92" i="59" s="1"/>
  <c r="AH50" i="59"/>
  <c r="D92" i="59"/>
  <c r="AG91" i="59"/>
  <c r="I92" i="59"/>
  <c r="F234" i="59"/>
  <c r="D270" i="59"/>
  <c r="J232" i="59"/>
  <c r="K232" i="59" s="1"/>
  <c r="L232" i="59" s="1"/>
  <c r="M232" i="59" s="1"/>
  <c r="N232" i="59" s="1"/>
  <c r="O232" i="59" s="1"/>
  <c r="P232" i="59" s="1"/>
  <c r="AA7" i="59"/>
  <c r="AS249" i="59"/>
  <c r="AI72" i="59"/>
  <c r="D110" i="59"/>
  <c r="D246" i="59"/>
  <c r="G5" i="59"/>
  <c r="O5" i="59"/>
  <c r="W5" i="59"/>
  <c r="AE5" i="59"/>
  <c r="H100" i="59"/>
  <c r="P100" i="59"/>
  <c r="X100" i="59"/>
  <c r="AF100" i="59"/>
  <c r="AI84" i="59"/>
  <c r="B100" i="59"/>
  <c r="J100" i="59"/>
  <c r="R100" i="59"/>
  <c r="Z100" i="59"/>
  <c r="E229" i="59"/>
  <c r="AI54" i="59"/>
  <c r="AG2" i="59"/>
  <c r="AG6" i="59" s="1"/>
  <c r="AA5" i="59"/>
  <c r="D100" i="59"/>
  <c r="L100" i="59"/>
  <c r="T100" i="59"/>
  <c r="AF5" i="59"/>
  <c r="B5" i="59"/>
  <c r="J5" i="59"/>
  <c r="Z5" i="59"/>
  <c r="AI50" i="59"/>
  <c r="S100" i="59"/>
  <c r="B89" i="59"/>
  <c r="B110" i="59"/>
  <c r="AF92" i="59" l="1"/>
  <c r="AX249" i="59"/>
  <c r="AE7" i="59"/>
  <c r="AW249" i="59"/>
  <c r="AV249" i="59"/>
  <c r="AD7" i="59"/>
  <c r="AC7" i="59"/>
  <c r="AU249" i="59"/>
  <c r="AB7" i="59"/>
  <c r="AT249" i="59"/>
  <c r="AR249" i="59"/>
  <c r="Z92" i="59"/>
  <c r="Y92" i="59"/>
  <c r="AQ249" i="59"/>
  <c r="AP249" i="59"/>
  <c r="X7" i="59"/>
  <c r="V7" i="59"/>
  <c r="AN249" i="59"/>
  <c r="U7" i="59"/>
  <c r="AM249" i="59"/>
  <c r="T7" i="59"/>
  <c r="AL249" i="59"/>
  <c r="AK249" i="59"/>
  <c r="S92" i="59"/>
  <c r="Y249" i="59"/>
  <c r="R7" i="59"/>
  <c r="AJ249" i="59"/>
  <c r="H92" i="59"/>
  <c r="I7" i="59"/>
  <c r="Z249" i="59"/>
  <c r="V249" i="59"/>
  <c r="AI249" i="59"/>
  <c r="Q92" i="59"/>
  <c r="AH249" i="59"/>
  <c r="P92" i="59"/>
  <c r="O92" i="59"/>
  <c r="O7" i="59"/>
  <c r="N7" i="59"/>
  <c r="N92" i="59"/>
  <c r="M7" i="59"/>
  <c r="AE249" i="59"/>
  <c r="AD249" i="59"/>
  <c r="L92" i="59"/>
  <c r="K92" i="59"/>
  <c r="K7" i="59"/>
  <c r="J92" i="59"/>
  <c r="J7" i="59"/>
  <c r="B244" i="59"/>
  <c r="C244" i="59"/>
  <c r="G7" i="59"/>
  <c r="AH68" i="59"/>
  <c r="AI68" i="59"/>
  <c r="AO249" i="59"/>
  <c r="W7" i="59"/>
  <c r="W92" i="59"/>
  <c r="F92" i="59"/>
  <c r="F7" i="59"/>
  <c r="E92" i="59"/>
  <c r="E7" i="59"/>
  <c r="C7" i="59"/>
  <c r="U249" i="59"/>
  <c r="AI89" i="59"/>
  <c r="AH89" i="59"/>
  <c r="B91" i="59"/>
  <c r="AH100" i="59"/>
  <c r="AI100" i="59"/>
  <c r="E270" i="59"/>
  <c r="G234" i="59"/>
  <c r="F229" i="59"/>
  <c r="E110" i="59"/>
  <c r="E235" i="59"/>
  <c r="K6" i="59" l="1"/>
  <c r="F270" i="59"/>
  <c r="H234" i="59"/>
  <c r="B7" i="59"/>
  <c r="A7" i="59" s="1"/>
  <c r="B92" i="59"/>
  <c r="AH91" i="59"/>
  <c r="T249" i="59"/>
  <c r="AI91" i="59"/>
  <c r="G229" i="59"/>
  <c r="F110" i="59"/>
  <c r="F235" i="59"/>
  <c r="H229" i="59" l="1"/>
  <c r="G235" i="59"/>
  <c r="G110" i="59"/>
  <c r="AI92" i="59"/>
  <c r="AH92" i="59"/>
  <c r="G270" i="59"/>
  <c r="I234" i="59"/>
  <c r="I229" i="59" l="1"/>
  <c r="H110" i="59"/>
  <c r="H235" i="59"/>
  <c r="H270" i="59"/>
  <c r="J234" i="59"/>
  <c r="K234" i="59" l="1"/>
  <c r="I270" i="59"/>
  <c r="I110" i="59"/>
  <c r="J229" i="59"/>
  <c r="J110" i="59" l="1"/>
  <c r="K229" i="59"/>
  <c r="J270" i="59"/>
  <c r="L234" i="59"/>
  <c r="K270" i="59" l="1"/>
  <c r="M234" i="59"/>
  <c r="K110" i="59"/>
  <c r="L229" i="59"/>
  <c r="M229" i="59" l="1"/>
  <c r="L110" i="59"/>
  <c r="N234" i="59"/>
  <c r="L270" i="59"/>
  <c r="M270" i="59" l="1"/>
  <c r="O234" i="59"/>
  <c r="N229" i="59"/>
  <c r="M110" i="59"/>
  <c r="O229" i="59" l="1"/>
  <c r="N110" i="59"/>
  <c r="N270" i="59"/>
  <c r="P234" i="59"/>
  <c r="O270" i="59" s="1"/>
  <c r="P229" i="59" l="1"/>
  <c r="O110" i="59"/>
  <c r="AI110" i="59" l="1"/>
  <c r="AH110" i="59"/>
  <c r="AA110" i="58" l="1"/>
  <c r="AA100" i="58"/>
  <c r="AA84" i="58"/>
  <c r="Z5" i="58" s="1"/>
  <c r="AA72" i="58"/>
  <c r="AA68" i="58"/>
  <c r="AA54" i="58"/>
  <c r="AA50" i="58"/>
  <c r="AA89" i="58" s="1"/>
  <c r="AA91" i="58" s="1"/>
  <c r="E113" i="58"/>
  <c r="E50" i="58"/>
  <c r="E54" i="58"/>
  <c r="E68" i="58"/>
  <c r="D113" i="58"/>
  <c r="D50" i="58"/>
  <c r="D54" i="58"/>
  <c r="D68" i="58"/>
  <c r="D84" i="58"/>
  <c r="C5" i="58" s="1"/>
  <c r="C113" i="58"/>
  <c r="C50" i="58"/>
  <c r="B113" i="58"/>
  <c r="B84" i="58"/>
  <c r="B100" i="58" s="1"/>
  <c r="B72" i="58"/>
  <c r="B68" i="58"/>
  <c r="B54" i="58"/>
  <c r="B50" i="58"/>
  <c r="AF274" i="58"/>
  <c r="AE274" i="58"/>
  <c r="AD274" i="58"/>
  <c r="AC274" i="58"/>
  <c r="AB274" i="58"/>
  <c r="AA274" i="58"/>
  <c r="Z274" i="58"/>
  <c r="Y274" i="58"/>
  <c r="X274" i="58"/>
  <c r="W274" i="58"/>
  <c r="V274" i="58"/>
  <c r="U274" i="58"/>
  <c r="T274" i="58"/>
  <c r="S274" i="58"/>
  <c r="R274" i="58"/>
  <c r="Q274" i="58"/>
  <c r="P274" i="58"/>
  <c r="O274" i="58"/>
  <c r="N274" i="58"/>
  <c r="M274" i="58"/>
  <c r="L274" i="58"/>
  <c r="K274" i="58"/>
  <c r="J274" i="58"/>
  <c r="I274" i="58"/>
  <c r="H274" i="58"/>
  <c r="G274" i="58"/>
  <c r="F274" i="58"/>
  <c r="E274" i="58"/>
  <c r="D274" i="58"/>
  <c r="C274" i="58"/>
  <c r="B274" i="58"/>
  <c r="A274" i="58"/>
  <c r="AF273" i="58"/>
  <c r="AE273" i="58"/>
  <c r="AD273" i="58"/>
  <c r="AC273" i="58"/>
  <c r="AB273" i="58"/>
  <c r="AA273" i="58"/>
  <c r="Z273" i="58"/>
  <c r="Y273" i="58"/>
  <c r="X273" i="58"/>
  <c r="W273" i="58"/>
  <c r="V273" i="58"/>
  <c r="U273" i="58"/>
  <c r="T273" i="58"/>
  <c r="S273" i="58"/>
  <c r="R273" i="58"/>
  <c r="Q273" i="58"/>
  <c r="P273" i="58"/>
  <c r="O273" i="58"/>
  <c r="N273" i="58"/>
  <c r="M273" i="58"/>
  <c r="L273" i="58"/>
  <c r="K273" i="58"/>
  <c r="J273" i="58"/>
  <c r="I273" i="58"/>
  <c r="H273" i="58"/>
  <c r="G273" i="58"/>
  <c r="F273" i="58"/>
  <c r="E273" i="58"/>
  <c r="D273" i="58"/>
  <c r="C273" i="58"/>
  <c r="B273" i="58"/>
  <c r="A273" i="58"/>
  <c r="AF272" i="58"/>
  <c r="AE272" i="58"/>
  <c r="AD272" i="58"/>
  <c r="AC272" i="58"/>
  <c r="AB272" i="58"/>
  <c r="AA272" i="58"/>
  <c r="Z272" i="58"/>
  <c r="Y272" i="58"/>
  <c r="X272" i="58"/>
  <c r="W272" i="58"/>
  <c r="V272" i="58"/>
  <c r="U272" i="58"/>
  <c r="T272" i="58"/>
  <c r="S272" i="58"/>
  <c r="R272" i="58"/>
  <c r="Q272" i="58"/>
  <c r="P272" i="58"/>
  <c r="O272" i="58"/>
  <c r="N272" i="58"/>
  <c r="M272" i="58"/>
  <c r="L272" i="58"/>
  <c r="K272" i="58"/>
  <c r="J272" i="58"/>
  <c r="I272" i="58"/>
  <c r="H272" i="58"/>
  <c r="G272" i="58"/>
  <c r="F272" i="58"/>
  <c r="E272" i="58"/>
  <c r="D272" i="58"/>
  <c r="C272" i="58"/>
  <c r="B272" i="58"/>
  <c r="A272" i="58"/>
  <c r="AF271" i="58"/>
  <c r="AE271" i="58"/>
  <c r="AD271" i="58"/>
  <c r="AC271" i="58"/>
  <c r="AB271" i="58"/>
  <c r="AA271" i="58"/>
  <c r="Z271" i="58"/>
  <c r="Y271" i="58"/>
  <c r="X271" i="58"/>
  <c r="W271" i="58"/>
  <c r="V271" i="58"/>
  <c r="U271" i="58"/>
  <c r="T271" i="58"/>
  <c r="S271" i="58"/>
  <c r="R271" i="58"/>
  <c r="Q271" i="58"/>
  <c r="P271" i="58"/>
  <c r="O271" i="58"/>
  <c r="N271" i="58"/>
  <c r="M271" i="58"/>
  <c r="L271" i="58"/>
  <c r="K271" i="58"/>
  <c r="J271" i="58"/>
  <c r="I271" i="58"/>
  <c r="H271" i="58"/>
  <c r="G271" i="58"/>
  <c r="F271" i="58"/>
  <c r="E271" i="58"/>
  <c r="D271" i="58"/>
  <c r="C271" i="58"/>
  <c r="B271" i="58"/>
  <c r="A271" i="58"/>
  <c r="AE270" i="58"/>
  <c r="AD270" i="58"/>
  <c r="AC270" i="58"/>
  <c r="AB270" i="58"/>
  <c r="AA270" i="58"/>
  <c r="Z270" i="58"/>
  <c r="Y270" i="58"/>
  <c r="X270" i="58"/>
  <c r="W270" i="58"/>
  <c r="V270" i="58"/>
  <c r="U270" i="58"/>
  <c r="T270" i="58"/>
  <c r="S270" i="58"/>
  <c r="R270" i="58"/>
  <c r="Q270" i="58"/>
  <c r="P270" i="58"/>
  <c r="B270" i="58"/>
  <c r="S245" i="58"/>
  <c r="AG235" i="58"/>
  <c r="AF235" i="58"/>
  <c r="AE235" i="58"/>
  <c r="AD235" i="58"/>
  <c r="AC235" i="58"/>
  <c r="AB235" i="58"/>
  <c r="AA235" i="58"/>
  <c r="Z235" i="58"/>
  <c r="Y235" i="58"/>
  <c r="X235" i="58"/>
  <c r="W235" i="58"/>
  <c r="V235" i="58"/>
  <c r="U235" i="58"/>
  <c r="T235" i="58"/>
  <c r="S235" i="58"/>
  <c r="R235" i="58"/>
  <c r="Q235" i="58"/>
  <c r="C235" i="58"/>
  <c r="D234" i="58"/>
  <c r="C270" i="58" s="1"/>
  <c r="B234" i="58"/>
  <c r="AF270" i="58" s="1"/>
  <c r="E233" i="58"/>
  <c r="F233" i="58" s="1"/>
  <c r="G233" i="58" s="1"/>
  <c r="H233" i="58" s="1"/>
  <c r="I233" i="58" s="1"/>
  <c r="J233" i="58" s="1"/>
  <c r="K233" i="58" s="1"/>
  <c r="L233" i="58" s="1"/>
  <c r="M233" i="58" s="1"/>
  <c r="N233" i="58" s="1"/>
  <c r="O233" i="58" s="1"/>
  <c r="P233" i="58" s="1"/>
  <c r="D233" i="58"/>
  <c r="B233" i="58"/>
  <c r="D232" i="58"/>
  <c r="E232" i="58" s="1"/>
  <c r="F232" i="58" s="1"/>
  <c r="G232" i="58" s="1"/>
  <c r="H232" i="58" s="1"/>
  <c r="I232" i="58" s="1"/>
  <c r="B232" i="58"/>
  <c r="D231" i="58"/>
  <c r="E231" i="58" s="1"/>
  <c r="F231" i="58" s="1"/>
  <c r="G231" i="58" s="1"/>
  <c r="H231" i="58" s="1"/>
  <c r="B231" i="58"/>
  <c r="D230" i="58"/>
  <c r="B230" i="58"/>
  <c r="E229" i="58"/>
  <c r="F229" i="58" s="1"/>
  <c r="D229" i="58"/>
  <c r="B229" i="58"/>
  <c r="B110" i="58" s="1"/>
  <c r="AG227" i="58"/>
  <c r="AF227" i="58"/>
  <c r="AE227" i="58"/>
  <c r="AD227" i="58"/>
  <c r="AC227" i="58"/>
  <c r="AB227" i="58"/>
  <c r="AA227" i="58"/>
  <c r="Z227" i="58"/>
  <c r="Y227" i="58"/>
  <c r="X227" i="58"/>
  <c r="W227" i="58"/>
  <c r="V227" i="58"/>
  <c r="U227" i="58"/>
  <c r="T227" i="58"/>
  <c r="S227" i="58"/>
  <c r="R227" i="58"/>
  <c r="Q227" i="58"/>
  <c r="P227" i="58"/>
  <c r="O227" i="58"/>
  <c r="N227" i="58"/>
  <c r="M227" i="58"/>
  <c r="L227" i="58"/>
  <c r="K227" i="58"/>
  <c r="J227" i="58"/>
  <c r="I227" i="58"/>
  <c r="H227" i="58"/>
  <c r="G227" i="58"/>
  <c r="F227" i="58"/>
  <c r="E227" i="58"/>
  <c r="D227" i="58"/>
  <c r="C227" i="58"/>
  <c r="B227" i="58"/>
  <c r="AI120" i="58"/>
  <c r="AH120" i="58"/>
  <c r="AI119" i="58"/>
  <c r="AH119" i="58"/>
  <c r="AI118" i="58"/>
  <c r="AH118" i="58"/>
  <c r="AI117" i="58"/>
  <c r="AH117" i="58"/>
  <c r="AI116" i="58"/>
  <c r="AH116" i="58"/>
  <c r="AI115" i="58"/>
  <c r="AH115" i="58"/>
  <c r="AI114" i="58"/>
  <c r="AH114" i="58"/>
  <c r="AI113" i="58"/>
  <c r="AI112" i="58"/>
  <c r="AH112" i="58"/>
  <c r="AI111" i="58"/>
  <c r="AH111" i="58"/>
  <c r="AF110" i="58"/>
  <c r="AE110" i="58"/>
  <c r="AC110" i="58"/>
  <c r="AB110" i="58"/>
  <c r="Z110" i="58"/>
  <c r="Y110" i="58"/>
  <c r="X110" i="58"/>
  <c r="W110" i="58"/>
  <c r="V110" i="58"/>
  <c r="U110" i="58"/>
  <c r="T110" i="58"/>
  <c r="S110" i="58"/>
  <c r="R110" i="58"/>
  <c r="Q110" i="58"/>
  <c r="D110" i="58"/>
  <c r="C110" i="58"/>
  <c r="AI109" i="58"/>
  <c r="AH109" i="58"/>
  <c r="AI108" i="58"/>
  <c r="AH108" i="58"/>
  <c r="AI107" i="58"/>
  <c r="AH107" i="58"/>
  <c r="AI106" i="58"/>
  <c r="AH106" i="58"/>
  <c r="AI105" i="58"/>
  <c r="AH105" i="58"/>
  <c r="AI104" i="58"/>
  <c r="AH104" i="58"/>
  <c r="AI103" i="58"/>
  <c r="AH103" i="58"/>
  <c r="AI102" i="58"/>
  <c r="AH102" i="58"/>
  <c r="AI101" i="58"/>
  <c r="AH101" i="58"/>
  <c r="AI99" i="58"/>
  <c r="AH99" i="58"/>
  <c r="AI98" i="58"/>
  <c r="AH98" i="58"/>
  <c r="AI97" i="58"/>
  <c r="AH97" i="58"/>
  <c r="AI96" i="58"/>
  <c r="AH96" i="58"/>
  <c r="AI95" i="58"/>
  <c r="AH95" i="58"/>
  <c r="AI94" i="58"/>
  <c r="AH94" i="58"/>
  <c r="AI93" i="58"/>
  <c r="AH93" i="58"/>
  <c r="AI90" i="58"/>
  <c r="AH90" i="58"/>
  <c r="AI88" i="58"/>
  <c r="AH88" i="58"/>
  <c r="AG88" i="58"/>
  <c r="AI87" i="58"/>
  <c r="AH87" i="58"/>
  <c r="AI86" i="58"/>
  <c r="AH86" i="58"/>
  <c r="AI85" i="58"/>
  <c r="AH85" i="58"/>
  <c r="AN84" i="58"/>
  <c r="AG84" i="58"/>
  <c r="AF84" i="58"/>
  <c r="AE84" i="58"/>
  <c r="AE100" i="58" s="1"/>
  <c r="AD84" i="58"/>
  <c r="AD100" i="58" s="1"/>
  <c r="AC84" i="58"/>
  <c r="AC100" i="58" s="1"/>
  <c r="AB84" i="58"/>
  <c r="AB100" i="58" s="1"/>
  <c r="Z84" i="58"/>
  <c r="Z100" i="58" s="1"/>
  <c r="Y84" i="58"/>
  <c r="Y100" i="58" s="1"/>
  <c r="X84" i="58"/>
  <c r="W84" i="58"/>
  <c r="W100" i="58" s="1"/>
  <c r="V84" i="58"/>
  <c r="V100" i="58" s="1"/>
  <c r="U84" i="58"/>
  <c r="U100" i="58" s="1"/>
  <c r="T84" i="58"/>
  <c r="T100" i="58" s="1"/>
  <c r="S84" i="58"/>
  <c r="S100" i="58" s="1"/>
  <c r="R84" i="58"/>
  <c r="R100" i="58" s="1"/>
  <c r="Q84" i="58"/>
  <c r="Q100" i="58" s="1"/>
  <c r="P84" i="58"/>
  <c r="O84" i="58"/>
  <c r="O100" i="58" s="1"/>
  <c r="N84" i="58"/>
  <c r="N100" i="58" s="1"/>
  <c r="M84" i="58"/>
  <c r="M100" i="58" s="1"/>
  <c r="L84" i="58"/>
  <c r="L100" i="58" s="1"/>
  <c r="K84" i="58"/>
  <c r="K100" i="58" s="1"/>
  <c r="J84" i="58"/>
  <c r="J100" i="58" s="1"/>
  <c r="I84" i="58"/>
  <c r="I100" i="58" s="1"/>
  <c r="H84" i="58"/>
  <c r="G84" i="58"/>
  <c r="G100" i="58" s="1"/>
  <c r="F84" i="58"/>
  <c r="F100" i="58" s="1"/>
  <c r="E84" i="58"/>
  <c r="E100" i="58" s="1"/>
  <c r="C84" i="58"/>
  <c r="C100" i="58" s="1"/>
  <c r="AI83" i="58"/>
  <c r="AH83" i="58"/>
  <c r="AN82" i="58"/>
  <c r="AN83" i="58" s="1"/>
  <c r="AI82" i="58"/>
  <c r="AH82" i="58"/>
  <c r="AN81" i="58"/>
  <c r="AI81" i="58"/>
  <c r="AH81" i="58"/>
  <c r="AI80" i="58"/>
  <c r="AH80" i="58"/>
  <c r="AI79" i="58"/>
  <c r="AH79" i="58"/>
  <c r="AI78" i="58"/>
  <c r="AH78" i="58"/>
  <c r="AI77" i="58"/>
  <c r="AH77" i="58"/>
  <c r="AI76" i="58"/>
  <c r="AH76" i="58"/>
  <c r="AI75" i="58"/>
  <c r="AH75" i="58"/>
  <c r="AI74" i="58"/>
  <c r="AH74" i="58"/>
  <c r="AI73" i="58"/>
  <c r="AH73" i="58"/>
  <c r="AG72" i="58"/>
  <c r="AF72" i="58"/>
  <c r="AE72" i="58"/>
  <c r="AD72" i="58"/>
  <c r="AC72" i="58"/>
  <c r="AB72" i="58"/>
  <c r="Z72" i="58"/>
  <c r="Y72" i="58"/>
  <c r="X72" i="58"/>
  <c r="W72" i="58"/>
  <c r="V72" i="58"/>
  <c r="U72" i="58"/>
  <c r="T72" i="58"/>
  <c r="S72" i="58"/>
  <c r="R72" i="58"/>
  <c r="Q72" i="58"/>
  <c r="P72" i="58"/>
  <c r="O72" i="58"/>
  <c r="N72" i="58"/>
  <c r="M72" i="58"/>
  <c r="L72" i="58"/>
  <c r="AI71" i="58"/>
  <c r="AH71" i="58"/>
  <c r="AI70" i="58"/>
  <c r="AH70" i="58"/>
  <c r="AI69" i="58"/>
  <c r="AH69" i="58"/>
  <c r="AF68" i="58"/>
  <c r="AE68" i="58"/>
  <c r="AD68" i="58"/>
  <c r="AC68" i="58"/>
  <c r="AB68" i="58"/>
  <c r="Z68" i="58"/>
  <c r="Y68" i="58"/>
  <c r="X68" i="58"/>
  <c r="W68" i="58"/>
  <c r="V68" i="58"/>
  <c r="U68" i="58"/>
  <c r="T68" i="58"/>
  <c r="S68" i="58"/>
  <c r="R68" i="58"/>
  <c r="Q68" i="58"/>
  <c r="P68" i="58"/>
  <c r="O68" i="58"/>
  <c r="N68" i="58"/>
  <c r="M68" i="58"/>
  <c r="L68" i="58"/>
  <c r="K68" i="58"/>
  <c r="J68" i="58"/>
  <c r="I68" i="58"/>
  <c r="H68" i="58"/>
  <c r="G68" i="58"/>
  <c r="F68" i="58"/>
  <c r="C68" i="58"/>
  <c r="AI67" i="58"/>
  <c r="AH67" i="58"/>
  <c r="AG67" i="58"/>
  <c r="AG68" i="58" s="1"/>
  <c r="AG3" i="58" s="1"/>
  <c r="AG6" i="58" s="1"/>
  <c r="AI66" i="58"/>
  <c r="AH66" i="58"/>
  <c r="AI65" i="58"/>
  <c r="AH65" i="58"/>
  <c r="AI64" i="58"/>
  <c r="AH64" i="58"/>
  <c r="AI63" i="58"/>
  <c r="AH63" i="58"/>
  <c r="AI62" i="58"/>
  <c r="AH62" i="58"/>
  <c r="AI61" i="58"/>
  <c r="AH61" i="58"/>
  <c r="AI60" i="58"/>
  <c r="AH60" i="58"/>
  <c r="AI59" i="58"/>
  <c r="AH59" i="58"/>
  <c r="AI58" i="58"/>
  <c r="AH58" i="58"/>
  <c r="AI57" i="58"/>
  <c r="AH57" i="58"/>
  <c r="AI56" i="58"/>
  <c r="AH56" i="58"/>
  <c r="AI55" i="58"/>
  <c r="AH55" i="58"/>
  <c r="AG54" i="58"/>
  <c r="AF54" i="58"/>
  <c r="AE54" i="58"/>
  <c r="AD54" i="58"/>
  <c r="AC54" i="58"/>
  <c r="AB54" i="58"/>
  <c r="Z54" i="58"/>
  <c r="Y54" i="58"/>
  <c r="X54" i="58"/>
  <c r="W54" i="58"/>
  <c r="V54" i="58"/>
  <c r="U54" i="58"/>
  <c r="T54" i="58"/>
  <c r="S54" i="58"/>
  <c r="R54" i="58"/>
  <c r="Q54" i="58"/>
  <c r="P54" i="58"/>
  <c r="O54" i="58"/>
  <c r="N54" i="58"/>
  <c r="M54" i="58"/>
  <c r="L54" i="58"/>
  <c r="K54" i="58"/>
  <c r="J54" i="58"/>
  <c r="I54" i="58"/>
  <c r="H54" i="58"/>
  <c r="G54" i="58"/>
  <c r="F54" i="58"/>
  <c r="C54" i="58"/>
  <c r="AI53" i="58"/>
  <c r="AH53" i="58"/>
  <c r="AI52" i="58"/>
  <c r="AH52" i="58"/>
  <c r="AI51" i="58"/>
  <c r="AH51" i="58"/>
  <c r="AG50" i="58"/>
  <c r="AG2" i="58" s="1"/>
  <c r="AF50" i="58"/>
  <c r="AE50" i="58"/>
  <c r="AD50" i="58"/>
  <c r="AC50" i="58"/>
  <c r="AB50" i="58"/>
  <c r="Z50" i="58"/>
  <c r="Y50" i="58"/>
  <c r="X50" i="58"/>
  <c r="W50" i="58"/>
  <c r="V50" i="58"/>
  <c r="U50" i="58"/>
  <c r="T50" i="58"/>
  <c r="S50" i="58"/>
  <c r="R50" i="58"/>
  <c r="Q50" i="58"/>
  <c r="P50" i="58"/>
  <c r="O50" i="58"/>
  <c r="N50" i="58"/>
  <c r="M50" i="58"/>
  <c r="L50" i="58"/>
  <c r="K50" i="58"/>
  <c r="J50" i="58"/>
  <c r="I50" i="58"/>
  <c r="H50" i="58"/>
  <c r="G50" i="58"/>
  <c r="F50" i="58"/>
  <c r="AI49" i="58"/>
  <c r="AH49" i="58"/>
  <c r="AI48" i="58"/>
  <c r="AH48" i="58"/>
  <c r="AI47" i="58"/>
  <c r="AH47" i="58"/>
  <c r="AI46" i="58"/>
  <c r="AH46" i="58"/>
  <c r="AI45" i="58"/>
  <c r="AH45" i="58"/>
  <c r="AI44" i="58"/>
  <c r="AH44" i="58"/>
  <c r="AI43" i="58"/>
  <c r="AH43" i="58"/>
  <c r="AI42" i="58"/>
  <c r="AH42" i="58"/>
  <c r="AI41" i="58"/>
  <c r="AH41" i="58"/>
  <c r="AI40" i="58"/>
  <c r="AH40" i="58"/>
  <c r="AI39" i="58"/>
  <c r="AH39" i="58"/>
  <c r="AI38" i="58"/>
  <c r="AH38" i="58"/>
  <c r="AI37" i="58"/>
  <c r="AH37" i="58"/>
  <c r="AI36" i="58"/>
  <c r="AH36" i="58"/>
  <c r="AI35" i="58"/>
  <c r="AH35" i="58"/>
  <c r="AI34" i="58"/>
  <c r="AH34" i="58"/>
  <c r="AI33" i="58"/>
  <c r="AH33" i="58"/>
  <c r="AI32" i="58"/>
  <c r="AH32" i="58"/>
  <c r="AI31" i="58"/>
  <c r="AH31" i="58"/>
  <c r="AI30" i="58"/>
  <c r="AH30" i="58"/>
  <c r="AI29" i="58"/>
  <c r="AH29" i="58"/>
  <c r="AI28" i="58"/>
  <c r="AH28" i="58"/>
  <c r="AI27" i="58"/>
  <c r="AH27" i="58"/>
  <c r="AI26" i="58"/>
  <c r="AH26" i="58"/>
  <c r="AI25" i="58"/>
  <c r="AH25" i="58"/>
  <c r="AI24" i="58"/>
  <c r="AH24" i="58"/>
  <c r="AI23" i="58"/>
  <c r="AH23" i="58"/>
  <c r="AI22" i="58"/>
  <c r="AH22" i="58"/>
  <c r="AI21" i="58"/>
  <c r="AH21" i="58"/>
  <c r="AI20" i="58"/>
  <c r="AH20" i="58"/>
  <c r="AI19" i="58"/>
  <c r="AH19" i="58"/>
  <c r="AI18" i="58"/>
  <c r="AH18" i="58"/>
  <c r="AI17" i="58"/>
  <c r="AH17" i="58"/>
  <c r="AI16" i="58"/>
  <c r="AH16" i="58"/>
  <c r="AI15" i="58"/>
  <c r="AH15" i="58"/>
  <c r="AI14" i="58"/>
  <c r="AH14" i="58"/>
  <c r="AI13" i="58"/>
  <c r="AH13" i="58"/>
  <c r="AI12" i="58"/>
  <c r="AH12" i="58"/>
  <c r="AI11" i="58"/>
  <c r="AH11" i="58"/>
  <c r="AG4" i="58"/>
  <c r="K4" i="58"/>
  <c r="E4" i="58"/>
  <c r="H4" i="58" s="1"/>
  <c r="B4" i="58"/>
  <c r="D246" i="58" s="1"/>
  <c r="AF113" i="57"/>
  <c r="AF110" i="57" s="1"/>
  <c r="AF50" i="57"/>
  <c r="AF54" i="57"/>
  <c r="AF68" i="57"/>
  <c r="AF72" i="57"/>
  <c r="AF84" i="57"/>
  <c r="AF100" i="57" s="1"/>
  <c r="AD5" i="58" l="1"/>
  <c r="AB5" i="58"/>
  <c r="AA5" i="58"/>
  <c r="AB89" i="58"/>
  <c r="AB91" i="58" s="1"/>
  <c r="AB7" i="58" s="1"/>
  <c r="Z89" i="58"/>
  <c r="Z91" i="58" s="1"/>
  <c r="Y89" i="58"/>
  <c r="Y91" i="58" s="1"/>
  <c r="AQ249" i="58" s="1"/>
  <c r="V5" i="58"/>
  <c r="U5" i="58"/>
  <c r="R5" i="58"/>
  <c r="T89" i="58"/>
  <c r="T91" i="58" s="1"/>
  <c r="T92" i="58" s="1"/>
  <c r="T5" i="58"/>
  <c r="Q5" i="58"/>
  <c r="R89" i="58"/>
  <c r="R91" i="58" s="1"/>
  <c r="R7" i="58" s="1"/>
  <c r="Q89" i="58"/>
  <c r="Q91" i="58" s="1"/>
  <c r="AI249" i="58" s="1"/>
  <c r="L5" i="58"/>
  <c r="N5" i="58"/>
  <c r="AH72" i="58"/>
  <c r="U89" i="58"/>
  <c r="U91" i="58" s="1"/>
  <c r="AM249" i="58" s="1"/>
  <c r="AC89" i="58"/>
  <c r="AC91" i="58" s="1"/>
  <c r="AC92" i="58" s="1"/>
  <c r="N89" i="58"/>
  <c r="N91" i="58" s="1"/>
  <c r="AF249" i="58" s="1"/>
  <c r="M89" i="58"/>
  <c r="M91" i="58" s="1"/>
  <c r="AE249" i="58" s="1"/>
  <c r="K5" i="58"/>
  <c r="L89" i="58"/>
  <c r="L91" i="58" s="1"/>
  <c r="L7" i="58" s="1"/>
  <c r="J5" i="58"/>
  <c r="J89" i="58"/>
  <c r="J91" i="58" s="1"/>
  <c r="J7" i="58" s="1"/>
  <c r="I89" i="58"/>
  <c r="I91" i="58" s="1"/>
  <c r="AA249" i="58" s="1"/>
  <c r="K89" i="58"/>
  <c r="K91" i="58" s="1"/>
  <c r="K92" i="58" s="1"/>
  <c r="I5" i="58"/>
  <c r="S5" i="58"/>
  <c r="AC5" i="58"/>
  <c r="AI72" i="58"/>
  <c r="V89" i="58"/>
  <c r="V91" i="58" s="1"/>
  <c r="AN249" i="58" s="1"/>
  <c r="AD89" i="58"/>
  <c r="AD91" i="58" s="1"/>
  <c r="AD7" i="58" s="1"/>
  <c r="M5" i="58"/>
  <c r="Y5" i="58"/>
  <c r="AG91" i="58"/>
  <c r="AG89" i="58"/>
  <c r="D235" i="58"/>
  <c r="F5" i="58"/>
  <c r="E5" i="58"/>
  <c r="F89" i="58"/>
  <c r="F91" i="58" s="1"/>
  <c r="F92" i="58" s="1"/>
  <c r="D5" i="58"/>
  <c r="E89" i="58"/>
  <c r="E91" i="58" s="1"/>
  <c r="E92" i="58" s="1"/>
  <c r="AI68" i="58"/>
  <c r="AH113" i="58"/>
  <c r="D89" i="58"/>
  <c r="D91" i="58" s="1"/>
  <c r="D7" i="58" s="1"/>
  <c r="D100" i="58"/>
  <c r="B5" i="58"/>
  <c r="AH54" i="58"/>
  <c r="C89" i="58"/>
  <c r="C91" i="58" s="1"/>
  <c r="C7" i="58" s="1"/>
  <c r="AF5" i="58"/>
  <c r="B89" i="58"/>
  <c r="B91" i="58" s="1"/>
  <c r="B92" i="58" s="1"/>
  <c r="AF100" i="58"/>
  <c r="AE5" i="58"/>
  <c r="Z7" i="58"/>
  <c r="Z92" i="58"/>
  <c r="AR249" i="58"/>
  <c r="S89" i="58"/>
  <c r="S91" i="58" s="1"/>
  <c r="AH68" i="58"/>
  <c r="O5" i="58"/>
  <c r="P100" i="58"/>
  <c r="H100" i="58"/>
  <c r="G5" i="58"/>
  <c r="W5" i="58"/>
  <c r="X100" i="58"/>
  <c r="G89" i="58"/>
  <c r="G91" i="58" s="1"/>
  <c r="O89" i="58"/>
  <c r="O91" i="58" s="1"/>
  <c r="W89" i="58"/>
  <c r="W91" i="58" s="1"/>
  <c r="AE89" i="58"/>
  <c r="AE91" i="58" s="1"/>
  <c r="G229" i="58"/>
  <c r="J232" i="58"/>
  <c r="K232" i="58" s="1"/>
  <c r="L232" i="58" s="1"/>
  <c r="M232" i="58" s="1"/>
  <c r="N232" i="58" s="1"/>
  <c r="O232" i="58" s="1"/>
  <c r="P232" i="58" s="1"/>
  <c r="H89" i="58"/>
  <c r="H91" i="58" s="1"/>
  <c r="P89" i="58"/>
  <c r="P91" i="58" s="1"/>
  <c r="X89" i="58"/>
  <c r="X91" i="58" s="1"/>
  <c r="AF89" i="58"/>
  <c r="AF91" i="58" s="1"/>
  <c r="AI54" i="58"/>
  <c r="E230" i="58"/>
  <c r="E234" i="58"/>
  <c r="S246" i="58"/>
  <c r="H5" i="58"/>
  <c r="P5" i="58"/>
  <c r="X5" i="58"/>
  <c r="AH84" i="58"/>
  <c r="AI84" i="58"/>
  <c r="B235" i="58"/>
  <c r="AH50" i="58"/>
  <c r="AI50" i="58"/>
  <c r="AF89" i="57"/>
  <c r="AF91" i="57" s="1"/>
  <c r="AF92" i="57" s="1"/>
  <c r="AU249" i="58" l="1"/>
  <c r="AC7" i="58"/>
  <c r="AB92" i="58"/>
  <c r="AT249" i="58"/>
  <c r="Y7" i="58"/>
  <c r="Y92" i="58"/>
  <c r="T7" i="58"/>
  <c r="AV249" i="58"/>
  <c r="AL249" i="58"/>
  <c r="L92" i="58"/>
  <c r="AB249" i="58"/>
  <c r="AD92" i="58"/>
  <c r="J92" i="58"/>
  <c r="U92" i="58"/>
  <c r="U7" i="58"/>
  <c r="AJ249" i="58"/>
  <c r="R92" i="58"/>
  <c r="Q92" i="58"/>
  <c r="Q7" i="58"/>
  <c r="M92" i="58"/>
  <c r="N92" i="58"/>
  <c r="N7" i="58"/>
  <c r="V92" i="58"/>
  <c r="V7" i="58"/>
  <c r="AD249" i="58"/>
  <c r="M7" i="58"/>
  <c r="AC249" i="58"/>
  <c r="K7" i="58"/>
  <c r="I92" i="58"/>
  <c r="I7" i="58"/>
  <c r="X249" i="58"/>
  <c r="AI100" i="58"/>
  <c r="F7" i="58"/>
  <c r="W249" i="58"/>
  <c r="E7" i="58"/>
  <c r="V249" i="58"/>
  <c r="D92" i="58"/>
  <c r="C92" i="58"/>
  <c r="U249" i="58"/>
  <c r="AO249" i="58"/>
  <c r="W7" i="58"/>
  <c r="W92" i="58"/>
  <c r="AG249" i="58"/>
  <c r="O7" i="58"/>
  <c r="O92" i="58"/>
  <c r="Y249" i="58"/>
  <c r="C244" i="58"/>
  <c r="G7" i="58"/>
  <c r="B244" i="58"/>
  <c r="G92" i="58"/>
  <c r="B7" i="58"/>
  <c r="AI91" i="58"/>
  <c r="T249" i="58"/>
  <c r="AH91" i="58"/>
  <c r="H229" i="58"/>
  <c r="AH100" i="58"/>
  <c r="AW249" i="58"/>
  <c r="AE7" i="58"/>
  <c r="AE92" i="58"/>
  <c r="AF7" i="58"/>
  <c r="AF92" i="58"/>
  <c r="AX249" i="58"/>
  <c r="AH89" i="58"/>
  <c r="AP249" i="58"/>
  <c r="X7" i="58"/>
  <c r="X92" i="58"/>
  <c r="AI89" i="58"/>
  <c r="E110" i="58"/>
  <c r="D270" i="58"/>
  <c r="F234" i="58"/>
  <c r="P7" i="58"/>
  <c r="P92" i="58"/>
  <c r="AH249" i="58"/>
  <c r="F230" i="58"/>
  <c r="E235" i="58"/>
  <c r="H7" i="58"/>
  <c r="Z249" i="58"/>
  <c r="H92" i="58"/>
  <c r="AA7" i="58"/>
  <c r="AS249" i="58"/>
  <c r="S7" i="58"/>
  <c r="S92" i="58"/>
  <c r="AK249" i="58"/>
  <c r="I229" i="58" l="1"/>
  <c r="G230" i="58"/>
  <c r="F235" i="58"/>
  <c r="A7" i="58"/>
  <c r="AI92" i="58"/>
  <c r="AH92" i="58"/>
  <c r="E270" i="58"/>
  <c r="G234" i="58"/>
  <c r="F110" i="58"/>
  <c r="K6" i="58"/>
  <c r="F270" i="58" l="1"/>
  <c r="H234" i="58"/>
  <c r="G110" i="58"/>
  <c r="H230" i="58"/>
  <c r="G235" i="58"/>
  <c r="J229" i="58"/>
  <c r="I230" i="58" l="1"/>
  <c r="H235" i="58"/>
  <c r="G270" i="58"/>
  <c r="I234" i="58"/>
  <c r="H110" i="58"/>
  <c r="K229" i="58"/>
  <c r="H270" i="58" l="1"/>
  <c r="J234" i="58"/>
  <c r="I110" i="58"/>
  <c r="L229" i="58"/>
  <c r="J230" i="58"/>
  <c r="M229" i="58" l="1"/>
  <c r="K234" i="58"/>
  <c r="I270" i="58"/>
  <c r="J110" i="58"/>
  <c r="K230" i="58"/>
  <c r="L230" i="58" l="1"/>
  <c r="N229" i="58"/>
  <c r="L234" i="58"/>
  <c r="J270" i="58"/>
  <c r="K110" i="58"/>
  <c r="K270" i="58" l="1"/>
  <c r="M234" i="58"/>
  <c r="L110" i="58"/>
  <c r="M230" i="58"/>
  <c r="O229" i="58"/>
  <c r="P229" i="58" l="1"/>
  <c r="N230" i="58"/>
  <c r="L270" i="58"/>
  <c r="N234" i="58"/>
  <c r="M110" i="58"/>
  <c r="M270" i="58" l="1"/>
  <c r="O234" i="58"/>
  <c r="N110" i="58"/>
  <c r="O230" i="58"/>
  <c r="P230" i="58" l="1"/>
  <c r="N270" i="58"/>
  <c r="P234" i="58"/>
  <c r="O270" i="58" s="1"/>
  <c r="O110" i="58"/>
  <c r="AI110" i="58" l="1"/>
  <c r="AH110" i="58"/>
  <c r="AC113" i="57" l="1"/>
  <c r="AC50" i="57"/>
  <c r="AC54" i="57"/>
  <c r="AC68" i="57"/>
  <c r="AC72" i="57"/>
  <c r="AC84" i="57"/>
  <c r="AB113" i="57"/>
  <c r="AC89" i="57" l="1"/>
  <c r="R113" i="57" l="1"/>
  <c r="O113" i="57" l="1"/>
  <c r="N113" i="57"/>
  <c r="L113" i="57"/>
  <c r="K113" i="57"/>
  <c r="J113" i="57"/>
  <c r="I113" i="57"/>
  <c r="H113" i="57"/>
  <c r="G113" i="57"/>
  <c r="AI113" i="57" s="1"/>
  <c r="F113" i="57"/>
  <c r="AF274" i="57"/>
  <c r="AE274" i="57"/>
  <c r="AD274" i="57"/>
  <c r="AC274" i="57"/>
  <c r="AB274" i="57"/>
  <c r="AA274" i="57"/>
  <c r="Z274" i="57"/>
  <c r="Y274" i="57"/>
  <c r="X274" i="57"/>
  <c r="W274" i="57"/>
  <c r="V274" i="57"/>
  <c r="U274" i="57"/>
  <c r="T274" i="57"/>
  <c r="S274" i="57"/>
  <c r="R274" i="57"/>
  <c r="Q274" i="57"/>
  <c r="P274" i="57"/>
  <c r="O274" i="57"/>
  <c r="N274" i="57"/>
  <c r="M274" i="57"/>
  <c r="L274" i="57"/>
  <c r="K274" i="57"/>
  <c r="J274" i="57"/>
  <c r="I274" i="57"/>
  <c r="H274" i="57"/>
  <c r="G274" i="57"/>
  <c r="F274" i="57"/>
  <c r="E274" i="57"/>
  <c r="D274" i="57"/>
  <c r="C274" i="57"/>
  <c r="B274" i="57"/>
  <c r="A274" i="57"/>
  <c r="AF273" i="57"/>
  <c r="AE273" i="57"/>
  <c r="AD273" i="57"/>
  <c r="AC273" i="57"/>
  <c r="AB273" i="57"/>
  <c r="AA273" i="57"/>
  <c r="Z273" i="57"/>
  <c r="Y273" i="57"/>
  <c r="X273" i="57"/>
  <c r="W273" i="57"/>
  <c r="V273" i="57"/>
  <c r="U273" i="57"/>
  <c r="T273" i="57"/>
  <c r="S273" i="57"/>
  <c r="R273" i="57"/>
  <c r="Q273" i="57"/>
  <c r="P273" i="57"/>
  <c r="O273" i="57"/>
  <c r="N273" i="57"/>
  <c r="M273" i="57"/>
  <c r="L273" i="57"/>
  <c r="K273" i="57"/>
  <c r="J273" i="57"/>
  <c r="I273" i="57"/>
  <c r="H273" i="57"/>
  <c r="G273" i="57"/>
  <c r="F273" i="57"/>
  <c r="E273" i="57"/>
  <c r="D273" i="57"/>
  <c r="C273" i="57"/>
  <c r="B273" i="57"/>
  <c r="A273" i="57"/>
  <c r="AF272" i="57"/>
  <c r="AE272" i="57"/>
  <c r="AD272" i="57"/>
  <c r="AC272" i="57"/>
  <c r="AB272" i="57"/>
  <c r="AA272" i="57"/>
  <c r="Z272" i="57"/>
  <c r="Y272" i="57"/>
  <c r="X272" i="57"/>
  <c r="W272" i="57"/>
  <c r="V272" i="57"/>
  <c r="U272" i="57"/>
  <c r="T272" i="57"/>
  <c r="S272" i="57"/>
  <c r="R272" i="57"/>
  <c r="Q272" i="57"/>
  <c r="P272" i="57"/>
  <c r="O272" i="57"/>
  <c r="N272" i="57"/>
  <c r="M272" i="57"/>
  <c r="L272" i="57"/>
  <c r="K272" i="57"/>
  <c r="J272" i="57"/>
  <c r="I272" i="57"/>
  <c r="H272" i="57"/>
  <c r="G272" i="57"/>
  <c r="F272" i="57"/>
  <c r="E272" i="57"/>
  <c r="D272" i="57"/>
  <c r="C272" i="57"/>
  <c r="B272" i="57"/>
  <c r="A272" i="57"/>
  <c r="AF271" i="57"/>
  <c r="AE271" i="57"/>
  <c r="AD271" i="57"/>
  <c r="AC271" i="57"/>
  <c r="AB271" i="57"/>
  <c r="AA271" i="57"/>
  <c r="Z271" i="57"/>
  <c r="Y271" i="57"/>
  <c r="X271" i="57"/>
  <c r="W271" i="57"/>
  <c r="V271" i="57"/>
  <c r="U271" i="57"/>
  <c r="T271" i="57"/>
  <c r="S271" i="57"/>
  <c r="R271" i="57"/>
  <c r="Q271" i="57"/>
  <c r="P271" i="57"/>
  <c r="O271" i="57"/>
  <c r="N271" i="57"/>
  <c r="M271" i="57"/>
  <c r="L271" i="57"/>
  <c r="K271" i="57"/>
  <c r="J271" i="57"/>
  <c r="I271" i="57"/>
  <c r="H271" i="57"/>
  <c r="G271" i="57"/>
  <c r="F271" i="57"/>
  <c r="E271" i="57"/>
  <c r="D271" i="57"/>
  <c r="C271" i="57"/>
  <c r="B271" i="57"/>
  <c r="A271" i="57"/>
  <c r="AE270" i="57"/>
  <c r="AD270" i="57"/>
  <c r="AC270" i="57"/>
  <c r="AB270" i="57"/>
  <c r="AA270" i="57"/>
  <c r="Z270" i="57"/>
  <c r="Y270" i="57"/>
  <c r="X270" i="57"/>
  <c r="W270" i="57"/>
  <c r="V270" i="57"/>
  <c r="U270" i="57"/>
  <c r="T270" i="57"/>
  <c r="S270" i="57"/>
  <c r="R270" i="57"/>
  <c r="Q270" i="57"/>
  <c r="P270" i="57"/>
  <c r="B270" i="57"/>
  <c r="S245" i="57"/>
  <c r="AG235" i="57"/>
  <c r="AF235" i="57"/>
  <c r="AE235" i="57"/>
  <c r="AD235" i="57"/>
  <c r="AC235" i="57"/>
  <c r="AB235" i="57"/>
  <c r="AA235" i="57"/>
  <c r="Z235" i="57"/>
  <c r="Y235" i="57"/>
  <c r="X235" i="57"/>
  <c r="W235" i="57"/>
  <c r="V235" i="57"/>
  <c r="U235" i="57"/>
  <c r="T235" i="57"/>
  <c r="S235" i="57"/>
  <c r="R235" i="57"/>
  <c r="Q235" i="57"/>
  <c r="C235" i="57"/>
  <c r="D234" i="57"/>
  <c r="C270" i="57" s="1"/>
  <c r="B234" i="57"/>
  <c r="AF270" i="57" s="1"/>
  <c r="D233" i="57"/>
  <c r="E233" i="57" s="1"/>
  <c r="F233" i="57" s="1"/>
  <c r="G233" i="57" s="1"/>
  <c r="H233" i="57" s="1"/>
  <c r="I233" i="57" s="1"/>
  <c r="J233" i="57" s="1"/>
  <c r="K233" i="57" s="1"/>
  <c r="L233" i="57" s="1"/>
  <c r="M233" i="57" s="1"/>
  <c r="N233" i="57" s="1"/>
  <c r="O233" i="57" s="1"/>
  <c r="P233" i="57" s="1"/>
  <c r="B233" i="57"/>
  <c r="D232" i="57"/>
  <c r="E232" i="57" s="1"/>
  <c r="F232" i="57" s="1"/>
  <c r="G232" i="57" s="1"/>
  <c r="H232" i="57" s="1"/>
  <c r="I232" i="57" s="1"/>
  <c r="B232" i="57"/>
  <c r="E231" i="57"/>
  <c r="F231" i="57" s="1"/>
  <c r="G231" i="57" s="1"/>
  <c r="H231" i="57" s="1"/>
  <c r="D231" i="57"/>
  <c r="B231" i="57"/>
  <c r="E230" i="57"/>
  <c r="F230" i="57" s="1"/>
  <c r="G230" i="57" s="1"/>
  <c r="H230" i="57" s="1"/>
  <c r="I230" i="57" s="1"/>
  <c r="J230" i="57" s="1"/>
  <c r="K230" i="57" s="1"/>
  <c r="L230" i="57" s="1"/>
  <c r="M230" i="57" s="1"/>
  <c r="N230" i="57" s="1"/>
  <c r="O230" i="57" s="1"/>
  <c r="P230" i="57" s="1"/>
  <c r="D230" i="57"/>
  <c r="B230" i="57"/>
  <c r="D229" i="57"/>
  <c r="B229" i="57"/>
  <c r="B110" i="57" s="1"/>
  <c r="AG227" i="57"/>
  <c r="AF227" i="57"/>
  <c r="AE227" i="57"/>
  <c r="AD227" i="57"/>
  <c r="AC227" i="57"/>
  <c r="AB227" i="57"/>
  <c r="AA227" i="57"/>
  <c r="Z227" i="57"/>
  <c r="Y227" i="57"/>
  <c r="X227" i="57"/>
  <c r="W227" i="57"/>
  <c r="V227" i="57"/>
  <c r="U227" i="57"/>
  <c r="T227" i="57"/>
  <c r="S227" i="57"/>
  <c r="R227" i="57"/>
  <c r="Q227" i="57"/>
  <c r="P227" i="57"/>
  <c r="O227" i="57"/>
  <c r="N227" i="57"/>
  <c r="M227" i="57"/>
  <c r="L227" i="57"/>
  <c r="K227" i="57"/>
  <c r="J227" i="57"/>
  <c r="I227" i="57"/>
  <c r="H227" i="57"/>
  <c r="G227" i="57"/>
  <c r="F227" i="57"/>
  <c r="E227" i="57"/>
  <c r="D227" i="57"/>
  <c r="C227" i="57"/>
  <c r="B227" i="57"/>
  <c r="AI120" i="57"/>
  <c r="AH120" i="57"/>
  <c r="AI119" i="57"/>
  <c r="AH119" i="57"/>
  <c r="AI118" i="57"/>
  <c r="AH118" i="57"/>
  <c r="AI117" i="57"/>
  <c r="AH117" i="57"/>
  <c r="AI116" i="57"/>
  <c r="AH116" i="57"/>
  <c r="AI115" i="57"/>
  <c r="AH115" i="57"/>
  <c r="AI114" i="57"/>
  <c r="AI112" i="57"/>
  <c r="AH112" i="57"/>
  <c r="AI111" i="57"/>
  <c r="AH111" i="57"/>
  <c r="AE110" i="57"/>
  <c r="AD110" i="57"/>
  <c r="AC110" i="57"/>
  <c r="AA110" i="57"/>
  <c r="Z110" i="57"/>
  <c r="Y110" i="57"/>
  <c r="X110" i="57"/>
  <c r="W110" i="57"/>
  <c r="V110" i="57"/>
  <c r="U110" i="57"/>
  <c r="T110" i="57"/>
  <c r="S110" i="57"/>
  <c r="R110" i="57"/>
  <c r="Q110" i="57"/>
  <c r="C110" i="57"/>
  <c r="AI109" i="57"/>
  <c r="AH109" i="57"/>
  <c r="AI108" i="57"/>
  <c r="AH108" i="57"/>
  <c r="AI107" i="57"/>
  <c r="AH107" i="57"/>
  <c r="AI106" i="57"/>
  <c r="AH106" i="57"/>
  <c r="AI105" i="57"/>
  <c r="AH105" i="57"/>
  <c r="AI104" i="57"/>
  <c r="AH104" i="57"/>
  <c r="AI103" i="57"/>
  <c r="AH103" i="57"/>
  <c r="AI102" i="57"/>
  <c r="AH102" i="57"/>
  <c r="AI101" i="57"/>
  <c r="AH101" i="57"/>
  <c r="AI99" i="57"/>
  <c r="AH99" i="57"/>
  <c r="AI98" i="57"/>
  <c r="AH98" i="57"/>
  <c r="AI97" i="57"/>
  <c r="AH97" i="57"/>
  <c r="AI96" i="57"/>
  <c r="AH96" i="57"/>
  <c r="AI95" i="57"/>
  <c r="AH95" i="57"/>
  <c r="AI94" i="57"/>
  <c r="AH94" i="57"/>
  <c r="AI93" i="57"/>
  <c r="AH93" i="57"/>
  <c r="AI90" i="57"/>
  <c r="AH90" i="57"/>
  <c r="AI88" i="57"/>
  <c r="AH88" i="57"/>
  <c r="AG88" i="57"/>
  <c r="AI87" i="57"/>
  <c r="AH87" i="57"/>
  <c r="AI86" i="57"/>
  <c r="AH86" i="57"/>
  <c r="AI85" i="57"/>
  <c r="AH85" i="57"/>
  <c r="AN84" i="57"/>
  <c r="AG84" i="57"/>
  <c r="AE84" i="57"/>
  <c r="AE100" i="57" s="1"/>
  <c r="AD84" i="57"/>
  <c r="AD100" i="57" s="1"/>
  <c r="AC100" i="57"/>
  <c r="AB84" i="57"/>
  <c r="AB100" i="57" s="1"/>
  <c r="AA84" i="57"/>
  <c r="AA100" i="57" s="1"/>
  <c r="Z84" i="57"/>
  <c r="Z100" i="57" s="1"/>
  <c r="Y84" i="57"/>
  <c r="Y100" i="57" s="1"/>
  <c r="X84" i="57"/>
  <c r="X100" i="57" s="1"/>
  <c r="W84" i="57"/>
  <c r="W100" i="57" s="1"/>
  <c r="V84" i="57"/>
  <c r="V100" i="57" s="1"/>
  <c r="U84" i="57"/>
  <c r="U100" i="57" s="1"/>
  <c r="T84" i="57"/>
  <c r="S5" i="57" s="1"/>
  <c r="S84" i="57"/>
  <c r="S100" i="57" s="1"/>
  <c r="R84" i="57"/>
  <c r="R100" i="57" s="1"/>
  <c r="Q84" i="57"/>
  <c r="Q100" i="57" s="1"/>
  <c r="P84" i="57"/>
  <c r="P100" i="57" s="1"/>
  <c r="O84" i="57"/>
  <c r="O100" i="57" s="1"/>
  <c r="N84" i="57"/>
  <c r="N100" i="57" s="1"/>
  <c r="M84" i="57"/>
  <c r="M100" i="57" s="1"/>
  <c r="L84" i="57"/>
  <c r="L100" i="57" s="1"/>
  <c r="K84" i="57"/>
  <c r="K100" i="57" s="1"/>
  <c r="J84" i="57"/>
  <c r="J100" i="57" s="1"/>
  <c r="I84" i="57"/>
  <c r="I100" i="57" s="1"/>
  <c r="H84" i="57"/>
  <c r="H100" i="57" s="1"/>
  <c r="G84" i="57"/>
  <c r="G100" i="57" s="1"/>
  <c r="F84" i="57"/>
  <c r="F100" i="57" s="1"/>
  <c r="E84" i="57"/>
  <c r="E100" i="57" s="1"/>
  <c r="D84" i="57"/>
  <c r="D100" i="57" s="1"/>
  <c r="C84" i="57"/>
  <c r="C100" i="57" s="1"/>
  <c r="B84" i="57"/>
  <c r="B100" i="57" s="1"/>
  <c r="AI83" i="57"/>
  <c r="AH83" i="57"/>
  <c r="AN82" i="57"/>
  <c r="AI82" i="57"/>
  <c r="AH82" i="57"/>
  <c r="AN81" i="57"/>
  <c r="AN83" i="57" s="1"/>
  <c r="AI81" i="57"/>
  <c r="AH81" i="57"/>
  <c r="AI80" i="57"/>
  <c r="AH80" i="57"/>
  <c r="AI79" i="57"/>
  <c r="AH79" i="57"/>
  <c r="AI78" i="57"/>
  <c r="AH78" i="57"/>
  <c r="AI77" i="57"/>
  <c r="AH77" i="57"/>
  <c r="AI76" i="57"/>
  <c r="AH76" i="57"/>
  <c r="AI75" i="57"/>
  <c r="AH75" i="57"/>
  <c r="AI74" i="57"/>
  <c r="AH74" i="57"/>
  <c r="AI73" i="57"/>
  <c r="AH73" i="57"/>
  <c r="AG72" i="57"/>
  <c r="AG4" i="57" s="1"/>
  <c r="AE72" i="57"/>
  <c r="AD72" i="57"/>
  <c r="AB72" i="57"/>
  <c r="AA72" i="57"/>
  <c r="Z72" i="57"/>
  <c r="Y72" i="57"/>
  <c r="X72" i="57"/>
  <c r="W72" i="57"/>
  <c r="V72" i="57"/>
  <c r="U72" i="57"/>
  <c r="T72" i="57"/>
  <c r="S72" i="57"/>
  <c r="R72" i="57"/>
  <c r="Q72" i="57"/>
  <c r="P72" i="57"/>
  <c r="O72" i="57"/>
  <c r="N72" i="57"/>
  <c r="M72" i="57"/>
  <c r="L72" i="57"/>
  <c r="B72" i="57"/>
  <c r="AI71" i="57"/>
  <c r="AH71" i="57"/>
  <c r="AI70" i="57"/>
  <c r="AH70" i="57"/>
  <c r="AI69" i="57"/>
  <c r="AH69" i="57"/>
  <c r="AE68" i="57"/>
  <c r="AD68" i="57"/>
  <c r="AB68" i="57"/>
  <c r="AA68" i="57"/>
  <c r="Z68" i="57"/>
  <c r="Y68" i="57"/>
  <c r="X68" i="57"/>
  <c r="W68" i="57"/>
  <c r="V68" i="57"/>
  <c r="U68" i="57"/>
  <c r="T68" i="57"/>
  <c r="S68" i="57"/>
  <c r="R68" i="57"/>
  <c r="Q68" i="57"/>
  <c r="P68" i="57"/>
  <c r="O68" i="57"/>
  <c r="N68" i="57"/>
  <c r="M68" i="57"/>
  <c r="L68" i="57"/>
  <c r="K68" i="57"/>
  <c r="J68" i="57"/>
  <c r="I68" i="57"/>
  <c r="H68" i="57"/>
  <c r="G68" i="57"/>
  <c r="F68" i="57"/>
  <c r="E68" i="57"/>
  <c r="D68" i="57"/>
  <c r="C68" i="57"/>
  <c r="B68" i="57"/>
  <c r="AI67" i="57"/>
  <c r="AH67" i="57"/>
  <c r="AG67" i="57"/>
  <c r="AG68" i="57" s="1"/>
  <c r="AI66" i="57"/>
  <c r="AH66" i="57"/>
  <c r="AI65" i="57"/>
  <c r="AH65" i="57"/>
  <c r="AI64" i="57"/>
  <c r="AH64" i="57"/>
  <c r="AI63" i="57"/>
  <c r="AH63" i="57"/>
  <c r="AI62" i="57"/>
  <c r="AH62" i="57"/>
  <c r="AI61" i="57"/>
  <c r="AH61" i="57"/>
  <c r="AI60" i="57"/>
  <c r="AH60" i="57"/>
  <c r="AI59" i="57"/>
  <c r="AH59" i="57"/>
  <c r="AI58" i="57"/>
  <c r="AH58" i="57"/>
  <c r="AI57" i="57"/>
  <c r="AH57" i="57"/>
  <c r="AI56" i="57"/>
  <c r="AH56" i="57"/>
  <c r="AI55" i="57"/>
  <c r="AH55" i="57"/>
  <c r="AG54" i="57"/>
  <c r="AE54" i="57"/>
  <c r="AD54" i="57"/>
  <c r="AB54" i="57"/>
  <c r="AA54" i="57"/>
  <c r="Z54" i="57"/>
  <c r="Y54" i="57"/>
  <c r="X54" i="57"/>
  <c r="W54" i="57"/>
  <c r="V54" i="57"/>
  <c r="U54" i="57"/>
  <c r="T54" i="57"/>
  <c r="S54" i="57"/>
  <c r="R54" i="57"/>
  <c r="Q54" i="57"/>
  <c r="P54" i="57"/>
  <c r="O54" i="57"/>
  <c r="N54" i="57"/>
  <c r="M54" i="57"/>
  <c r="L54" i="57"/>
  <c r="K54" i="57"/>
  <c r="J54" i="57"/>
  <c r="I54" i="57"/>
  <c r="H54" i="57"/>
  <c r="G54" i="57"/>
  <c r="F54" i="57"/>
  <c r="E54" i="57"/>
  <c r="D54" i="57"/>
  <c r="C54" i="57"/>
  <c r="B54" i="57"/>
  <c r="AI53" i="57"/>
  <c r="AH53" i="57"/>
  <c r="AI52" i="57"/>
  <c r="AH52" i="57"/>
  <c r="AI51" i="57"/>
  <c r="AH51" i="57"/>
  <c r="AG50" i="57"/>
  <c r="AE50" i="57"/>
  <c r="AD50" i="57"/>
  <c r="AB50" i="57"/>
  <c r="AA50" i="57"/>
  <c r="Z50" i="57"/>
  <c r="Y50" i="57"/>
  <c r="X50" i="57"/>
  <c r="W50" i="57"/>
  <c r="V50" i="57"/>
  <c r="U50" i="57"/>
  <c r="T50" i="57"/>
  <c r="S50" i="57"/>
  <c r="R50" i="57"/>
  <c r="Q50" i="57"/>
  <c r="P50" i="57"/>
  <c r="O50" i="57"/>
  <c r="N50" i="57"/>
  <c r="M50" i="57"/>
  <c r="L50" i="57"/>
  <c r="K50" i="57"/>
  <c r="J50" i="57"/>
  <c r="I50" i="57"/>
  <c r="H50" i="57"/>
  <c r="G50" i="57"/>
  <c r="F50" i="57"/>
  <c r="E50" i="57"/>
  <c r="D50" i="57"/>
  <c r="C50" i="57"/>
  <c r="B50" i="57"/>
  <c r="AI49" i="57"/>
  <c r="AH49" i="57"/>
  <c r="AI48" i="57"/>
  <c r="AH48" i="57"/>
  <c r="AI47" i="57"/>
  <c r="AH47" i="57"/>
  <c r="AI46" i="57"/>
  <c r="AH46" i="57"/>
  <c r="AI45" i="57"/>
  <c r="AH45" i="57"/>
  <c r="AI44" i="57"/>
  <c r="AH44" i="57"/>
  <c r="AI43" i="57"/>
  <c r="AH43" i="57"/>
  <c r="AI42" i="57"/>
  <c r="AH42" i="57"/>
  <c r="AI41" i="57"/>
  <c r="AH41" i="57"/>
  <c r="AI40" i="57"/>
  <c r="AH40" i="57"/>
  <c r="AI39" i="57"/>
  <c r="AH39" i="57"/>
  <c r="AI38" i="57"/>
  <c r="AH38" i="57"/>
  <c r="AI37" i="57"/>
  <c r="AH37" i="57"/>
  <c r="AI36" i="57"/>
  <c r="AH36" i="57"/>
  <c r="AI35" i="57"/>
  <c r="AH35" i="57"/>
  <c r="AI34" i="57"/>
  <c r="AH34" i="57"/>
  <c r="AI33" i="57"/>
  <c r="AH33" i="57"/>
  <c r="AI32" i="57"/>
  <c r="AH32" i="57"/>
  <c r="AI31" i="57"/>
  <c r="AH31" i="57"/>
  <c r="AI30" i="57"/>
  <c r="AH30" i="57"/>
  <c r="AI29" i="57"/>
  <c r="AH29" i="57"/>
  <c r="AI28" i="57"/>
  <c r="AH28" i="57"/>
  <c r="AI27" i="57"/>
  <c r="AH27" i="57"/>
  <c r="AI26" i="57"/>
  <c r="AH26" i="57"/>
  <c r="AI25" i="57"/>
  <c r="AH25" i="57"/>
  <c r="AI24" i="57"/>
  <c r="AH24" i="57"/>
  <c r="AI23" i="57"/>
  <c r="AH23" i="57"/>
  <c r="AI22" i="57"/>
  <c r="AH22" i="57"/>
  <c r="AI21" i="57"/>
  <c r="AH21" i="57"/>
  <c r="AI20" i="57"/>
  <c r="AH20" i="57"/>
  <c r="AI19" i="57"/>
  <c r="AH19" i="57"/>
  <c r="AI18" i="57"/>
  <c r="AH18" i="57"/>
  <c r="AI17" i="57"/>
  <c r="AH17" i="57"/>
  <c r="AI16" i="57"/>
  <c r="AH16" i="57"/>
  <c r="AI15" i="57"/>
  <c r="AH15" i="57"/>
  <c r="AI14" i="57"/>
  <c r="AH14" i="57"/>
  <c r="AI13" i="57"/>
  <c r="AH13" i="57"/>
  <c r="AI12" i="57"/>
  <c r="AH12" i="57"/>
  <c r="AI11" i="57"/>
  <c r="AH11" i="57"/>
  <c r="AE5" i="57"/>
  <c r="K4" i="57"/>
  <c r="E4" i="57"/>
  <c r="H4" i="57" s="1"/>
  <c r="B4" i="57"/>
  <c r="D246" i="57" s="1"/>
  <c r="AG2" i="57"/>
  <c r="AF50" i="56"/>
  <c r="AF54" i="56"/>
  <c r="AD110" i="56"/>
  <c r="AB114" i="56"/>
  <c r="AB113" i="56"/>
  <c r="U84" i="56"/>
  <c r="Q113" i="56"/>
  <c r="Q50" i="56"/>
  <c r="AA5" i="57" l="1"/>
  <c r="X5" i="57"/>
  <c r="W5" i="57"/>
  <c r="X89" i="57"/>
  <c r="X91" i="57" s="1"/>
  <c r="AP249" i="57" s="1"/>
  <c r="V5" i="57"/>
  <c r="W89" i="57"/>
  <c r="W91" i="57" s="1"/>
  <c r="AO249" i="57" s="1"/>
  <c r="AD5" i="57"/>
  <c r="J89" i="57"/>
  <c r="J91" i="57" s="1"/>
  <c r="AG91" i="57"/>
  <c r="AH113" i="57"/>
  <c r="D235" i="57"/>
  <c r="E234" i="57"/>
  <c r="F234" i="57" s="1"/>
  <c r="Z5" i="57"/>
  <c r="Y5" i="57"/>
  <c r="AE89" i="57"/>
  <c r="AE91" i="57" s="1"/>
  <c r="AE7" i="57" s="1"/>
  <c r="R5" i="57"/>
  <c r="S89" i="57"/>
  <c r="S91" i="57" s="1"/>
  <c r="S7" i="57" s="1"/>
  <c r="AA89" i="57"/>
  <c r="AA91" i="57" s="1"/>
  <c r="AS249" i="57" s="1"/>
  <c r="Z89" i="57"/>
  <c r="Z91" i="57" s="1"/>
  <c r="AR249" i="57" s="1"/>
  <c r="Q5" i="57"/>
  <c r="R89" i="57"/>
  <c r="R91" i="57" s="1"/>
  <c r="R92" i="57" s="1"/>
  <c r="P5" i="57"/>
  <c r="O5" i="57"/>
  <c r="P89" i="57"/>
  <c r="P91" i="57" s="1"/>
  <c r="N5" i="57"/>
  <c r="O89" i="57"/>
  <c r="O91" i="57" s="1"/>
  <c r="I5" i="57"/>
  <c r="J5" i="57"/>
  <c r="K89" i="57"/>
  <c r="K91" i="57" s="1"/>
  <c r="K92" i="57" s="1"/>
  <c r="H5" i="57"/>
  <c r="G5" i="57"/>
  <c r="H89" i="57"/>
  <c r="H91" i="57" s="1"/>
  <c r="Z249" i="57" s="1"/>
  <c r="G89" i="57"/>
  <c r="G91" i="57" s="1"/>
  <c r="Y249" i="57" s="1"/>
  <c r="F5" i="57"/>
  <c r="E89" i="57"/>
  <c r="E91" i="57" s="1"/>
  <c r="E7" i="57" s="1"/>
  <c r="B5" i="57"/>
  <c r="C89" i="57"/>
  <c r="C91" i="57" s="1"/>
  <c r="T100" i="57"/>
  <c r="AH100" i="57" s="1"/>
  <c r="K5" i="57"/>
  <c r="M89" i="57"/>
  <c r="M91" i="57" s="1"/>
  <c r="M92" i="57" s="1"/>
  <c r="U89" i="57"/>
  <c r="U91" i="57" s="1"/>
  <c r="AM249" i="57" s="1"/>
  <c r="AC91" i="57"/>
  <c r="AU249" i="57" s="1"/>
  <c r="AI72" i="57"/>
  <c r="B89" i="57"/>
  <c r="B91" i="57" s="1"/>
  <c r="AI68" i="57"/>
  <c r="F89" i="57"/>
  <c r="F91" i="57" s="1"/>
  <c r="X249" i="57" s="1"/>
  <c r="N89" i="57"/>
  <c r="N91" i="57" s="1"/>
  <c r="AF249" i="57" s="1"/>
  <c r="V89" i="57"/>
  <c r="V91" i="57" s="1"/>
  <c r="AN249" i="57" s="1"/>
  <c r="AD89" i="57"/>
  <c r="AD91" i="57" s="1"/>
  <c r="AD7" i="57" s="1"/>
  <c r="L89" i="57"/>
  <c r="L91" i="57" s="1"/>
  <c r="L7" i="57" s="1"/>
  <c r="T89" i="57"/>
  <c r="T91" i="57" s="1"/>
  <c r="AL249" i="57" s="1"/>
  <c r="AB89" i="57"/>
  <c r="AB91" i="57" s="1"/>
  <c r="AB92" i="57" s="1"/>
  <c r="I89" i="57"/>
  <c r="I91" i="57" s="1"/>
  <c r="AA249" i="57" s="1"/>
  <c r="Q89" i="57"/>
  <c r="Q91" i="57" s="1"/>
  <c r="Q92" i="57" s="1"/>
  <c r="Y89" i="57"/>
  <c r="Y91" i="57" s="1"/>
  <c r="Y92" i="57" s="1"/>
  <c r="AH50" i="57"/>
  <c r="AF5" i="57"/>
  <c r="C5" i="57"/>
  <c r="D89" i="57"/>
  <c r="D91" i="57" s="1"/>
  <c r="D7" i="57" s="1"/>
  <c r="AH54" i="57"/>
  <c r="S246" i="57"/>
  <c r="J7" i="57"/>
  <c r="AB249" i="57"/>
  <c r="J92" i="57"/>
  <c r="C92" i="57"/>
  <c r="U249" i="57"/>
  <c r="C7" i="57"/>
  <c r="E270" i="57"/>
  <c r="G234" i="57"/>
  <c r="R7" i="57"/>
  <c r="AJ249" i="57"/>
  <c r="V7" i="57"/>
  <c r="V92" i="57"/>
  <c r="J232" i="57"/>
  <c r="K232" i="57" s="1"/>
  <c r="L232" i="57" s="1"/>
  <c r="M232" i="57" s="1"/>
  <c r="N232" i="57" s="1"/>
  <c r="O232" i="57" s="1"/>
  <c r="P232" i="57" s="1"/>
  <c r="AG249" i="57"/>
  <c r="O7" i="57"/>
  <c r="O92" i="57"/>
  <c r="H92" i="57"/>
  <c r="AX249" i="57"/>
  <c r="AF7" i="57"/>
  <c r="K7" i="57"/>
  <c r="P92" i="57"/>
  <c r="AH249" i="57"/>
  <c r="P7" i="57"/>
  <c r="AG89" i="57"/>
  <c r="AG3" i="57"/>
  <c r="AG6" i="57" s="1"/>
  <c r="AI50" i="57"/>
  <c r="AI54" i="57"/>
  <c r="T5" i="57"/>
  <c r="E5" i="57"/>
  <c r="M5" i="57"/>
  <c r="U5" i="57"/>
  <c r="AC5" i="57"/>
  <c r="AH72" i="57"/>
  <c r="AB110" i="57"/>
  <c r="AH114" i="57"/>
  <c r="E229" i="57"/>
  <c r="D270" i="57"/>
  <c r="AH68" i="57"/>
  <c r="D110" i="57"/>
  <c r="L5" i="57"/>
  <c r="B235" i="57"/>
  <c r="AH84" i="57"/>
  <c r="D5" i="57"/>
  <c r="AB5" i="57"/>
  <c r="AI84" i="57"/>
  <c r="AW249" i="57" l="1"/>
  <c r="AE92" i="57"/>
  <c r="AV249" i="57"/>
  <c r="AC92" i="57"/>
  <c r="AC7" i="57"/>
  <c r="AA92" i="57"/>
  <c r="AA7" i="57"/>
  <c r="X7" i="57"/>
  <c r="X92" i="57"/>
  <c r="W7" i="57"/>
  <c r="W92" i="57"/>
  <c r="U7" i="57"/>
  <c r="U92" i="57"/>
  <c r="AK249" i="57"/>
  <c r="S92" i="57"/>
  <c r="AI100" i="57"/>
  <c r="W249" i="57"/>
  <c r="H7" i="57"/>
  <c r="G7" i="57"/>
  <c r="AD92" i="57"/>
  <c r="Z92" i="57"/>
  <c r="Z7" i="57"/>
  <c r="E92" i="57"/>
  <c r="N92" i="57"/>
  <c r="N7" i="57"/>
  <c r="M7" i="57"/>
  <c r="AE249" i="57"/>
  <c r="L92" i="57"/>
  <c r="AD249" i="57"/>
  <c r="G92" i="57"/>
  <c r="AC249" i="57"/>
  <c r="F92" i="57"/>
  <c r="F7" i="57"/>
  <c r="B244" i="57"/>
  <c r="I7" i="57"/>
  <c r="C244" i="57"/>
  <c r="I92" i="57"/>
  <c r="AI249" i="57"/>
  <c r="Q7" i="57"/>
  <c r="AH89" i="57"/>
  <c r="AB7" i="57"/>
  <c r="V249" i="57"/>
  <c r="AT249" i="57"/>
  <c r="D92" i="57"/>
  <c r="T7" i="57"/>
  <c r="T92" i="57"/>
  <c r="AQ249" i="57"/>
  <c r="Y7" i="57"/>
  <c r="AI89" i="57"/>
  <c r="E110" i="57"/>
  <c r="F229" i="57"/>
  <c r="E235" i="57"/>
  <c r="AI91" i="57"/>
  <c r="T249" i="57"/>
  <c r="AH91" i="57"/>
  <c r="B92" i="57"/>
  <c r="B7" i="57"/>
  <c r="F270" i="57"/>
  <c r="H234" i="57"/>
  <c r="C50" i="56"/>
  <c r="C54" i="56"/>
  <c r="AF274" i="56"/>
  <c r="AE274" i="56"/>
  <c r="AD274" i="56"/>
  <c r="AC274" i="56"/>
  <c r="AB274" i="56"/>
  <c r="AA274" i="56"/>
  <c r="Z274" i="56"/>
  <c r="Y274" i="56"/>
  <c r="X274" i="56"/>
  <c r="W274" i="56"/>
  <c r="V274" i="56"/>
  <c r="U274" i="56"/>
  <c r="T274" i="56"/>
  <c r="S274" i="56"/>
  <c r="R274" i="56"/>
  <c r="Q274" i="56"/>
  <c r="P274" i="56"/>
  <c r="O274" i="56"/>
  <c r="N274" i="56"/>
  <c r="M274" i="56"/>
  <c r="L274" i="56"/>
  <c r="K274" i="56"/>
  <c r="J274" i="56"/>
  <c r="I274" i="56"/>
  <c r="H274" i="56"/>
  <c r="G274" i="56"/>
  <c r="F274" i="56"/>
  <c r="E274" i="56"/>
  <c r="D274" i="56"/>
  <c r="C274" i="56"/>
  <c r="B274" i="56"/>
  <c r="A274" i="56"/>
  <c r="AF273" i="56"/>
  <c r="AE273" i="56"/>
  <c r="AD273" i="56"/>
  <c r="AC273" i="56"/>
  <c r="AB273" i="56"/>
  <c r="AA273" i="56"/>
  <c r="Z273" i="56"/>
  <c r="Y273" i="56"/>
  <c r="X273" i="56"/>
  <c r="W273" i="56"/>
  <c r="V273" i="56"/>
  <c r="U273" i="56"/>
  <c r="T273" i="56"/>
  <c r="S273" i="56"/>
  <c r="R273" i="56"/>
  <c r="Q273" i="56"/>
  <c r="P273" i="56"/>
  <c r="O273" i="56"/>
  <c r="N273" i="56"/>
  <c r="M273" i="56"/>
  <c r="L273" i="56"/>
  <c r="K273" i="56"/>
  <c r="J273" i="56"/>
  <c r="I273" i="56"/>
  <c r="H273" i="56"/>
  <c r="G273" i="56"/>
  <c r="F273" i="56"/>
  <c r="E273" i="56"/>
  <c r="D273" i="56"/>
  <c r="C273" i="56"/>
  <c r="B273" i="56"/>
  <c r="A273" i="56"/>
  <c r="AF272" i="56"/>
  <c r="AE272" i="56"/>
  <c r="AD272" i="56"/>
  <c r="AC272" i="56"/>
  <c r="AB272" i="56"/>
  <c r="AA272" i="56"/>
  <c r="Z272" i="56"/>
  <c r="Y272" i="56"/>
  <c r="X272" i="56"/>
  <c r="W272" i="56"/>
  <c r="V272" i="56"/>
  <c r="U272" i="56"/>
  <c r="T272" i="56"/>
  <c r="S272" i="56"/>
  <c r="R272" i="56"/>
  <c r="Q272" i="56"/>
  <c r="P272" i="56"/>
  <c r="O272" i="56"/>
  <c r="N272" i="56"/>
  <c r="M272" i="56"/>
  <c r="L272" i="56"/>
  <c r="K272" i="56"/>
  <c r="J272" i="56"/>
  <c r="I272" i="56"/>
  <c r="H272" i="56"/>
  <c r="G272" i="56"/>
  <c r="F272" i="56"/>
  <c r="E272" i="56"/>
  <c r="D272" i="56"/>
  <c r="C272" i="56"/>
  <c r="B272" i="56"/>
  <c r="A272" i="56"/>
  <c r="AF271" i="56"/>
  <c r="AE271" i="56"/>
  <c r="AD271" i="56"/>
  <c r="AC271" i="56"/>
  <c r="AB271" i="56"/>
  <c r="AA271" i="56"/>
  <c r="Z271" i="56"/>
  <c r="Y271" i="56"/>
  <c r="X271" i="56"/>
  <c r="W271" i="56"/>
  <c r="V271" i="56"/>
  <c r="U271" i="56"/>
  <c r="T271" i="56"/>
  <c r="S271" i="56"/>
  <c r="R271" i="56"/>
  <c r="Q271" i="56"/>
  <c r="P271" i="56"/>
  <c r="O271" i="56"/>
  <c r="N271" i="56"/>
  <c r="M271" i="56"/>
  <c r="L271" i="56"/>
  <c r="K271" i="56"/>
  <c r="J271" i="56"/>
  <c r="I271" i="56"/>
  <c r="H271" i="56"/>
  <c r="G271" i="56"/>
  <c r="F271" i="56"/>
  <c r="E271" i="56"/>
  <c r="D271" i="56"/>
  <c r="C271" i="56"/>
  <c r="B271" i="56"/>
  <c r="A271" i="56"/>
  <c r="AE270" i="56"/>
  <c r="AD270" i="56"/>
  <c r="AC270" i="56"/>
  <c r="AB270" i="56"/>
  <c r="AA270" i="56"/>
  <c r="Z270" i="56"/>
  <c r="Y270" i="56"/>
  <c r="X270" i="56"/>
  <c r="W270" i="56"/>
  <c r="V270" i="56"/>
  <c r="U270" i="56"/>
  <c r="T270" i="56"/>
  <c r="S270" i="56"/>
  <c r="R270" i="56"/>
  <c r="Q270" i="56"/>
  <c r="P270" i="56"/>
  <c r="B270" i="56"/>
  <c r="S245" i="56"/>
  <c r="AG235" i="56"/>
  <c r="AG67" i="56" s="1"/>
  <c r="AG68" i="56" s="1"/>
  <c r="AG3" i="56" s="1"/>
  <c r="AF235" i="56"/>
  <c r="AE235" i="56"/>
  <c r="AD235" i="56"/>
  <c r="AC235" i="56"/>
  <c r="AB235" i="56"/>
  <c r="AA235" i="56"/>
  <c r="Z235" i="56"/>
  <c r="Y235" i="56"/>
  <c r="X235" i="56"/>
  <c r="W235" i="56"/>
  <c r="V235" i="56"/>
  <c r="U235" i="56"/>
  <c r="T235" i="56"/>
  <c r="S235" i="56"/>
  <c r="R235" i="56"/>
  <c r="Q235" i="56"/>
  <c r="C235" i="56"/>
  <c r="D234" i="56"/>
  <c r="C270" i="56" s="1"/>
  <c r="B234" i="56"/>
  <c r="AF270" i="56" s="1"/>
  <c r="D233" i="56"/>
  <c r="E233" i="56" s="1"/>
  <c r="F233" i="56" s="1"/>
  <c r="G233" i="56" s="1"/>
  <c r="H233" i="56" s="1"/>
  <c r="I233" i="56" s="1"/>
  <c r="J233" i="56" s="1"/>
  <c r="K233" i="56" s="1"/>
  <c r="L233" i="56" s="1"/>
  <c r="M233" i="56" s="1"/>
  <c r="N233" i="56" s="1"/>
  <c r="O233" i="56" s="1"/>
  <c r="P233" i="56" s="1"/>
  <c r="B233" i="56"/>
  <c r="D232" i="56"/>
  <c r="E232" i="56" s="1"/>
  <c r="F232" i="56" s="1"/>
  <c r="G232" i="56" s="1"/>
  <c r="H232" i="56" s="1"/>
  <c r="I232" i="56" s="1"/>
  <c r="B232" i="56"/>
  <c r="D231" i="56"/>
  <c r="E231" i="56" s="1"/>
  <c r="F231" i="56" s="1"/>
  <c r="G231" i="56" s="1"/>
  <c r="H231" i="56" s="1"/>
  <c r="B231" i="56"/>
  <c r="D230" i="56"/>
  <c r="E230" i="56" s="1"/>
  <c r="F230" i="56" s="1"/>
  <c r="G230" i="56" s="1"/>
  <c r="H230" i="56" s="1"/>
  <c r="I230" i="56" s="1"/>
  <c r="J230" i="56" s="1"/>
  <c r="K230" i="56" s="1"/>
  <c r="L230" i="56" s="1"/>
  <c r="M230" i="56" s="1"/>
  <c r="N230" i="56" s="1"/>
  <c r="O230" i="56" s="1"/>
  <c r="P230" i="56" s="1"/>
  <c r="B230" i="56"/>
  <c r="D229" i="56"/>
  <c r="D235" i="56" s="1"/>
  <c r="B229" i="56"/>
  <c r="AG227" i="56"/>
  <c r="AF227" i="56"/>
  <c r="AE227" i="56"/>
  <c r="AD227" i="56"/>
  <c r="AC227" i="56"/>
  <c r="AB227" i="56"/>
  <c r="AA227" i="56"/>
  <c r="Z227" i="56"/>
  <c r="Y227" i="56"/>
  <c r="X227" i="56"/>
  <c r="W227" i="56"/>
  <c r="V227" i="56"/>
  <c r="U227" i="56"/>
  <c r="T227" i="56"/>
  <c r="S227" i="56"/>
  <c r="R227" i="56"/>
  <c r="Q227" i="56"/>
  <c r="P227" i="56"/>
  <c r="O227" i="56"/>
  <c r="N227" i="56"/>
  <c r="M227" i="56"/>
  <c r="L227" i="56"/>
  <c r="K227" i="56"/>
  <c r="J227" i="56"/>
  <c r="I227" i="56"/>
  <c r="H227" i="56"/>
  <c r="G227" i="56"/>
  <c r="F227" i="56"/>
  <c r="E227" i="56"/>
  <c r="D227" i="56"/>
  <c r="C227" i="56"/>
  <c r="B227" i="56"/>
  <c r="AI120" i="56"/>
  <c r="AH120" i="56"/>
  <c r="AI119" i="56"/>
  <c r="AH119" i="56"/>
  <c r="AI118" i="56"/>
  <c r="AH118" i="56"/>
  <c r="AI117" i="56"/>
  <c r="AH117" i="56"/>
  <c r="AI116" i="56"/>
  <c r="AH116" i="56"/>
  <c r="AI115" i="56"/>
  <c r="AH115" i="56"/>
  <c r="AI114" i="56"/>
  <c r="AH114" i="56"/>
  <c r="AI113" i="56"/>
  <c r="AH113" i="56"/>
  <c r="AI112" i="56"/>
  <c r="AH112" i="56"/>
  <c r="AI111" i="56"/>
  <c r="AH111" i="56"/>
  <c r="AF110" i="56"/>
  <c r="AE110" i="56"/>
  <c r="AC110" i="56"/>
  <c r="AB110" i="56"/>
  <c r="AA110" i="56"/>
  <c r="Z110" i="56"/>
  <c r="Y110" i="56"/>
  <c r="X110" i="56"/>
  <c r="W110" i="56"/>
  <c r="V110" i="56"/>
  <c r="U110" i="56"/>
  <c r="T110" i="56"/>
  <c r="S110" i="56"/>
  <c r="R110" i="56"/>
  <c r="Q110" i="56"/>
  <c r="D110" i="56"/>
  <c r="C110" i="56"/>
  <c r="AI109" i="56"/>
  <c r="AH109" i="56"/>
  <c r="AI108" i="56"/>
  <c r="AH108" i="56"/>
  <c r="AI107" i="56"/>
  <c r="AH107" i="56"/>
  <c r="AI106" i="56"/>
  <c r="AH106" i="56"/>
  <c r="AI105" i="56"/>
  <c r="AH105" i="56"/>
  <c r="AI104" i="56"/>
  <c r="AH104" i="56"/>
  <c r="AI103" i="56"/>
  <c r="AH103" i="56"/>
  <c r="AI102" i="56"/>
  <c r="AH102" i="56"/>
  <c r="AI101" i="56"/>
  <c r="AH101" i="56"/>
  <c r="AI99" i="56"/>
  <c r="AH99" i="56"/>
  <c r="AI98" i="56"/>
  <c r="AH98" i="56"/>
  <c r="AI97" i="56"/>
  <c r="AH97" i="56"/>
  <c r="AI96" i="56"/>
  <c r="AH96" i="56"/>
  <c r="AI95" i="56"/>
  <c r="AH95" i="56"/>
  <c r="AI94" i="56"/>
  <c r="AH94" i="56"/>
  <c r="AI93" i="56"/>
  <c r="AH93" i="56"/>
  <c r="AI90" i="56"/>
  <c r="AH90" i="56"/>
  <c r="AI88" i="56"/>
  <c r="AH88" i="56"/>
  <c r="AG88" i="56"/>
  <c r="AI87" i="56"/>
  <c r="AH87" i="56"/>
  <c r="AI86" i="56"/>
  <c r="AH86" i="56"/>
  <c r="AI85" i="56"/>
  <c r="AH85" i="56"/>
  <c r="AN84" i="56"/>
  <c r="AG84" i="56"/>
  <c r="AF84" i="56"/>
  <c r="AF100" i="56" s="1"/>
  <c r="AE84" i="56"/>
  <c r="AE100" i="56" s="1"/>
  <c r="AD84" i="56"/>
  <c r="AD100" i="56" s="1"/>
  <c r="AC84" i="56"/>
  <c r="AC100" i="56" s="1"/>
  <c r="AB84" i="56"/>
  <c r="AB100" i="56" s="1"/>
  <c r="AA84" i="56"/>
  <c r="AA100" i="56" s="1"/>
  <c r="Z84" i="56"/>
  <c r="Y5" i="56" s="1"/>
  <c r="Y84" i="56"/>
  <c r="Y100" i="56" s="1"/>
  <c r="X84" i="56"/>
  <c r="X100" i="56" s="1"/>
  <c r="W84" i="56"/>
  <c r="W100" i="56" s="1"/>
  <c r="V84" i="56"/>
  <c r="V100" i="56" s="1"/>
  <c r="U100" i="56"/>
  <c r="T84" i="56"/>
  <c r="T100" i="56" s="1"/>
  <c r="S84" i="56"/>
  <c r="S100" i="56" s="1"/>
  <c r="R84" i="56"/>
  <c r="R100" i="56" s="1"/>
  <c r="Q84" i="56"/>
  <c r="Q100" i="56" s="1"/>
  <c r="P84" i="56"/>
  <c r="P100" i="56" s="1"/>
  <c r="O84" i="56"/>
  <c r="O100" i="56" s="1"/>
  <c r="N84" i="56"/>
  <c r="N100" i="56" s="1"/>
  <c r="M84" i="56"/>
  <c r="M100" i="56" s="1"/>
  <c r="L84" i="56"/>
  <c r="L100" i="56" s="1"/>
  <c r="K84" i="56"/>
  <c r="K100" i="56" s="1"/>
  <c r="J84" i="56"/>
  <c r="J100" i="56" s="1"/>
  <c r="I84" i="56"/>
  <c r="I100" i="56" s="1"/>
  <c r="H84" i="56"/>
  <c r="H100" i="56" s="1"/>
  <c r="G84" i="56"/>
  <c r="G100" i="56" s="1"/>
  <c r="F84" i="56"/>
  <c r="F100" i="56" s="1"/>
  <c r="E84" i="56"/>
  <c r="E100" i="56" s="1"/>
  <c r="D84" i="56"/>
  <c r="D100" i="56" s="1"/>
  <c r="C84" i="56"/>
  <c r="C100" i="56" s="1"/>
  <c r="B84" i="56"/>
  <c r="AI83" i="56"/>
  <c r="AH83" i="56"/>
  <c r="AN82" i="56"/>
  <c r="AI82" i="56"/>
  <c r="AH82" i="56"/>
  <c r="AN81" i="56"/>
  <c r="AI81" i="56"/>
  <c r="AH81" i="56"/>
  <c r="AI80" i="56"/>
  <c r="AH80" i="56"/>
  <c r="AI79" i="56"/>
  <c r="AH79" i="56"/>
  <c r="AI78" i="56"/>
  <c r="AH78" i="56"/>
  <c r="AI77" i="56"/>
  <c r="AH77" i="56"/>
  <c r="AI76" i="56"/>
  <c r="AH76" i="56"/>
  <c r="AI75" i="56"/>
  <c r="AH75" i="56"/>
  <c r="AI74" i="56"/>
  <c r="AH74" i="56"/>
  <c r="AI73" i="56"/>
  <c r="AH73" i="56"/>
  <c r="AG72" i="56"/>
  <c r="AG4" i="56" s="1"/>
  <c r="AF72" i="56"/>
  <c r="AE72" i="56"/>
  <c r="AD72" i="56"/>
  <c r="AC72" i="56"/>
  <c r="AB72" i="56"/>
  <c r="AA72" i="56"/>
  <c r="Z72" i="56"/>
  <c r="Y72" i="56"/>
  <c r="X72" i="56"/>
  <c r="W72" i="56"/>
  <c r="V72" i="56"/>
  <c r="U72" i="56"/>
  <c r="T72" i="56"/>
  <c r="S72" i="56"/>
  <c r="R72" i="56"/>
  <c r="Q72" i="56"/>
  <c r="P72" i="56"/>
  <c r="O72" i="56"/>
  <c r="N72" i="56"/>
  <c r="M72" i="56"/>
  <c r="L72" i="56"/>
  <c r="B72" i="56"/>
  <c r="AI71" i="56"/>
  <c r="AH71" i="56"/>
  <c r="AI70" i="56"/>
  <c r="AH70" i="56"/>
  <c r="AI69" i="56"/>
  <c r="AH69" i="56"/>
  <c r="AF68" i="56"/>
  <c r="AE68" i="56"/>
  <c r="AD68" i="56"/>
  <c r="AC68" i="56"/>
  <c r="AB68" i="56"/>
  <c r="AA68" i="56"/>
  <c r="Z68" i="56"/>
  <c r="Y68" i="56"/>
  <c r="X68" i="56"/>
  <c r="W68" i="56"/>
  <c r="V68" i="56"/>
  <c r="U68" i="56"/>
  <c r="T68" i="56"/>
  <c r="S68" i="56"/>
  <c r="R68" i="56"/>
  <c r="Q68" i="56"/>
  <c r="P68" i="56"/>
  <c r="O68" i="56"/>
  <c r="N68" i="56"/>
  <c r="M68" i="56"/>
  <c r="L68" i="56"/>
  <c r="K68" i="56"/>
  <c r="J68" i="56"/>
  <c r="I68" i="56"/>
  <c r="H68" i="56"/>
  <c r="G68" i="56"/>
  <c r="F68" i="56"/>
  <c r="E68" i="56"/>
  <c r="D68" i="56"/>
  <c r="C68" i="56"/>
  <c r="B68" i="56"/>
  <c r="AI67" i="56"/>
  <c r="AH67" i="56"/>
  <c r="AI66" i="56"/>
  <c r="AH66" i="56"/>
  <c r="AI65" i="56"/>
  <c r="AH65" i="56"/>
  <c r="AI64" i="56"/>
  <c r="AH64" i="56"/>
  <c r="AI63" i="56"/>
  <c r="AH63" i="56"/>
  <c r="AI62" i="56"/>
  <c r="AH62" i="56"/>
  <c r="AI61" i="56"/>
  <c r="AH61" i="56"/>
  <c r="AI60" i="56"/>
  <c r="AH60" i="56"/>
  <c r="AI59" i="56"/>
  <c r="AH59" i="56"/>
  <c r="AI58" i="56"/>
  <c r="AH58" i="56"/>
  <c r="AI57" i="56"/>
  <c r="AH57" i="56"/>
  <c r="AI56" i="56"/>
  <c r="AH56" i="56"/>
  <c r="AI55" i="56"/>
  <c r="AH55" i="56"/>
  <c r="AG54" i="56"/>
  <c r="AE54" i="56"/>
  <c r="AD54" i="56"/>
  <c r="AC54" i="56"/>
  <c r="AB54" i="56"/>
  <c r="AA54" i="56"/>
  <c r="Z54" i="56"/>
  <c r="Y54" i="56"/>
  <c r="X54" i="56"/>
  <c r="W54" i="56"/>
  <c r="V54" i="56"/>
  <c r="U54" i="56"/>
  <c r="T54" i="56"/>
  <c r="S54" i="56"/>
  <c r="R54" i="56"/>
  <c r="Q54" i="56"/>
  <c r="P54" i="56"/>
  <c r="O54" i="56"/>
  <c r="N54" i="56"/>
  <c r="M54" i="56"/>
  <c r="L54" i="56"/>
  <c r="K54" i="56"/>
  <c r="J54" i="56"/>
  <c r="I54" i="56"/>
  <c r="H54" i="56"/>
  <c r="G54" i="56"/>
  <c r="F54" i="56"/>
  <c r="E54" i="56"/>
  <c r="D54" i="56"/>
  <c r="B54" i="56"/>
  <c r="AI53" i="56"/>
  <c r="AH53" i="56"/>
  <c r="AI52" i="56"/>
  <c r="AH52" i="56"/>
  <c r="AI51" i="56"/>
  <c r="AH51" i="56"/>
  <c r="AG50" i="56"/>
  <c r="AE50" i="56"/>
  <c r="AD50" i="56"/>
  <c r="AC50" i="56"/>
  <c r="AB50" i="56"/>
  <c r="AA50" i="56"/>
  <c r="Z50" i="56"/>
  <c r="Y50" i="56"/>
  <c r="X50" i="56"/>
  <c r="W50" i="56"/>
  <c r="V50" i="56"/>
  <c r="U50" i="56"/>
  <c r="T50" i="56"/>
  <c r="S50" i="56"/>
  <c r="R50" i="56"/>
  <c r="P50" i="56"/>
  <c r="O50" i="56"/>
  <c r="N50" i="56"/>
  <c r="M50" i="56"/>
  <c r="L50" i="56"/>
  <c r="K50" i="56"/>
  <c r="J50" i="56"/>
  <c r="I50" i="56"/>
  <c r="H50" i="56"/>
  <c r="G50" i="56"/>
  <c r="F50" i="56"/>
  <c r="E50" i="56"/>
  <c r="D50" i="56"/>
  <c r="B50" i="56"/>
  <c r="AI49" i="56"/>
  <c r="AH49" i="56"/>
  <c r="AI48" i="56"/>
  <c r="AH48" i="56"/>
  <c r="AI47" i="56"/>
  <c r="AH47" i="56"/>
  <c r="AI46" i="56"/>
  <c r="AH46" i="56"/>
  <c r="AI45" i="56"/>
  <c r="AH45" i="56"/>
  <c r="AI44" i="56"/>
  <c r="AH44" i="56"/>
  <c r="AI43" i="56"/>
  <c r="AH43" i="56"/>
  <c r="AI42" i="56"/>
  <c r="AH42" i="56"/>
  <c r="AI41" i="56"/>
  <c r="AH41" i="56"/>
  <c r="AI40" i="56"/>
  <c r="AH40" i="56"/>
  <c r="AI39" i="56"/>
  <c r="AH39" i="56"/>
  <c r="AI38" i="56"/>
  <c r="AH38" i="56"/>
  <c r="AI37" i="56"/>
  <c r="AH37" i="56"/>
  <c r="AI36" i="56"/>
  <c r="AH36" i="56"/>
  <c r="AI35" i="56"/>
  <c r="AH35" i="56"/>
  <c r="AI34" i="56"/>
  <c r="AH34" i="56"/>
  <c r="AI33" i="56"/>
  <c r="AH33" i="56"/>
  <c r="AI32" i="56"/>
  <c r="AH32" i="56"/>
  <c r="AI31" i="56"/>
  <c r="AH31" i="56"/>
  <c r="AI30" i="56"/>
  <c r="AH30" i="56"/>
  <c r="AI29" i="56"/>
  <c r="AH29" i="56"/>
  <c r="AI28" i="56"/>
  <c r="AH28" i="56"/>
  <c r="AI27" i="56"/>
  <c r="AH27" i="56"/>
  <c r="AI26" i="56"/>
  <c r="AH26" i="56"/>
  <c r="AI25" i="56"/>
  <c r="AH25" i="56"/>
  <c r="AI24" i="56"/>
  <c r="AH24" i="56"/>
  <c r="AI23" i="56"/>
  <c r="AH23" i="56"/>
  <c r="AI22" i="56"/>
  <c r="AH22" i="56"/>
  <c r="AI21" i="56"/>
  <c r="AH21" i="56"/>
  <c r="AI20" i="56"/>
  <c r="AH20" i="56"/>
  <c r="AI19" i="56"/>
  <c r="AH19" i="56"/>
  <c r="AI18" i="56"/>
  <c r="AH18" i="56"/>
  <c r="AI17" i="56"/>
  <c r="AH17" i="56"/>
  <c r="AI16" i="56"/>
  <c r="AH16" i="56"/>
  <c r="AI15" i="56"/>
  <c r="AH15" i="56"/>
  <c r="AI14" i="56"/>
  <c r="AH14" i="56"/>
  <c r="AI13" i="56"/>
  <c r="AH13" i="56"/>
  <c r="AI12" i="56"/>
  <c r="AH12" i="56"/>
  <c r="AI11" i="56"/>
  <c r="AH11" i="56"/>
  <c r="T5" i="56"/>
  <c r="K4" i="56"/>
  <c r="E4" i="56"/>
  <c r="H4" i="56" s="1"/>
  <c r="B4" i="56"/>
  <c r="S246" i="56" s="1"/>
  <c r="AG2" i="56"/>
  <c r="AA89" i="56" l="1"/>
  <c r="AA91" i="56" s="1"/>
  <c r="AS249" i="56" s="1"/>
  <c r="AN83" i="56"/>
  <c r="B235" i="56"/>
  <c r="AG89" i="56"/>
  <c r="B110" i="56"/>
  <c r="E229" i="56"/>
  <c r="F229" i="56" s="1"/>
  <c r="K6" i="57"/>
  <c r="A7" i="57"/>
  <c r="G270" i="57"/>
  <c r="I234" i="57"/>
  <c r="F110" i="57"/>
  <c r="G229" i="57"/>
  <c r="F235" i="57"/>
  <c r="AH92" i="57"/>
  <c r="AI92" i="57"/>
  <c r="AE5" i="56"/>
  <c r="AF89" i="56"/>
  <c r="AF91" i="56" s="1"/>
  <c r="AF92" i="56" s="1"/>
  <c r="AE89" i="56"/>
  <c r="AE91" i="56" s="1"/>
  <c r="AE92" i="56" s="1"/>
  <c r="AD5" i="56"/>
  <c r="AC5" i="56"/>
  <c r="AD89" i="56"/>
  <c r="AD91" i="56" s="1"/>
  <c r="AD7" i="56" s="1"/>
  <c r="AB5" i="56"/>
  <c r="AC89" i="56"/>
  <c r="AC91" i="56" s="1"/>
  <c r="AA5" i="56"/>
  <c r="AB89" i="56"/>
  <c r="AB91" i="56" s="1"/>
  <c r="Z100" i="56"/>
  <c r="Z89" i="56"/>
  <c r="Z91" i="56" s="1"/>
  <c r="X5" i="56"/>
  <c r="Y89" i="56"/>
  <c r="Y91" i="56" s="1"/>
  <c r="Y7" i="56" s="1"/>
  <c r="W5" i="56"/>
  <c r="X89" i="56"/>
  <c r="X91" i="56" s="1"/>
  <c r="X7" i="56" s="1"/>
  <c r="V5" i="56"/>
  <c r="W89" i="56"/>
  <c r="W91" i="56" s="1"/>
  <c r="U5" i="56"/>
  <c r="V89" i="56"/>
  <c r="V91" i="56" s="1"/>
  <c r="U89" i="56"/>
  <c r="U91" i="56" s="1"/>
  <c r="U7" i="56" s="1"/>
  <c r="S5" i="56"/>
  <c r="T89" i="56"/>
  <c r="T91" i="56" s="1"/>
  <c r="S89" i="56"/>
  <c r="S91" i="56" s="1"/>
  <c r="S92" i="56" s="1"/>
  <c r="Q5" i="56"/>
  <c r="R89" i="56"/>
  <c r="R91" i="56" s="1"/>
  <c r="R92" i="56" s="1"/>
  <c r="P5" i="56"/>
  <c r="Q89" i="56"/>
  <c r="Q91" i="56" s="1"/>
  <c r="O5" i="56"/>
  <c r="P89" i="56"/>
  <c r="P91" i="56" s="1"/>
  <c r="P92" i="56" s="1"/>
  <c r="N5" i="56"/>
  <c r="O89" i="56"/>
  <c r="O91" i="56" s="1"/>
  <c r="AG249" i="56" s="1"/>
  <c r="N89" i="56"/>
  <c r="N91" i="56" s="1"/>
  <c r="AF249" i="56" s="1"/>
  <c r="M5" i="56"/>
  <c r="L5" i="56"/>
  <c r="AH72" i="56"/>
  <c r="M89" i="56"/>
  <c r="M91" i="56" s="1"/>
  <c r="M7" i="56" s="1"/>
  <c r="K5" i="56"/>
  <c r="I5" i="56"/>
  <c r="H5" i="56"/>
  <c r="G5" i="56"/>
  <c r="J89" i="56"/>
  <c r="J91" i="56" s="1"/>
  <c r="J92" i="56" s="1"/>
  <c r="K89" i="56"/>
  <c r="K91" i="56" s="1"/>
  <c r="K7" i="56" s="1"/>
  <c r="L89" i="56"/>
  <c r="L91" i="56" s="1"/>
  <c r="AD249" i="56" s="1"/>
  <c r="H89" i="56"/>
  <c r="H91" i="56" s="1"/>
  <c r="H7" i="56" s="1"/>
  <c r="F5" i="56"/>
  <c r="G89" i="56"/>
  <c r="G91" i="56" s="1"/>
  <c r="Y249" i="56" s="1"/>
  <c r="E5" i="56"/>
  <c r="I89" i="56"/>
  <c r="I91" i="56" s="1"/>
  <c r="F89" i="56"/>
  <c r="F91" i="56" s="1"/>
  <c r="F7" i="56" s="1"/>
  <c r="D5" i="56"/>
  <c r="AH54" i="56"/>
  <c r="E89" i="56"/>
  <c r="E91" i="56" s="1"/>
  <c r="E92" i="56" s="1"/>
  <c r="C5" i="56"/>
  <c r="AI68" i="56"/>
  <c r="D89" i="56"/>
  <c r="D91" i="56" s="1"/>
  <c r="D92" i="56" s="1"/>
  <c r="C89" i="56"/>
  <c r="C91" i="56" s="1"/>
  <c r="U249" i="56" s="1"/>
  <c r="AH84" i="56"/>
  <c r="AF5" i="56"/>
  <c r="B100" i="56"/>
  <c r="B89" i="56"/>
  <c r="AF7" i="56"/>
  <c r="AX249" i="56"/>
  <c r="G7" i="56"/>
  <c r="G92" i="56"/>
  <c r="R7" i="56"/>
  <c r="AJ249" i="56"/>
  <c r="Z7" i="56"/>
  <c r="Z92" i="56"/>
  <c r="AR249" i="56"/>
  <c r="Y92" i="56"/>
  <c r="AQ249" i="56"/>
  <c r="S7" i="56"/>
  <c r="AA7" i="56"/>
  <c r="AA92" i="56"/>
  <c r="AO249" i="56"/>
  <c r="W7" i="56"/>
  <c r="W92" i="56"/>
  <c r="G229" i="56"/>
  <c r="AG6" i="56"/>
  <c r="T92" i="56"/>
  <c r="AL249" i="56"/>
  <c r="T7" i="56"/>
  <c r="AB92" i="56"/>
  <c r="AT249" i="56"/>
  <c r="AB7" i="56"/>
  <c r="AW249" i="56"/>
  <c r="AE7" i="56"/>
  <c r="U92" i="56"/>
  <c r="AM249" i="56"/>
  <c r="AC92" i="56"/>
  <c r="AU249" i="56"/>
  <c r="AC7" i="56"/>
  <c r="AI100" i="56"/>
  <c r="J232" i="56"/>
  <c r="K232" i="56" s="1"/>
  <c r="L232" i="56" s="1"/>
  <c r="M232" i="56" s="1"/>
  <c r="N232" i="56" s="1"/>
  <c r="O232" i="56" s="1"/>
  <c r="P232" i="56" s="1"/>
  <c r="Q7" i="56"/>
  <c r="Q92" i="56"/>
  <c r="AI249" i="56"/>
  <c r="AN249" i="56"/>
  <c r="V7" i="56"/>
  <c r="V92" i="56"/>
  <c r="AG91" i="56"/>
  <c r="AH68" i="56"/>
  <c r="AI72" i="56"/>
  <c r="D246" i="56"/>
  <c r="E234" i="56"/>
  <c r="AH100" i="56"/>
  <c r="AH50" i="56"/>
  <c r="AI84" i="56"/>
  <c r="B5" i="56"/>
  <c r="J5" i="56"/>
  <c r="R5" i="56"/>
  <c r="Z5" i="56"/>
  <c r="AI50" i="56"/>
  <c r="AI54" i="56"/>
  <c r="Z113" i="55"/>
  <c r="Y113" i="55"/>
  <c r="Y112" i="55"/>
  <c r="X113" i="55"/>
  <c r="W113" i="55"/>
  <c r="V113" i="55"/>
  <c r="U113" i="55"/>
  <c r="T113" i="55"/>
  <c r="S113" i="55"/>
  <c r="R113" i="55"/>
  <c r="O92" i="56" l="1"/>
  <c r="O7" i="56"/>
  <c r="AP249" i="56"/>
  <c r="AK249" i="56"/>
  <c r="X92" i="56"/>
  <c r="G110" i="57"/>
  <c r="H229" i="57"/>
  <c r="G235" i="57"/>
  <c r="H270" i="57"/>
  <c r="J234" i="57"/>
  <c r="AD92" i="56"/>
  <c r="AV249" i="56"/>
  <c r="P7" i="56"/>
  <c r="AH249" i="56"/>
  <c r="AE249" i="56"/>
  <c r="M92" i="56"/>
  <c r="N92" i="56"/>
  <c r="N7" i="56"/>
  <c r="J7" i="56"/>
  <c r="AB249" i="56"/>
  <c r="L7" i="56"/>
  <c r="L92" i="56"/>
  <c r="AC249" i="56"/>
  <c r="K92" i="56"/>
  <c r="C244" i="56"/>
  <c r="Z249" i="56"/>
  <c r="H92" i="56"/>
  <c r="C92" i="56"/>
  <c r="C7" i="56"/>
  <c r="X249" i="56"/>
  <c r="F92" i="56"/>
  <c r="I7" i="56"/>
  <c r="AA249" i="56"/>
  <c r="AH89" i="56"/>
  <c r="B244" i="56"/>
  <c r="I92" i="56"/>
  <c r="E7" i="56"/>
  <c r="W249" i="56"/>
  <c r="D7" i="56"/>
  <c r="V249" i="56"/>
  <c r="B91" i="56"/>
  <c r="AI91" i="56" s="1"/>
  <c r="AI89" i="56"/>
  <c r="D270" i="56"/>
  <c r="F234" i="56"/>
  <c r="E110" i="56"/>
  <c r="E235" i="56"/>
  <c r="H229" i="56"/>
  <c r="K234" i="57" l="1"/>
  <c r="I270" i="57"/>
  <c r="I229" i="57"/>
  <c r="H235" i="57"/>
  <c r="H110" i="57"/>
  <c r="K6" i="56"/>
  <c r="AH91" i="56"/>
  <c r="T249" i="56"/>
  <c r="B92" i="56"/>
  <c r="AI92" i="56" s="1"/>
  <c r="B7" i="56"/>
  <c r="A7" i="56" s="1"/>
  <c r="E270" i="56"/>
  <c r="G234" i="56"/>
  <c r="F110" i="56"/>
  <c r="F235" i="56"/>
  <c r="I229" i="56"/>
  <c r="B84" i="55"/>
  <c r="B100" i="55" s="1"/>
  <c r="B72" i="55"/>
  <c r="B68" i="55"/>
  <c r="B54" i="55"/>
  <c r="B50" i="55"/>
  <c r="AF274" i="55"/>
  <c r="AE274" i="55"/>
  <c r="AD274" i="55"/>
  <c r="AC274" i="55"/>
  <c r="AB274" i="55"/>
  <c r="AA274" i="55"/>
  <c r="Z274" i="55"/>
  <c r="Y274" i="55"/>
  <c r="X274" i="55"/>
  <c r="W274" i="55"/>
  <c r="V274" i="55"/>
  <c r="U274" i="55"/>
  <c r="T274" i="55"/>
  <c r="S274" i="55"/>
  <c r="R274" i="55"/>
  <c r="Q274" i="55"/>
  <c r="P274" i="55"/>
  <c r="O274" i="55"/>
  <c r="N274" i="55"/>
  <c r="M274" i="55"/>
  <c r="L274" i="55"/>
  <c r="K274" i="55"/>
  <c r="J274" i="55"/>
  <c r="I274" i="55"/>
  <c r="H274" i="55"/>
  <c r="G274" i="55"/>
  <c r="F274" i="55"/>
  <c r="E274" i="55"/>
  <c r="D274" i="55"/>
  <c r="C274" i="55"/>
  <c r="B274" i="55"/>
  <c r="A274" i="55"/>
  <c r="AF273" i="55"/>
  <c r="AE273" i="55"/>
  <c r="AD273" i="55"/>
  <c r="AC273" i="55"/>
  <c r="AB273" i="55"/>
  <c r="AA273" i="55"/>
  <c r="Z273" i="55"/>
  <c r="Y273" i="55"/>
  <c r="X273" i="55"/>
  <c r="W273" i="55"/>
  <c r="V273" i="55"/>
  <c r="U273" i="55"/>
  <c r="T273" i="55"/>
  <c r="S273" i="55"/>
  <c r="R273" i="55"/>
  <c r="Q273" i="55"/>
  <c r="P273" i="55"/>
  <c r="O273" i="55"/>
  <c r="N273" i="55"/>
  <c r="M273" i="55"/>
  <c r="L273" i="55"/>
  <c r="K273" i="55"/>
  <c r="J273" i="55"/>
  <c r="I273" i="55"/>
  <c r="H273" i="55"/>
  <c r="G273" i="55"/>
  <c r="F273" i="55"/>
  <c r="E273" i="55"/>
  <c r="D273" i="55"/>
  <c r="C273" i="55"/>
  <c r="B273" i="55"/>
  <c r="A273" i="55"/>
  <c r="AF272" i="55"/>
  <c r="AE272" i="55"/>
  <c r="AD272" i="55"/>
  <c r="AC272" i="55"/>
  <c r="AB272" i="55"/>
  <c r="AA272" i="55"/>
  <c r="Z272" i="55"/>
  <c r="Y272" i="55"/>
  <c r="X272" i="55"/>
  <c r="W272" i="55"/>
  <c r="V272" i="55"/>
  <c r="U272" i="55"/>
  <c r="T272" i="55"/>
  <c r="S272" i="55"/>
  <c r="R272" i="55"/>
  <c r="Q272" i="55"/>
  <c r="P272" i="55"/>
  <c r="O272" i="55"/>
  <c r="N272" i="55"/>
  <c r="M272" i="55"/>
  <c r="L272" i="55"/>
  <c r="K272" i="55"/>
  <c r="J272" i="55"/>
  <c r="I272" i="55"/>
  <c r="H272" i="55"/>
  <c r="G272" i="55"/>
  <c r="F272" i="55"/>
  <c r="E272" i="55"/>
  <c r="D272" i="55"/>
  <c r="C272" i="55"/>
  <c r="B272" i="55"/>
  <c r="A272" i="55"/>
  <c r="AF271" i="55"/>
  <c r="AE271" i="55"/>
  <c r="AD271" i="55"/>
  <c r="AC271" i="55"/>
  <c r="AB271" i="55"/>
  <c r="AA271" i="55"/>
  <c r="Z271" i="55"/>
  <c r="Y271" i="55"/>
  <c r="X271" i="55"/>
  <c r="W271" i="55"/>
  <c r="V271" i="55"/>
  <c r="U271" i="55"/>
  <c r="T271" i="55"/>
  <c r="S271" i="55"/>
  <c r="R271" i="55"/>
  <c r="Q271" i="55"/>
  <c r="P271" i="55"/>
  <c r="O271" i="55"/>
  <c r="N271" i="55"/>
  <c r="M271" i="55"/>
  <c r="L271" i="55"/>
  <c r="K271" i="55"/>
  <c r="J271" i="55"/>
  <c r="I271" i="55"/>
  <c r="H271" i="55"/>
  <c r="G271" i="55"/>
  <c r="F271" i="55"/>
  <c r="E271" i="55"/>
  <c r="D271" i="55"/>
  <c r="C271" i="55"/>
  <c r="B271" i="55"/>
  <c r="A271" i="55"/>
  <c r="AE270" i="55"/>
  <c r="AD270" i="55"/>
  <c r="AC270" i="55"/>
  <c r="AB270" i="55"/>
  <c r="AA270" i="55"/>
  <c r="Z270" i="55"/>
  <c r="Y270" i="55"/>
  <c r="X270" i="55"/>
  <c r="W270" i="55"/>
  <c r="V270" i="55"/>
  <c r="U270" i="55"/>
  <c r="T270" i="55"/>
  <c r="S270" i="55"/>
  <c r="R270" i="55"/>
  <c r="Q270" i="55"/>
  <c r="P270" i="55"/>
  <c r="C270" i="55"/>
  <c r="B270" i="55"/>
  <c r="S245" i="55"/>
  <c r="AG235" i="55"/>
  <c r="AG67" i="55" s="1"/>
  <c r="AG68" i="55" s="1"/>
  <c r="AG3" i="55" s="1"/>
  <c r="AF235" i="55"/>
  <c r="AE235" i="55"/>
  <c r="AD235" i="55"/>
  <c r="AC235" i="55"/>
  <c r="AB235" i="55"/>
  <c r="AA235" i="55"/>
  <c r="Z235" i="55"/>
  <c r="Y235" i="55"/>
  <c r="X235" i="55"/>
  <c r="W235" i="55"/>
  <c r="V235" i="55"/>
  <c r="U235" i="55"/>
  <c r="T235" i="55"/>
  <c r="S235" i="55"/>
  <c r="R235" i="55"/>
  <c r="Q235" i="55"/>
  <c r="C235" i="55"/>
  <c r="E234" i="55"/>
  <c r="D270" i="55" s="1"/>
  <c r="D234" i="55"/>
  <c r="B234" i="55"/>
  <c r="AF270" i="55" s="1"/>
  <c r="D233" i="55"/>
  <c r="E233" i="55" s="1"/>
  <c r="F233" i="55" s="1"/>
  <c r="G233" i="55" s="1"/>
  <c r="H233" i="55" s="1"/>
  <c r="I233" i="55" s="1"/>
  <c r="J233" i="55" s="1"/>
  <c r="K233" i="55" s="1"/>
  <c r="L233" i="55" s="1"/>
  <c r="M233" i="55" s="1"/>
  <c r="N233" i="55" s="1"/>
  <c r="O233" i="55" s="1"/>
  <c r="P233" i="55" s="1"/>
  <c r="B233" i="55"/>
  <c r="D232" i="55"/>
  <c r="E232" i="55" s="1"/>
  <c r="F232" i="55" s="1"/>
  <c r="G232" i="55" s="1"/>
  <c r="H232" i="55" s="1"/>
  <c r="I232" i="55" s="1"/>
  <c r="B232" i="55"/>
  <c r="D231" i="55"/>
  <c r="E231" i="55" s="1"/>
  <c r="F231" i="55" s="1"/>
  <c r="G231" i="55" s="1"/>
  <c r="H231" i="55" s="1"/>
  <c r="B231" i="55"/>
  <c r="D230" i="55"/>
  <c r="E230" i="55" s="1"/>
  <c r="F230" i="55" s="1"/>
  <c r="G230" i="55" s="1"/>
  <c r="H230" i="55" s="1"/>
  <c r="I230" i="55" s="1"/>
  <c r="J230" i="55" s="1"/>
  <c r="K230" i="55" s="1"/>
  <c r="L230" i="55" s="1"/>
  <c r="M230" i="55" s="1"/>
  <c r="N230" i="55" s="1"/>
  <c r="O230" i="55" s="1"/>
  <c r="P230" i="55" s="1"/>
  <c r="B230" i="55"/>
  <c r="D229" i="55"/>
  <c r="D110" i="55" s="1"/>
  <c r="B229" i="55"/>
  <c r="AG227" i="55"/>
  <c r="AF227" i="55"/>
  <c r="AE227" i="55"/>
  <c r="AD227" i="55"/>
  <c r="AC227" i="55"/>
  <c r="AB227" i="55"/>
  <c r="AA227" i="55"/>
  <c r="Z227" i="55"/>
  <c r="Y227" i="55"/>
  <c r="X227" i="55"/>
  <c r="W227" i="55"/>
  <c r="V227" i="55"/>
  <c r="U227" i="55"/>
  <c r="T227" i="55"/>
  <c r="S227" i="55"/>
  <c r="R227" i="55"/>
  <c r="Q227" i="55"/>
  <c r="P227" i="55"/>
  <c r="O227" i="55"/>
  <c r="N227" i="55"/>
  <c r="M227" i="55"/>
  <c r="L227" i="55"/>
  <c r="K227" i="55"/>
  <c r="J227" i="55"/>
  <c r="I227" i="55"/>
  <c r="H227" i="55"/>
  <c r="G227" i="55"/>
  <c r="F227" i="55"/>
  <c r="E227" i="55"/>
  <c r="D227" i="55"/>
  <c r="C227" i="55"/>
  <c r="B227" i="55"/>
  <c r="AI120" i="55"/>
  <c r="AH120" i="55"/>
  <c r="AI119" i="55"/>
  <c r="AH119" i="55"/>
  <c r="AI118" i="55"/>
  <c r="AH118" i="55"/>
  <c r="AI117" i="55"/>
  <c r="AH117" i="55"/>
  <c r="AI116" i="55"/>
  <c r="AH116" i="55"/>
  <c r="AI115" i="55"/>
  <c r="AH115" i="55"/>
  <c r="AI114" i="55"/>
  <c r="AH114" i="55"/>
  <c r="AI113" i="55"/>
  <c r="AH113" i="55"/>
  <c r="AI112" i="55"/>
  <c r="AH112" i="55"/>
  <c r="AI111" i="55"/>
  <c r="AH111" i="55"/>
  <c r="AF110" i="55"/>
  <c r="AE110" i="55"/>
  <c r="AC110" i="55"/>
  <c r="AB110" i="55"/>
  <c r="Z110" i="55"/>
  <c r="Y110" i="55"/>
  <c r="X110" i="55"/>
  <c r="W110" i="55"/>
  <c r="V110" i="55"/>
  <c r="U110" i="55"/>
  <c r="T110" i="55"/>
  <c r="S110" i="55"/>
  <c r="R110" i="55"/>
  <c r="Q110" i="55"/>
  <c r="C110" i="55"/>
  <c r="AI109" i="55"/>
  <c r="AH109" i="55"/>
  <c r="AI108" i="55"/>
  <c r="AH108" i="55"/>
  <c r="AI107" i="55"/>
  <c r="AH107" i="55"/>
  <c r="AI106" i="55"/>
  <c r="AH106" i="55"/>
  <c r="AI105" i="55"/>
  <c r="AH105" i="55"/>
  <c r="AI104" i="55"/>
  <c r="AH104" i="55"/>
  <c r="AI103" i="55"/>
  <c r="AH103" i="55"/>
  <c r="AI102" i="55"/>
  <c r="AH102" i="55"/>
  <c r="AI101" i="55"/>
  <c r="AH101" i="55"/>
  <c r="AI99" i="55"/>
  <c r="AH99" i="55"/>
  <c r="AI98" i="55"/>
  <c r="AH98" i="55"/>
  <c r="AI97" i="55"/>
  <c r="AH97" i="55"/>
  <c r="AI96" i="55"/>
  <c r="AH96" i="55"/>
  <c r="AI95" i="55"/>
  <c r="AH95" i="55"/>
  <c r="AI94" i="55"/>
  <c r="AH94" i="55"/>
  <c r="AI93" i="55"/>
  <c r="AH93" i="55"/>
  <c r="AI90" i="55"/>
  <c r="AH90" i="55"/>
  <c r="AI88" i="55"/>
  <c r="AH88" i="55"/>
  <c r="AG88" i="55"/>
  <c r="AI87" i="55"/>
  <c r="AH87" i="55"/>
  <c r="AI86" i="55"/>
  <c r="AH86" i="55"/>
  <c r="AI85" i="55"/>
  <c r="AH85" i="55"/>
  <c r="AN84" i="55"/>
  <c r="AG84" i="55"/>
  <c r="AF84" i="55"/>
  <c r="AF100" i="55" s="1"/>
  <c r="AE84" i="55"/>
  <c r="AE100" i="55" s="1"/>
  <c r="AD84" i="55"/>
  <c r="AD100" i="55" s="1"/>
  <c r="AC84" i="55"/>
  <c r="AC100" i="55" s="1"/>
  <c r="AB84" i="55"/>
  <c r="AB100" i="55" s="1"/>
  <c r="Z84" i="55"/>
  <c r="Z100" i="55" s="1"/>
  <c r="Y84" i="55"/>
  <c r="Y100" i="55" s="1"/>
  <c r="X84" i="55"/>
  <c r="X100" i="55" s="1"/>
  <c r="W84" i="55"/>
  <c r="W100" i="55" s="1"/>
  <c r="V84" i="55"/>
  <c r="V100" i="55" s="1"/>
  <c r="U84" i="55"/>
  <c r="U100" i="55" s="1"/>
  <c r="T84" i="55"/>
  <c r="T100" i="55" s="1"/>
  <c r="S84" i="55"/>
  <c r="R5" i="55" s="1"/>
  <c r="R84" i="55"/>
  <c r="R100" i="55" s="1"/>
  <c r="Q84" i="55"/>
  <c r="Q100" i="55" s="1"/>
  <c r="P84" i="55"/>
  <c r="P100" i="55" s="1"/>
  <c r="O84" i="55"/>
  <c r="O100" i="55" s="1"/>
  <c r="N84" i="55"/>
  <c r="N100" i="55" s="1"/>
  <c r="M84" i="55"/>
  <c r="M100" i="55" s="1"/>
  <c r="L84" i="55"/>
  <c r="L100" i="55" s="1"/>
  <c r="K84" i="55"/>
  <c r="K100" i="55" s="1"/>
  <c r="J84" i="55"/>
  <c r="J100" i="55" s="1"/>
  <c r="I84" i="55"/>
  <c r="I100" i="55" s="1"/>
  <c r="H84" i="55"/>
  <c r="H100" i="55" s="1"/>
  <c r="G84" i="55"/>
  <c r="G100" i="55" s="1"/>
  <c r="F84" i="55"/>
  <c r="F100" i="55" s="1"/>
  <c r="E84" i="55"/>
  <c r="E100" i="55" s="1"/>
  <c r="D84" i="55"/>
  <c r="D100" i="55" s="1"/>
  <c r="C84" i="55"/>
  <c r="C100" i="55" s="1"/>
  <c r="AI83" i="55"/>
  <c r="AH83" i="55"/>
  <c r="AN82" i="55"/>
  <c r="AI82" i="55"/>
  <c r="AH82" i="55"/>
  <c r="AN81" i="55"/>
  <c r="AN83" i="55" s="1"/>
  <c r="AI81" i="55"/>
  <c r="AH81" i="55"/>
  <c r="AI80" i="55"/>
  <c r="AH80" i="55"/>
  <c r="AI79" i="55"/>
  <c r="AH79" i="55"/>
  <c r="AI78" i="55"/>
  <c r="AH78" i="55"/>
  <c r="AI77" i="55"/>
  <c r="AH77" i="55"/>
  <c r="AI76" i="55"/>
  <c r="AH76" i="55"/>
  <c r="AI75" i="55"/>
  <c r="AH75" i="55"/>
  <c r="AI74" i="55"/>
  <c r="AH74" i="55"/>
  <c r="AI73" i="55"/>
  <c r="AH73" i="55"/>
  <c r="AG72" i="55"/>
  <c r="AF72" i="55"/>
  <c r="AE72" i="55"/>
  <c r="AD72" i="55"/>
  <c r="AC72" i="55"/>
  <c r="AB72" i="55"/>
  <c r="Z72" i="55"/>
  <c r="Y72" i="55"/>
  <c r="X72" i="55"/>
  <c r="W72" i="55"/>
  <c r="V72" i="55"/>
  <c r="U72" i="55"/>
  <c r="T72" i="55"/>
  <c r="S72" i="55"/>
  <c r="R72" i="55"/>
  <c r="Q72" i="55"/>
  <c r="P72" i="55"/>
  <c r="O72" i="55"/>
  <c r="N72" i="55"/>
  <c r="M72" i="55"/>
  <c r="L72" i="55"/>
  <c r="AI71" i="55"/>
  <c r="AH71" i="55"/>
  <c r="AI70" i="55"/>
  <c r="AH70" i="55"/>
  <c r="AI69" i="55"/>
  <c r="AH69" i="55"/>
  <c r="AF68" i="55"/>
  <c r="AE68" i="55"/>
  <c r="AD68" i="55"/>
  <c r="AC68" i="55"/>
  <c r="AB68" i="55"/>
  <c r="Z68" i="55"/>
  <c r="Y68" i="55"/>
  <c r="X68" i="55"/>
  <c r="W68" i="55"/>
  <c r="V68" i="55"/>
  <c r="U68" i="55"/>
  <c r="T68" i="55"/>
  <c r="S68" i="55"/>
  <c r="R68" i="55"/>
  <c r="Q68" i="55"/>
  <c r="P68" i="55"/>
  <c r="O68" i="55"/>
  <c r="N68" i="55"/>
  <c r="M68" i="55"/>
  <c r="L68" i="55"/>
  <c r="K68" i="55"/>
  <c r="J68" i="55"/>
  <c r="I68" i="55"/>
  <c r="H68" i="55"/>
  <c r="G68" i="55"/>
  <c r="F68" i="55"/>
  <c r="E68" i="55"/>
  <c r="D68" i="55"/>
  <c r="C68" i="55"/>
  <c r="AI67" i="55"/>
  <c r="AH67" i="55"/>
  <c r="AI66" i="55"/>
  <c r="AH66" i="55"/>
  <c r="AI65" i="55"/>
  <c r="AH65" i="55"/>
  <c r="AI64" i="55"/>
  <c r="AH64" i="55"/>
  <c r="AI63" i="55"/>
  <c r="AH63" i="55"/>
  <c r="AI62" i="55"/>
  <c r="AH62" i="55"/>
  <c r="AI61" i="55"/>
  <c r="AH61" i="55"/>
  <c r="AI60" i="55"/>
  <c r="AH60" i="55"/>
  <c r="AI59" i="55"/>
  <c r="AH59" i="55"/>
  <c r="AI58" i="55"/>
  <c r="AH58" i="55"/>
  <c r="AI57" i="55"/>
  <c r="AH57" i="55"/>
  <c r="AI56" i="55"/>
  <c r="AH56" i="55"/>
  <c r="AI55" i="55"/>
  <c r="AH55" i="55"/>
  <c r="AG54" i="55"/>
  <c r="AF54" i="55"/>
  <c r="AE54" i="55"/>
  <c r="AD54" i="55"/>
  <c r="AC54" i="55"/>
  <c r="AB54" i="55"/>
  <c r="Z54" i="55"/>
  <c r="Y54" i="55"/>
  <c r="X54" i="55"/>
  <c r="W54" i="55"/>
  <c r="V54" i="55"/>
  <c r="U54" i="55"/>
  <c r="T54" i="55"/>
  <c r="S54" i="55"/>
  <c r="R54" i="55"/>
  <c r="Q54" i="55"/>
  <c r="P54" i="55"/>
  <c r="O54" i="55"/>
  <c r="N54" i="55"/>
  <c r="M54" i="55"/>
  <c r="L54" i="55"/>
  <c r="K54" i="55"/>
  <c r="J54" i="55"/>
  <c r="I54" i="55"/>
  <c r="H54" i="55"/>
  <c r="G54" i="55"/>
  <c r="F54" i="55"/>
  <c r="E54" i="55"/>
  <c r="D54" i="55"/>
  <c r="C54" i="55"/>
  <c r="AI53" i="55"/>
  <c r="AH53" i="55"/>
  <c r="AI52" i="55"/>
  <c r="AH52" i="55"/>
  <c r="AI51" i="55"/>
  <c r="AH51" i="55"/>
  <c r="AG50" i="55"/>
  <c r="AF50" i="55"/>
  <c r="AE50" i="55"/>
  <c r="AD50" i="55"/>
  <c r="AC50" i="55"/>
  <c r="AB50" i="55"/>
  <c r="Z50" i="55"/>
  <c r="Y50" i="55"/>
  <c r="X50" i="55"/>
  <c r="W50" i="55"/>
  <c r="V50" i="55"/>
  <c r="U50" i="55"/>
  <c r="T50" i="55"/>
  <c r="S50" i="55"/>
  <c r="R50" i="55"/>
  <c r="Q50" i="55"/>
  <c r="P50" i="55"/>
  <c r="O50" i="55"/>
  <c r="N50" i="55"/>
  <c r="N89" i="55" s="1"/>
  <c r="N91" i="55" s="1"/>
  <c r="M50" i="55"/>
  <c r="L50" i="55"/>
  <c r="K50" i="55"/>
  <c r="J50" i="55"/>
  <c r="I50" i="55"/>
  <c r="H50" i="55"/>
  <c r="G50" i="55"/>
  <c r="F50" i="55"/>
  <c r="E50" i="55"/>
  <c r="D50" i="55"/>
  <c r="C50" i="55"/>
  <c r="AI49" i="55"/>
  <c r="AH49" i="55"/>
  <c r="AI48" i="55"/>
  <c r="AH48" i="55"/>
  <c r="AI47" i="55"/>
  <c r="AH47" i="55"/>
  <c r="AI46" i="55"/>
  <c r="AH46" i="55"/>
  <c r="AI45" i="55"/>
  <c r="AH45" i="55"/>
  <c r="AI44" i="55"/>
  <c r="AH44" i="55"/>
  <c r="AI43" i="55"/>
  <c r="AH43" i="55"/>
  <c r="AI42" i="55"/>
  <c r="AH42" i="55"/>
  <c r="AI41" i="55"/>
  <c r="AH41" i="55"/>
  <c r="AI40" i="55"/>
  <c r="AH40" i="55"/>
  <c r="AI39" i="55"/>
  <c r="AH39" i="55"/>
  <c r="AI38" i="55"/>
  <c r="AH38" i="55"/>
  <c r="AI37" i="55"/>
  <c r="AH37" i="55"/>
  <c r="AI36" i="55"/>
  <c r="AH36" i="55"/>
  <c r="AI35" i="55"/>
  <c r="AH35" i="55"/>
  <c r="AI34" i="55"/>
  <c r="AH34" i="55"/>
  <c r="AI33" i="55"/>
  <c r="AH33" i="55"/>
  <c r="AI32" i="55"/>
  <c r="AH32" i="55"/>
  <c r="AI31" i="55"/>
  <c r="AH31" i="55"/>
  <c r="AI30" i="55"/>
  <c r="AH30" i="55"/>
  <c r="AI29" i="55"/>
  <c r="AH29" i="55"/>
  <c r="AI28" i="55"/>
  <c r="AH28" i="55"/>
  <c r="AI27" i="55"/>
  <c r="AH27" i="55"/>
  <c r="AI26" i="55"/>
  <c r="AH26" i="55"/>
  <c r="AI25" i="55"/>
  <c r="AH25" i="55"/>
  <c r="AI24" i="55"/>
  <c r="AH24" i="55"/>
  <c r="AI23" i="55"/>
  <c r="AH23" i="55"/>
  <c r="AI22" i="55"/>
  <c r="AH22" i="55"/>
  <c r="AI21" i="55"/>
  <c r="AH21" i="55"/>
  <c r="AI20" i="55"/>
  <c r="AH20" i="55"/>
  <c r="AI19" i="55"/>
  <c r="AH19" i="55"/>
  <c r="AI18" i="55"/>
  <c r="AH18" i="55"/>
  <c r="AI17" i="55"/>
  <c r="AH17" i="55"/>
  <c r="AI16" i="55"/>
  <c r="AH16" i="55"/>
  <c r="AI15" i="55"/>
  <c r="AH15" i="55"/>
  <c r="AI14" i="55"/>
  <c r="AH14" i="55"/>
  <c r="AI13" i="55"/>
  <c r="AH13" i="55"/>
  <c r="AI12" i="55"/>
  <c r="AH12" i="55"/>
  <c r="AI11" i="55"/>
  <c r="AH11" i="55"/>
  <c r="Z5" i="55"/>
  <c r="W5" i="55"/>
  <c r="V5" i="55"/>
  <c r="G5" i="55"/>
  <c r="B5" i="55"/>
  <c r="AG4" i="55"/>
  <c r="K4" i="55"/>
  <c r="E4" i="55"/>
  <c r="H4" i="55" s="1"/>
  <c r="B4" i="55"/>
  <c r="S246" i="55" s="1"/>
  <c r="AG2" i="55"/>
  <c r="AD110" i="54"/>
  <c r="Z113" i="54"/>
  <c r="Y113" i="54"/>
  <c r="X113" i="54"/>
  <c r="W113" i="54"/>
  <c r="V113" i="54"/>
  <c r="U113" i="54"/>
  <c r="T113" i="54"/>
  <c r="S113" i="54"/>
  <c r="R50" i="54"/>
  <c r="AF5" i="55" l="1"/>
  <c r="C89" i="55"/>
  <c r="C91" i="55" s="1"/>
  <c r="AG89" i="55"/>
  <c r="I110" i="57"/>
  <c r="J229" i="57"/>
  <c r="L234" i="57"/>
  <c r="J270" i="57"/>
  <c r="AH92" i="56"/>
  <c r="F270" i="56"/>
  <c r="H234" i="56"/>
  <c r="G110" i="56"/>
  <c r="G235" i="56"/>
  <c r="J229" i="56"/>
  <c r="AE5" i="55"/>
  <c r="AF89" i="55"/>
  <c r="AF91" i="55" s="1"/>
  <c r="AF7" i="55" s="1"/>
  <c r="AC5" i="55"/>
  <c r="AD5" i="55"/>
  <c r="AE89" i="55"/>
  <c r="AE91" i="55" s="1"/>
  <c r="AD89" i="55"/>
  <c r="AD91" i="55" s="1"/>
  <c r="AV249" i="55" s="1"/>
  <c r="AC89" i="55"/>
  <c r="AC91" i="55" s="1"/>
  <c r="AB5" i="55"/>
  <c r="AB89" i="55"/>
  <c r="AB91" i="55" s="1"/>
  <c r="AB92" i="55" s="1"/>
  <c r="Z89" i="55"/>
  <c r="Z91" i="55" s="1"/>
  <c r="Z7" i="55" s="1"/>
  <c r="Y5" i="55"/>
  <c r="X5" i="55"/>
  <c r="Y89" i="55"/>
  <c r="Y91" i="55" s="1"/>
  <c r="X89" i="55"/>
  <c r="X91" i="55" s="1"/>
  <c r="X92" i="55" s="1"/>
  <c r="W89" i="55"/>
  <c r="W91" i="55" s="1"/>
  <c r="W7" i="55" s="1"/>
  <c r="B235" i="55"/>
  <c r="D235" i="55"/>
  <c r="AG6" i="55"/>
  <c r="B110" i="55"/>
  <c r="U5" i="55"/>
  <c r="V89" i="55"/>
  <c r="V91" i="55" s="1"/>
  <c r="T5" i="55"/>
  <c r="U89" i="55"/>
  <c r="U91" i="55" s="1"/>
  <c r="U92" i="55" s="1"/>
  <c r="T89" i="55"/>
  <c r="T91" i="55" s="1"/>
  <c r="S100" i="55"/>
  <c r="AH100" i="55" s="1"/>
  <c r="S89" i="55"/>
  <c r="S91" i="55" s="1"/>
  <c r="S7" i="55" s="1"/>
  <c r="Q5" i="55"/>
  <c r="AH72" i="55"/>
  <c r="R89" i="55"/>
  <c r="R91" i="55" s="1"/>
  <c r="P5" i="55"/>
  <c r="Q89" i="55"/>
  <c r="Q91" i="55" s="1"/>
  <c r="Q92" i="55" s="1"/>
  <c r="O5" i="55"/>
  <c r="P89" i="55"/>
  <c r="P91" i="55" s="1"/>
  <c r="P92" i="55" s="1"/>
  <c r="N5" i="55"/>
  <c r="O89" i="55"/>
  <c r="O91" i="55" s="1"/>
  <c r="O7" i="55" s="1"/>
  <c r="M5" i="55"/>
  <c r="L5" i="55"/>
  <c r="M89" i="55"/>
  <c r="M91" i="55" s="1"/>
  <c r="M7" i="55" s="1"/>
  <c r="J5" i="55"/>
  <c r="I5" i="55"/>
  <c r="H5" i="55"/>
  <c r="AH68" i="55"/>
  <c r="J89" i="55"/>
  <c r="J91" i="55" s="1"/>
  <c r="AB249" i="55" s="1"/>
  <c r="K89" i="55"/>
  <c r="K91" i="55" s="1"/>
  <c r="K7" i="55" s="1"/>
  <c r="L89" i="55"/>
  <c r="L91" i="55" s="1"/>
  <c r="L92" i="55" s="1"/>
  <c r="I89" i="55"/>
  <c r="I91" i="55" s="1"/>
  <c r="I7" i="55" s="1"/>
  <c r="AI68" i="55"/>
  <c r="H89" i="55"/>
  <c r="H91" i="55" s="1"/>
  <c r="H7" i="55" s="1"/>
  <c r="AI54" i="55"/>
  <c r="F5" i="55"/>
  <c r="G89" i="55"/>
  <c r="G91" i="55" s="1"/>
  <c r="E5" i="55"/>
  <c r="F89" i="55"/>
  <c r="F91" i="55" s="1"/>
  <c r="X249" i="55" s="1"/>
  <c r="D5" i="55"/>
  <c r="AH54" i="55"/>
  <c r="E89" i="55"/>
  <c r="E91" i="55" s="1"/>
  <c r="E92" i="55" s="1"/>
  <c r="D89" i="55"/>
  <c r="D91" i="55" s="1"/>
  <c r="V249" i="55" s="1"/>
  <c r="B89" i="55"/>
  <c r="B91" i="55" s="1"/>
  <c r="B92" i="55" s="1"/>
  <c r="AO249" i="55"/>
  <c r="Y7" i="55"/>
  <c r="Y92" i="55"/>
  <c r="AQ249" i="55"/>
  <c r="R7" i="55"/>
  <c r="AJ249" i="55"/>
  <c r="R92" i="55"/>
  <c r="AW249" i="55"/>
  <c r="AE7" i="55"/>
  <c r="AE92" i="55"/>
  <c r="AI100" i="55"/>
  <c r="C7" i="55"/>
  <c r="C92" i="55"/>
  <c r="U249" i="55"/>
  <c r="AA7" i="55"/>
  <c r="AS249" i="55"/>
  <c r="AP249" i="55"/>
  <c r="X7" i="55"/>
  <c r="T92" i="55"/>
  <c r="T7" i="55"/>
  <c r="AL249" i="55"/>
  <c r="J232" i="55"/>
  <c r="K232" i="55" s="1"/>
  <c r="L232" i="55" s="1"/>
  <c r="M232" i="55" s="1"/>
  <c r="N232" i="55" s="1"/>
  <c r="O232" i="55" s="1"/>
  <c r="P232" i="55" s="1"/>
  <c r="AG249" i="55"/>
  <c r="AM249" i="55"/>
  <c r="U7" i="55"/>
  <c r="AC92" i="55"/>
  <c r="AU249" i="55"/>
  <c r="AC7" i="55"/>
  <c r="Q7" i="55"/>
  <c r="AF249" i="55"/>
  <c r="N7" i="55"/>
  <c r="N92" i="55"/>
  <c r="AN249" i="55"/>
  <c r="V7" i="55"/>
  <c r="V92" i="55"/>
  <c r="AD7" i="55"/>
  <c r="AD92" i="55"/>
  <c r="AG91" i="55"/>
  <c r="AI72" i="55"/>
  <c r="D246" i="55"/>
  <c r="AH84" i="55"/>
  <c r="F234" i="55"/>
  <c r="AH50" i="55"/>
  <c r="AI84" i="55"/>
  <c r="E229" i="55"/>
  <c r="C5" i="55"/>
  <c r="K5" i="55"/>
  <c r="S5" i="55"/>
  <c r="AA5" i="55"/>
  <c r="AI50" i="55"/>
  <c r="S92" i="55" l="1"/>
  <c r="D92" i="55"/>
  <c r="AH249" i="55"/>
  <c r="AK249" i="55"/>
  <c r="AX249" i="55"/>
  <c r="AF92" i="55"/>
  <c r="AI249" i="55"/>
  <c r="AB7" i="55"/>
  <c r="AR249" i="55"/>
  <c r="O92" i="55"/>
  <c r="AT249" i="55"/>
  <c r="Z92" i="55"/>
  <c r="W92" i="55"/>
  <c r="M234" i="57"/>
  <c r="K270" i="57"/>
  <c r="J110" i="57"/>
  <c r="K229" i="57"/>
  <c r="G270" i="56"/>
  <c r="I234" i="56"/>
  <c r="H110" i="56"/>
  <c r="H235" i="56"/>
  <c r="K229" i="56"/>
  <c r="D7" i="55"/>
  <c r="F7" i="55"/>
  <c r="P7" i="55"/>
  <c r="AE249" i="55"/>
  <c r="M92" i="55"/>
  <c r="AD249" i="55"/>
  <c r="L7" i="55"/>
  <c r="AC249" i="55"/>
  <c r="K92" i="55"/>
  <c r="J92" i="55"/>
  <c r="J7" i="55"/>
  <c r="AA249" i="55"/>
  <c r="I92" i="55"/>
  <c r="Z249" i="55"/>
  <c r="C244" i="55"/>
  <c r="H92" i="55"/>
  <c r="AI89" i="55"/>
  <c r="G92" i="55"/>
  <c r="G7" i="55"/>
  <c r="B244" i="55"/>
  <c r="Y249" i="55"/>
  <c r="F92" i="55"/>
  <c r="AH89" i="55"/>
  <c r="E7" i="55"/>
  <c r="W249" i="55"/>
  <c r="B7" i="55"/>
  <c r="AI91" i="55"/>
  <c r="T249" i="55"/>
  <c r="AH91" i="55"/>
  <c r="F229" i="55"/>
  <c r="E110" i="55"/>
  <c r="E235" i="55"/>
  <c r="G234" i="55"/>
  <c r="E270" i="55"/>
  <c r="K110" i="57" l="1"/>
  <c r="L229" i="57"/>
  <c r="L270" i="57"/>
  <c r="N234" i="57"/>
  <c r="L229" i="56"/>
  <c r="H270" i="56"/>
  <c r="J234" i="56"/>
  <c r="I110" i="56"/>
  <c r="A7" i="55"/>
  <c r="K6" i="55"/>
  <c r="G229" i="55"/>
  <c r="F110" i="55"/>
  <c r="F235" i="55"/>
  <c r="AH92" i="55"/>
  <c r="AI92" i="55"/>
  <c r="F270" i="55"/>
  <c r="H234" i="55"/>
  <c r="M270" i="57" l="1"/>
  <c r="O234" i="57"/>
  <c r="L110" i="57"/>
  <c r="M229" i="57"/>
  <c r="K234" i="56"/>
  <c r="I270" i="56"/>
  <c r="J110" i="56"/>
  <c r="M229" i="56"/>
  <c r="H229" i="55"/>
  <c r="G110" i="55"/>
  <c r="G235" i="55"/>
  <c r="G270" i="55"/>
  <c r="I234" i="55"/>
  <c r="M110" i="57" l="1"/>
  <c r="N229" i="57"/>
  <c r="N270" i="57"/>
  <c r="P234" i="57"/>
  <c r="O270" i="57" s="1"/>
  <c r="N229" i="56"/>
  <c r="J270" i="56"/>
  <c r="L234" i="56"/>
  <c r="K110" i="56"/>
  <c r="H270" i="55"/>
  <c r="J234" i="55"/>
  <c r="I229" i="55"/>
  <c r="H110" i="55"/>
  <c r="H235" i="55"/>
  <c r="N110" i="57" l="1"/>
  <c r="O229" i="57"/>
  <c r="K270" i="56"/>
  <c r="M234" i="56"/>
  <c r="L110" i="56"/>
  <c r="O229" i="56"/>
  <c r="I110" i="55"/>
  <c r="J229" i="55"/>
  <c r="K234" i="55"/>
  <c r="I270" i="55"/>
  <c r="O110" i="57" l="1"/>
  <c r="P229" i="57"/>
  <c r="P229" i="56"/>
  <c r="L270" i="56"/>
  <c r="N234" i="56"/>
  <c r="M110" i="56"/>
  <c r="J270" i="55"/>
  <c r="L234" i="55"/>
  <c r="J110" i="55"/>
  <c r="K229" i="55"/>
  <c r="AI110" i="57" l="1"/>
  <c r="AH110" i="57"/>
  <c r="M270" i="56"/>
  <c r="O234" i="56"/>
  <c r="N110" i="56"/>
  <c r="K110" i="55"/>
  <c r="L229" i="55"/>
  <c r="K270" i="55"/>
  <c r="M234" i="55"/>
  <c r="N270" i="56" l="1"/>
  <c r="P234" i="56"/>
  <c r="O270" i="56" s="1"/>
  <c r="O110" i="56"/>
  <c r="L270" i="55"/>
  <c r="N234" i="55"/>
  <c r="M229" i="55"/>
  <c r="L110" i="55"/>
  <c r="AI110" i="56" l="1"/>
  <c r="AH110" i="56"/>
  <c r="N229" i="55"/>
  <c r="M110" i="55"/>
  <c r="O234" i="55"/>
  <c r="M270" i="55"/>
  <c r="P234" i="55" l="1"/>
  <c r="O270" i="55" s="1"/>
  <c r="N270" i="55"/>
  <c r="O229" i="55"/>
  <c r="N110" i="55"/>
  <c r="P229" i="55" l="1"/>
  <c r="O110" i="55"/>
  <c r="AI110" i="55" l="1"/>
  <c r="AH110" i="55"/>
  <c r="L113" i="54" l="1"/>
  <c r="K113" i="54"/>
  <c r="H113" i="54"/>
  <c r="I113" i="54"/>
  <c r="G113" i="54"/>
  <c r="F113" i="54"/>
  <c r="E113" i="54"/>
  <c r="AI113" i="54" s="1"/>
  <c r="AF274" i="54"/>
  <c r="AE274" i="54"/>
  <c r="AD274" i="54"/>
  <c r="AC274" i="54"/>
  <c r="AB274" i="54"/>
  <c r="AA274" i="54"/>
  <c r="Z274" i="54"/>
  <c r="Y274" i="54"/>
  <c r="X274" i="54"/>
  <c r="W274" i="54"/>
  <c r="V274" i="54"/>
  <c r="U274" i="54"/>
  <c r="T274" i="54"/>
  <c r="S274" i="54"/>
  <c r="R274" i="54"/>
  <c r="Q274" i="54"/>
  <c r="P274" i="54"/>
  <c r="O274" i="54"/>
  <c r="N274" i="54"/>
  <c r="M274" i="54"/>
  <c r="L274" i="54"/>
  <c r="K274" i="54"/>
  <c r="J274" i="54"/>
  <c r="I274" i="54"/>
  <c r="H274" i="54"/>
  <c r="G274" i="54"/>
  <c r="F274" i="54"/>
  <c r="E274" i="54"/>
  <c r="D274" i="54"/>
  <c r="C274" i="54"/>
  <c r="B274" i="54"/>
  <c r="A274" i="54"/>
  <c r="AF273" i="54"/>
  <c r="AE273" i="54"/>
  <c r="AD273" i="54"/>
  <c r="AC273" i="54"/>
  <c r="AB273" i="54"/>
  <c r="AA273" i="54"/>
  <c r="Z273" i="54"/>
  <c r="Y273" i="54"/>
  <c r="X273" i="54"/>
  <c r="W273" i="54"/>
  <c r="V273" i="54"/>
  <c r="U273" i="54"/>
  <c r="T273" i="54"/>
  <c r="S273" i="54"/>
  <c r="R273" i="54"/>
  <c r="Q273" i="54"/>
  <c r="P273" i="54"/>
  <c r="O273" i="54"/>
  <c r="N273" i="54"/>
  <c r="M273" i="54"/>
  <c r="L273" i="54"/>
  <c r="K273" i="54"/>
  <c r="J273" i="54"/>
  <c r="I273" i="54"/>
  <c r="H273" i="54"/>
  <c r="G273" i="54"/>
  <c r="F273" i="54"/>
  <c r="E273" i="54"/>
  <c r="D273" i="54"/>
  <c r="C273" i="54"/>
  <c r="B273" i="54"/>
  <c r="A273" i="54"/>
  <c r="AF272" i="54"/>
  <c r="AE272" i="54"/>
  <c r="AD272" i="54"/>
  <c r="AC272" i="54"/>
  <c r="AB272" i="54"/>
  <c r="AA272" i="54"/>
  <c r="Z272" i="54"/>
  <c r="Y272" i="54"/>
  <c r="X272" i="54"/>
  <c r="W272" i="54"/>
  <c r="V272" i="54"/>
  <c r="U272" i="54"/>
  <c r="T272" i="54"/>
  <c r="S272" i="54"/>
  <c r="R272" i="54"/>
  <c r="Q272" i="54"/>
  <c r="P272" i="54"/>
  <c r="O272" i="54"/>
  <c r="N272" i="54"/>
  <c r="M272" i="54"/>
  <c r="L272" i="54"/>
  <c r="K272" i="54"/>
  <c r="J272" i="54"/>
  <c r="I272" i="54"/>
  <c r="H272" i="54"/>
  <c r="G272" i="54"/>
  <c r="F272" i="54"/>
  <c r="E272" i="54"/>
  <c r="D272" i="54"/>
  <c r="C272" i="54"/>
  <c r="B272" i="54"/>
  <c r="A272" i="54"/>
  <c r="AF271" i="54"/>
  <c r="AE271" i="54"/>
  <c r="AD271" i="54"/>
  <c r="AC271" i="54"/>
  <c r="AB271" i="54"/>
  <c r="AA271" i="54"/>
  <c r="Z271" i="54"/>
  <c r="Y271" i="54"/>
  <c r="X271" i="54"/>
  <c r="W271" i="54"/>
  <c r="V271" i="54"/>
  <c r="U271" i="54"/>
  <c r="T271" i="54"/>
  <c r="S271" i="54"/>
  <c r="R271" i="54"/>
  <c r="Q271" i="54"/>
  <c r="P271" i="54"/>
  <c r="O271" i="54"/>
  <c r="N271" i="54"/>
  <c r="M271" i="54"/>
  <c r="L271" i="54"/>
  <c r="K271" i="54"/>
  <c r="J271" i="54"/>
  <c r="I271" i="54"/>
  <c r="H271" i="54"/>
  <c r="G271" i="54"/>
  <c r="F271" i="54"/>
  <c r="E271" i="54"/>
  <c r="D271" i="54"/>
  <c r="C271" i="54"/>
  <c r="B271" i="54"/>
  <c r="A271" i="54"/>
  <c r="AE270" i="54"/>
  <c r="AD270" i="54"/>
  <c r="AC270" i="54"/>
  <c r="AB270" i="54"/>
  <c r="AA270" i="54"/>
  <c r="Z270" i="54"/>
  <c r="Y270" i="54"/>
  <c r="X270" i="54"/>
  <c r="W270" i="54"/>
  <c r="V270" i="54"/>
  <c r="U270" i="54"/>
  <c r="T270" i="54"/>
  <c r="S270" i="54"/>
  <c r="R270" i="54"/>
  <c r="Q270" i="54"/>
  <c r="P270" i="54"/>
  <c r="B270" i="54"/>
  <c r="S245" i="54"/>
  <c r="AG235" i="54"/>
  <c r="AF235" i="54"/>
  <c r="AE235" i="54"/>
  <c r="AD235" i="54"/>
  <c r="AC235" i="54"/>
  <c r="AB235" i="54"/>
  <c r="AA235" i="54"/>
  <c r="Z235" i="54"/>
  <c r="Y235" i="54"/>
  <c r="X235" i="54"/>
  <c r="W235" i="54"/>
  <c r="V235" i="54"/>
  <c r="U235" i="54"/>
  <c r="T235" i="54"/>
  <c r="S235" i="54"/>
  <c r="R235" i="54"/>
  <c r="Q235" i="54"/>
  <c r="C235" i="54"/>
  <c r="D234" i="54"/>
  <c r="C270" i="54" s="1"/>
  <c r="B234" i="54"/>
  <c r="AF270" i="54" s="1"/>
  <c r="D233" i="54"/>
  <c r="E233" i="54" s="1"/>
  <c r="F233" i="54" s="1"/>
  <c r="G233" i="54" s="1"/>
  <c r="H233" i="54" s="1"/>
  <c r="I233" i="54" s="1"/>
  <c r="J233" i="54" s="1"/>
  <c r="K233" i="54" s="1"/>
  <c r="L233" i="54" s="1"/>
  <c r="M233" i="54" s="1"/>
  <c r="N233" i="54" s="1"/>
  <c r="O233" i="54" s="1"/>
  <c r="P233" i="54" s="1"/>
  <c r="B233" i="54"/>
  <c r="D232" i="54"/>
  <c r="E232" i="54" s="1"/>
  <c r="F232" i="54" s="1"/>
  <c r="G232" i="54" s="1"/>
  <c r="H232" i="54" s="1"/>
  <c r="I232" i="54" s="1"/>
  <c r="B232" i="54"/>
  <c r="E231" i="54"/>
  <c r="F231" i="54" s="1"/>
  <c r="G231" i="54" s="1"/>
  <c r="H231" i="54" s="1"/>
  <c r="D231" i="54"/>
  <c r="B231" i="54"/>
  <c r="E230" i="54"/>
  <c r="F230" i="54" s="1"/>
  <c r="G230" i="54" s="1"/>
  <c r="H230" i="54" s="1"/>
  <c r="I230" i="54" s="1"/>
  <c r="J230" i="54" s="1"/>
  <c r="K230" i="54" s="1"/>
  <c r="L230" i="54" s="1"/>
  <c r="M230" i="54" s="1"/>
  <c r="N230" i="54" s="1"/>
  <c r="O230" i="54" s="1"/>
  <c r="P230" i="54" s="1"/>
  <c r="D230" i="54"/>
  <c r="B230" i="54"/>
  <c r="D229" i="54"/>
  <c r="D235" i="54" s="1"/>
  <c r="B229" i="54"/>
  <c r="AG227" i="54"/>
  <c r="AF227" i="54"/>
  <c r="AE227" i="54"/>
  <c r="AD227" i="54"/>
  <c r="AC227" i="54"/>
  <c r="AB227" i="54"/>
  <c r="AA227" i="54"/>
  <c r="Z227" i="54"/>
  <c r="Y227" i="54"/>
  <c r="X227" i="54"/>
  <c r="W227" i="54"/>
  <c r="V227" i="54"/>
  <c r="U227" i="54"/>
  <c r="T227" i="54"/>
  <c r="S227" i="54"/>
  <c r="R227" i="54"/>
  <c r="Q227" i="54"/>
  <c r="P227" i="54"/>
  <c r="O227" i="54"/>
  <c r="N227" i="54"/>
  <c r="M227" i="54"/>
  <c r="L227" i="54"/>
  <c r="K227" i="54"/>
  <c r="J227" i="54"/>
  <c r="I227" i="54"/>
  <c r="H227" i="54"/>
  <c r="G227" i="54"/>
  <c r="F227" i="54"/>
  <c r="E227" i="54"/>
  <c r="D227" i="54"/>
  <c r="C227" i="54"/>
  <c r="B227" i="54"/>
  <c r="AI120" i="54"/>
  <c r="AH120" i="54"/>
  <c r="AI119" i="54"/>
  <c r="AH119" i="54"/>
  <c r="AI118" i="54"/>
  <c r="AH118" i="54"/>
  <c r="AI117" i="54"/>
  <c r="AH117" i="54"/>
  <c r="AI116" i="54"/>
  <c r="AH116" i="54"/>
  <c r="AI115" i="54"/>
  <c r="AH115" i="54"/>
  <c r="AI114" i="54"/>
  <c r="AH114" i="54"/>
  <c r="AI112" i="54"/>
  <c r="AH112" i="54"/>
  <c r="AI111" i="54"/>
  <c r="AH111" i="54"/>
  <c r="AF110" i="54"/>
  <c r="AE110" i="54"/>
  <c r="AC110" i="54"/>
  <c r="AB110" i="54"/>
  <c r="Z110" i="54"/>
  <c r="Y110" i="54"/>
  <c r="X110" i="54"/>
  <c r="W110" i="54"/>
  <c r="V110" i="54"/>
  <c r="U110" i="54"/>
  <c r="T110" i="54"/>
  <c r="S110" i="54"/>
  <c r="R110" i="54"/>
  <c r="Q110" i="54"/>
  <c r="D110" i="54"/>
  <c r="C110" i="54"/>
  <c r="AI109" i="54"/>
  <c r="AH109" i="54"/>
  <c r="AI108" i="54"/>
  <c r="AH108" i="54"/>
  <c r="AI107" i="54"/>
  <c r="AH107" i="54"/>
  <c r="AI106" i="54"/>
  <c r="AH106" i="54"/>
  <c r="AI105" i="54"/>
  <c r="AH105" i="54"/>
  <c r="AI104" i="54"/>
  <c r="AH104" i="54"/>
  <c r="AI103" i="54"/>
  <c r="AH103" i="54"/>
  <c r="AI102" i="54"/>
  <c r="AH102" i="54"/>
  <c r="AI101" i="54"/>
  <c r="AH101" i="54"/>
  <c r="AI99" i="54"/>
  <c r="AH99" i="54"/>
  <c r="AI98" i="54"/>
  <c r="AH98" i="54"/>
  <c r="AI97" i="54"/>
  <c r="AH97" i="54"/>
  <c r="AI96" i="54"/>
  <c r="AH96" i="54"/>
  <c r="AI95" i="54"/>
  <c r="AH95" i="54"/>
  <c r="AI94" i="54"/>
  <c r="AH94" i="54"/>
  <c r="AI93" i="54"/>
  <c r="AH93" i="54"/>
  <c r="AI90" i="54"/>
  <c r="AH90" i="54"/>
  <c r="AI88" i="54"/>
  <c r="AH88" i="54"/>
  <c r="AG88" i="54"/>
  <c r="AI87" i="54"/>
  <c r="AH87" i="54"/>
  <c r="AI86" i="54"/>
  <c r="AH86" i="54"/>
  <c r="AI85" i="54"/>
  <c r="AH85" i="54"/>
  <c r="AN84" i="54"/>
  <c r="AG84" i="54"/>
  <c r="AF84" i="54"/>
  <c r="AF100" i="54" s="1"/>
  <c r="AE84" i="54"/>
  <c r="AE100" i="54" s="1"/>
  <c r="AD84" i="54"/>
  <c r="AD100" i="54" s="1"/>
  <c r="AC84" i="54"/>
  <c r="AC100" i="54" s="1"/>
  <c r="AB84" i="54"/>
  <c r="AB100" i="54" s="1"/>
  <c r="Z84" i="54"/>
  <c r="Z100" i="54" s="1"/>
  <c r="Y84" i="54"/>
  <c r="Y100" i="54" s="1"/>
  <c r="X84" i="54"/>
  <c r="X100" i="54" s="1"/>
  <c r="W84" i="54"/>
  <c r="W100" i="54" s="1"/>
  <c r="V84" i="54"/>
  <c r="V100" i="54" s="1"/>
  <c r="U84" i="54"/>
  <c r="U100" i="54" s="1"/>
  <c r="T84" i="54"/>
  <c r="T100" i="54" s="1"/>
  <c r="S84" i="54"/>
  <c r="S100" i="54" s="1"/>
  <c r="R84" i="54"/>
  <c r="R100" i="54" s="1"/>
  <c r="Q84" i="54"/>
  <c r="Q100" i="54" s="1"/>
  <c r="P84" i="54"/>
  <c r="P100" i="54" s="1"/>
  <c r="O84" i="54"/>
  <c r="O100" i="54" s="1"/>
  <c r="N84" i="54"/>
  <c r="N100" i="54" s="1"/>
  <c r="M84" i="54"/>
  <c r="M100" i="54" s="1"/>
  <c r="L84" i="54"/>
  <c r="L100" i="54" s="1"/>
  <c r="K84" i="54"/>
  <c r="K100" i="54" s="1"/>
  <c r="J84" i="54"/>
  <c r="J100" i="54" s="1"/>
  <c r="I84" i="54"/>
  <c r="I100" i="54" s="1"/>
  <c r="H84" i="54"/>
  <c r="H100" i="54" s="1"/>
  <c r="G84" i="54"/>
  <c r="G100" i="54" s="1"/>
  <c r="F84" i="54"/>
  <c r="F100" i="54" s="1"/>
  <c r="E84" i="54"/>
  <c r="E100" i="54" s="1"/>
  <c r="D84" i="54"/>
  <c r="D100" i="54" s="1"/>
  <c r="C84" i="54"/>
  <c r="C100" i="54" s="1"/>
  <c r="B84" i="54"/>
  <c r="B100" i="54" s="1"/>
  <c r="AI83" i="54"/>
  <c r="AH83" i="54"/>
  <c r="AN82" i="54"/>
  <c r="AI82" i="54"/>
  <c r="AH82" i="54"/>
  <c r="AN81" i="54"/>
  <c r="AI81" i="54"/>
  <c r="AH81" i="54"/>
  <c r="AI80" i="54"/>
  <c r="AH80" i="54"/>
  <c r="AI79" i="54"/>
  <c r="AH79" i="54"/>
  <c r="AI78" i="54"/>
  <c r="AH78" i="54"/>
  <c r="AI77" i="54"/>
  <c r="AH77" i="54"/>
  <c r="AI76" i="54"/>
  <c r="AH76" i="54"/>
  <c r="AI75" i="54"/>
  <c r="AH75" i="54"/>
  <c r="AI74" i="54"/>
  <c r="AH74" i="54"/>
  <c r="AI73" i="54"/>
  <c r="AH73" i="54"/>
  <c r="AG72" i="54"/>
  <c r="AF72" i="54"/>
  <c r="AE72" i="54"/>
  <c r="AD72" i="54"/>
  <c r="AC72" i="54"/>
  <c r="AB72" i="54"/>
  <c r="Z72" i="54"/>
  <c r="Y72" i="54"/>
  <c r="X72" i="54"/>
  <c r="W72" i="54"/>
  <c r="V72" i="54"/>
  <c r="U72" i="54"/>
  <c r="T72" i="54"/>
  <c r="S72" i="54"/>
  <c r="R72" i="54"/>
  <c r="Q72" i="54"/>
  <c r="P72" i="54"/>
  <c r="O72" i="54"/>
  <c r="N72" i="54"/>
  <c r="M72" i="54"/>
  <c r="L72" i="54"/>
  <c r="B72" i="54"/>
  <c r="AI71" i="54"/>
  <c r="AH71" i="54"/>
  <c r="AI70" i="54"/>
  <c r="AH70" i="54"/>
  <c r="AI69" i="54"/>
  <c r="AH69" i="54"/>
  <c r="AF68" i="54"/>
  <c r="AE68" i="54"/>
  <c r="AD68" i="54"/>
  <c r="AC68" i="54"/>
  <c r="AB68" i="54"/>
  <c r="Z68" i="54"/>
  <c r="Y68" i="54"/>
  <c r="X68" i="54"/>
  <c r="W68" i="54"/>
  <c r="V68" i="54"/>
  <c r="U68" i="54"/>
  <c r="T68" i="54"/>
  <c r="S68" i="54"/>
  <c r="R68" i="54"/>
  <c r="Q68" i="54"/>
  <c r="P68" i="54"/>
  <c r="O68" i="54"/>
  <c r="N68" i="54"/>
  <c r="M68" i="54"/>
  <c r="L68" i="54"/>
  <c r="K68" i="54"/>
  <c r="J68" i="54"/>
  <c r="I68" i="54"/>
  <c r="H68" i="54"/>
  <c r="G68" i="54"/>
  <c r="F68" i="54"/>
  <c r="E68" i="54"/>
  <c r="D68" i="54"/>
  <c r="C68" i="54"/>
  <c r="B68" i="54"/>
  <c r="AI67" i="54"/>
  <c r="AH67" i="54"/>
  <c r="AG67" i="54"/>
  <c r="AG68" i="54" s="1"/>
  <c r="AG3" i="54" s="1"/>
  <c r="AI66" i="54"/>
  <c r="AH66" i="54"/>
  <c r="AI65" i="54"/>
  <c r="AH65" i="54"/>
  <c r="AI64" i="54"/>
  <c r="AH64" i="54"/>
  <c r="AI63" i="54"/>
  <c r="AH63" i="54"/>
  <c r="AI62" i="54"/>
  <c r="AH62" i="54"/>
  <c r="AI61" i="54"/>
  <c r="AH61" i="54"/>
  <c r="AI60" i="54"/>
  <c r="AH60" i="54"/>
  <c r="AI59" i="54"/>
  <c r="AH59" i="54"/>
  <c r="AI58" i="54"/>
  <c r="AH58" i="54"/>
  <c r="AI57" i="54"/>
  <c r="AH57" i="54"/>
  <c r="AI56" i="54"/>
  <c r="AH56" i="54"/>
  <c r="AI55" i="54"/>
  <c r="AH55" i="54"/>
  <c r="AG54" i="54"/>
  <c r="AF54" i="54"/>
  <c r="AE54" i="54"/>
  <c r="AD54" i="54"/>
  <c r="AC54" i="54"/>
  <c r="AB54" i="54"/>
  <c r="Z54" i="54"/>
  <c r="Y54" i="54"/>
  <c r="X54" i="54"/>
  <c r="W54" i="54"/>
  <c r="V54" i="54"/>
  <c r="U54" i="54"/>
  <c r="T54" i="54"/>
  <c r="S54" i="54"/>
  <c r="R54" i="54"/>
  <c r="Q54" i="54"/>
  <c r="P54" i="54"/>
  <c r="O54" i="54"/>
  <c r="N54" i="54"/>
  <c r="M54" i="54"/>
  <c r="L54" i="54"/>
  <c r="K54" i="54"/>
  <c r="J54" i="54"/>
  <c r="I54" i="54"/>
  <c r="H54" i="54"/>
  <c r="G54" i="54"/>
  <c r="F54" i="54"/>
  <c r="E54" i="54"/>
  <c r="D54" i="54"/>
  <c r="C54" i="54"/>
  <c r="B54" i="54"/>
  <c r="AI53" i="54"/>
  <c r="AH53" i="54"/>
  <c r="AI52" i="54"/>
  <c r="AH52" i="54"/>
  <c r="AI51" i="54"/>
  <c r="AH51" i="54"/>
  <c r="AG50" i="54"/>
  <c r="AG89" i="54" s="1"/>
  <c r="AF50" i="54"/>
  <c r="AE50" i="54"/>
  <c r="AD50" i="54"/>
  <c r="AC50" i="54"/>
  <c r="AB50" i="54"/>
  <c r="Z50" i="54"/>
  <c r="Y50" i="54"/>
  <c r="X50" i="54"/>
  <c r="W50" i="54"/>
  <c r="V50" i="54"/>
  <c r="U50" i="54"/>
  <c r="T50" i="54"/>
  <c r="S50" i="54"/>
  <c r="Q50" i="54"/>
  <c r="P50" i="54"/>
  <c r="O50" i="54"/>
  <c r="N50" i="54"/>
  <c r="M50" i="54"/>
  <c r="L50" i="54"/>
  <c r="K50" i="54"/>
  <c r="J50" i="54"/>
  <c r="I50" i="54"/>
  <c r="H50" i="54"/>
  <c r="G50" i="54"/>
  <c r="F50" i="54"/>
  <c r="E50" i="54"/>
  <c r="D50" i="54"/>
  <c r="C50" i="54"/>
  <c r="B50" i="54"/>
  <c r="AI49" i="54"/>
  <c r="AH49" i="54"/>
  <c r="AI48" i="54"/>
  <c r="AH48" i="54"/>
  <c r="AI47" i="54"/>
  <c r="AH47" i="54"/>
  <c r="AI46" i="54"/>
  <c r="AH46" i="54"/>
  <c r="AI45" i="54"/>
  <c r="AH45" i="54"/>
  <c r="AI44" i="54"/>
  <c r="AH44" i="54"/>
  <c r="AI43" i="54"/>
  <c r="AH43" i="54"/>
  <c r="AI42" i="54"/>
  <c r="AH42" i="54"/>
  <c r="AI41" i="54"/>
  <c r="AH41" i="54"/>
  <c r="AI40" i="54"/>
  <c r="AH40" i="54"/>
  <c r="AI39" i="54"/>
  <c r="AH39" i="54"/>
  <c r="AI38" i="54"/>
  <c r="AH38" i="54"/>
  <c r="AI37" i="54"/>
  <c r="AH37" i="54"/>
  <c r="AI36" i="54"/>
  <c r="AH36" i="54"/>
  <c r="AI35" i="54"/>
  <c r="AH35" i="54"/>
  <c r="AI34" i="54"/>
  <c r="AH34" i="54"/>
  <c r="AI33" i="54"/>
  <c r="AH33" i="54"/>
  <c r="AI32" i="54"/>
  <c r="AH32" i="54"/>
  <c r="AI31" i="54"/>
  <c r="AH31" i="54"/>
  <c r="AI30" i="54"/>
  <c r="AH30" i="54"/>
  <c r="AI29" i="54"/>
  <c r="AH29" i="54"/>
  <c r="AI28" i="54"/>
  <c r="AH28" i="54"/>
  <c r="AI27" i="54"/>
  <c r="AH27" i="54"/>
  <c r="AI26" i="54"/>
  <c r="AH26" i="54"/>
  <c r="AI25" i="54"/>
  <c r="AH25" i="54"/>
  <c r="AI24" i="54"/>
  <c r="AH24" i="54"/>
  <c r="AI23" i="54"/>
  <c r="AH23" i="54"/>
  <c r="AI22" i="54"/>
  <c r="AH22" i="54"/>
  <c r="AI21" i="54"/>
  <c r="AH21" i="54"/>
  <c r="AI20" i="54"/>
  <c r="AH20" i="54"/>
  <c r="AI19" i="54"/>
  <c r="AH19" i="54"/>
  <c r="AI18" i="54"/>
  <c r="AH18" i="54"/>
  <c r="AI17" i="54"/>
  <c r="AH17" i="54"/>
  <c r="AI16" i="54"/>
  <c r="AH16" i="54"/>
  <c r="AI15" i="54"/>
  <c r="AH15" i="54"/>
  <c r="AI14" i="54"/>
  <c r="AH14" i="54"/>
  <c r="AI13" i="54"/>
  <c r="AH13" i="54"/>
  <c r="AI12" i="54"/>
  <c r="AH12" i="54"/>
  <c r="AI11" i="54"/>
  <c r="AH11" i="54"/>
  <c r="Z5" i="54"/>
  <c r="L5" i="54"/>
  <c r="AG4" i="54"/>
  <c r="K4" i="54"/>
  <c r="E4" i="54"/>
  <c r="H4" i="54" s="1"/>
  <c r="B4" i="54"/>
  <c r="S246" i="54" s="1"/>
  <c r="AH113" i="54" l="1"/>
  <c r="B235" i="54"/>
  <c r="E234" i="54"/>
  <c r="D270" i="54" s="1"/>
  <c r="AN83" i="54"/>
  <c r="AG2" i="54"/>
  <c r="AG6" i="54" s="1"/>
  <c r="B110" i="54"/>
  <c r="E229" i="54"/>
  <c r="AE5" i="54"/>
  <c r="AF89" i="54"/>
  <c r="AF91" i="54" s="1"/>
  <c r="AF92" i="54" s="1"/>
  <c r="AD5" i="54"/>
  <c r="AE89" i="54"/>
  <c r="AE91" i="54" s="1"/>
  <c r="AW249" i="54" s="1"/>
  <c r="AC5" i="54"/>
  <c r="AD89" i="54"/>
  <c r="AD91" i="54" s="1"/>
  <c r="AV249" i="54" s="1"/>
  <c r="AB5" i="54"/>
  <c r="AC89" i="54"/>
  <c r="AC91" i="54" s="1"/>
  <c r="AC7" i="54" s="1"/>
  <c r="AA5" i="54"/>
  <c r="AB89" i="54"/>
  <c r="AB91" i="54" s="1"/>
  <c r="AT249" i="54" s="1"/>
  <c r="Y5" i="54"/>
  <c r="Z89" i="54"/>
  <c r="Z91" i="54" s="1"/>
  <c r="Z7" i="54" s="1"/>
  <c r="X5" i="54"/>
  <c r="Y89" i="54"/>
  <c r="Y91" i="54" s="1"/>
  <c r="Y92" i="54" s="1"/>
  <c r="W5" i="54"/>
  <c r="V5" i="54"/>
  <c r="W89" i="54"/>
  <c r="W91" i="54" s="1"/>
  <c r="W92" i="54" s="1"/>
  <c r="X89" i="54"/>
  <c r="X91" i="54" s="1"/>
  <c r="X7" i="54" s="1"/>
  <c r="V89" i="54"/>
  <c r="V91" i="54" s="1"/>
  <c r="V92" i="54" s="1"/>
  <c r="U5" i="54"/>
  <c r="T5" i="54"/>
  <c r="U89" i="54"/>
  <c r="U91" i="54" s="1"/>
  <c r="AM249" i="54" s="1"/>
  <c r="S5" i="54"/>
  <c r="T89" i="54"/>
  <c r="T91" i="54" s="1"/>
  <c r="T92" i="54" s="1"/>
  <c r="R5" i="54"/>
  <c r="S89" i="54"/>
  <c r="S91" i="54" s="1"/>
  <c r="S7" i="54" s="1"/>
  <c r="Q5" i="54"/>
  <c r="R89" i="54"/>
  <c r="R91" i="54" s="1"/>
  <c r="AJ249" i="54" s="1"/>
  <c r="P5" i="54"/>
  <c r="Q89" i="54"/>
  <c r="Q91" i="54" s="1"/>
  <c r="Q7" i="54" s="1"/>
  <c r="O5" i="54"/>
  <c r="P89" i="54"/>
  <c r="P91" i="54" s="1"/>
  <c r="P7" i="54" s="1"/>
  <c r="N5" i="54"/>
  <c r="AH72" i="54"/>
  <c r="O89" i="54"/>
  <c r="O91" i="54" s="1"/>
  <c r="AG249" i="54" s="1"/>
  <c r="N89" i="54"/>
  <c r="N91" i="54" s="1"/>
  <c r="M5" i="54"/>
  <c r="M89" i="54"/>
  <c r="M91" i="54" s="1"/>
  <c r="M92" i="54" s="1"/>
  <c r="K5" i="54"/>
  <c r="L89" i="54"/>
  <c r="L91" i="54" s="1"/>
  <c r="L92" i="54" s="1"/>
  <c r="J5" i="54"/>
  <c r="K89" i="54"/>
  <c r="K91" i="54" s="1"/>
  <c r="K7" i="54" s="1"/>
  <c r="I5" i="54"/>
  <c r="J89" i="54"/>
  <c r="J91" i="54" s="1"/>
  <c r="J7" i="54" s="1"/>
  <c r="H5" i="54"/>
  <c r="I89" i="54"/>
  <c r="I91" i="54" s="1"/>
  <c r="I92" i="54" s="1"/>
  <c r="G5" i="54"/>
  <c r="H89" i="54"/>
  <c r="H91" i="54" s="1"/>
  <c r="F5" i="54"/>
  <c r="G89" i="54"/>
  <c r="G91" i="54" s="1"/>
  <c r="Y249" i="54" s="1"/>
  <c r="E5" i="54"/>
  <c r="F89" i="54"/>
  <c r="F91" i="54" s="1"/>
  <c r="F92" i="54" s="1"/>
  <c r="D5" i="54"/>
  <c r="E89" i="54"/>
  <c r="E91" i="54" s="1"/>
  <c r="W249" i="54" s="1"/>
  <c r="C5" i="54"/>
  <c r="D89" i="54"/>
  <c r="D91" i="54" s="1"/>
  <c r="D92" i="54" s="1"/>
  <c r="B5" i="54"/>
  <c r="AI68" i="54"/>
  <c r="AI54" i="54"/>
  <c r="C89" i="54"/>
  <c r="C91" i="54" s="1"/>
  <c r="C7" i="54" s="1"/>
  <c r="AF5" i="54"/>
  <c r="B89" i="54"/>
  <c r="B91" i="54" s="1"/>
  <c r="AI249" i="54"/>
  <c r="AF7" i="54"/>
  <c r="R7" i="54"/>
  <c r="R92" i="54"/>
  <c r="AB92" i="54"/>
  <c r="K92" i="54"/>
  <c r="AC249" i="54"/>
  <c r="J232" i="54"/>
  <c r="K232" i="54" s="1"/>
  <c r="L232" i="54" s="1"/>
  <c r="M232" i="54" s="1"/>
  <c r="N232" i="54" s="1"/>
  <c r="O232" i="54" s="1"/>
  <c r="P232" i="54" s="1"/>
  <c r="Y7" i="54"/>
  <c r="AA7" i="54"/>
  <c r="AS249" i="54"/>
  <c r="AF249" i="54"/>
  <c r="N7" i="54"/>
  <c r="N92" i="54"/>
  <c r="AG91" i="54"/>
  <c r="AI100" i="54"/>
  <c r="AH100" i="54"/>
  <c r="AH68" i="54"/>
  <c r="AI72" i="54"/>
  <c r="D246" i="54"/>
  <c r="AH84" i="54"/>
  <c r="F234" i="54"/>
  <c r="AH50" i="54"/>
  <c r="AH54" i="54"/>
  <c r="AI84" i="54"/>
  <c r="AI50" i="54"/>
  <c r="AC92" i="54" l="1"/>
  <c r="U7" i="54"/>
  <c r="E235" i="54"/>
  <c r="F229" i="54"/>
  <c r="AU249" i="54"/>
  <c r="L7" i="54"/>
  <c r="U92" i="54"/>
  <c r="AD249" i="54"/>
  <c r="M7" i="54"/>
  <c r="AE249" i="54"/>
  <c r="E110" i="54"/>
  <c r="AX249" i="54"/>
  <c r="AE92" i="54"/>
  <c r="AE7" i="54"/>
  <c r="AD92" i="54"/>
  <c r="AD7" i="54"/>
  <c r="AB7" i="54"/>
  <c r="AR249" i="54"/>
  <c r="Z92" i="54"/>
  <c r="AQ249" i="54"/>
  <c r="S92" i="54"/>
  <c r="AK249" i="54"/>
  <c r="V7" i="54"/>
  <c r="AN249" i="54"/>
  <c r="W7" i="54"/>
  <c r="AO249" i="54"/>
  <c r="X92" i="54"/>
  <c r="AP249" i="54"/>
  <c r="T7" i="54"/>
  <c r="AL249" i="54"/>
  <c r="Q92" i="54"/>
  <c r="P92" i="54"/>
  <c r="AH249" i="54"/>
  <c r="O92" i="54"/>
  <c r="O7" i="54"/>
  <c r="AB249" i="54"/>
  <c r="J92" i="54"/>
  <c r="I7" i="54"/>
  <c r="AA249" i="54"/>
  <c r="X249" i="54"/>
  <c r="G7" i="54"/>
  <c r="V249" i="54"/>
  <c r="E92" i="54"/>
  <c r="G92" i="54"/>
  <c r="D7" i="54"/>
  <c r="E7" i="54"/>
  <c r="B244" i="54"/>
  <c r="Z249" i="54"/>
  <c r="C244" i="54"/>
  <c r="H92" i="54"/>
  <c r="H7" i="54"/>
  <c r="F7" i="54"/>
  <c r="U249" i="54"/>
  <c r="AH89" i="54"/>
  <c r="AI89" i="54"/>
  <c r="C92" i="54"/>
  <c r="E270" i="54"/>
  <c r="G234" i="54"/>
  <c r="F110" i="54"/>
  <c r="B7" i="54"/>
  <c r="B92" i="54"/>
  <c r="AI91" i="54"/>
  <c r="T249" i="54"/>
  <c r="AH91" i="54"/>
  <c r="G229" i="54" l="1"/>
  <c r="H229" i="54" s="1"/>
  <c r="I229" i="54" s="1"/>
  <c r="F235" i="54"/>
  <c r="K6" i="54"/>
  <c r="A7" i="54"/>
  <c r="AI92" i="54"/>
  <c r="AH92" i="54"/>
  <c r="F270" i="54"/>
  <c r="H234" i="54"/>
  <c r="G110" i="54"/>
  <c r="G235" i="54"/>
  <c r="J229" i="54"/>
  <c r="G270" i="54" l="1"/>
  <c r="I234" i="54"/>
  <c r="H235" i="54"/>
  <c r="H110" i="54"/>
  <c r="K229" i="54"/>
  <c r="H270" i="54" l="1"/>
  <c r="J234" i="54"/>
  <c r="I110" i="54"/>
  <c r="L229" i="54"/>
  <c r="K234" i="54" l="1"/>
  <c r="I270" i="54"/>
  <c r="J110" i="54"/>
  <c r="M229" i="54"/>
  <c r="N229" i="54" l="1"/>
  <c r="J270" i="54"/>
  <c r="L234" i="54"/>
  <c r="K110" i="54"/>
  <c r="K270" i="54" l="1"/>
  <c r="M234" i="54"/>
  <c r="L110" i="54"/>
  <c r="O229" i="54"/>
  <c r="P229" i="54" l="1"/>
  <c r="L270" i="54"/>
  <c r="N234" i="54"/>
  <c r="M110" i="54"/>
  <c r="M270" i="54" l="1"/>
  <c r="O234" i="54"/>
  <c r="N110" i="54"/>
  <c r="N270" i="54" l="1"/>
  <c r="P234" i="54"/>
  <c r="O270" i="54" s="1"/>
  <c r="O110" i="54"/>
  <c r="AH110" i="54" l="1"/>
  <c r="AI110" i="54"/>
  <c r="Z110" i="53" l="1"/>
  <c r="T50" i="53"/>
  <c r="D113" i="53" l="1"/>
  <c r="E72" i="53"/>
  <c r="F72" i="53"/>
  <c r="G72" i="53"/>
  <c r="H72" i="53"/>
  <c r="I72" i="53"/>
  <c r="J72" i="53"/>
  <c r="K72" i="53"/>
  <c r="L72" i="53"/>
  <c r="D72" i="53"/>
  <c r="C113" i="53" l="1"/>
  <c r="C72" i="53"/>
  <c r="C50" i="53"/>
  <c r="B113" i="53"/>
  <c r="B50" i="53"/>
  <c r="B54" i="53"/>
  <c r="B68" i="53"/>
  <c r="B72" i="53"/>
  <c r="B84" i="53"/>
  <c r="B100" i="53" s="1"/>
  <c r="AI111" i="53"/>
  <c r="AF274" i="53"/>
  <c r="AE274" i="53"/>
  <c r="AD274" i="53"/>
  <c r="AC274" i="53"/>
  <c r="AB274" i="53"/>
  <c r="AA274" i="53"/>
  <c r="Z274" i="53"/>
  <c r="Y274" i="53"/>
  <c r="X274" i="53"/>
  <c r="W274" i="53"/>
  <c r="V274" i="53"/>
  <c r="U274" i="53"/>
  <c r="T274" i="53"/>
  <c r="S274" i="53"/>
  <c r="R274" i="53"/>
  <c r="Q274" i="53"/>
  <c r="P274" i="53"/>
  <c r="O274" i="53"/>
  <c r="N274" i="53"/>
  <c r="M274" i="53"/>
  <c r="L274" i="53"/>
  <c r="K274" i="53"/>
  <c r="J274" i="53"/>
  <c r="I274" i="53"/>
  <c r="H274" i="53"/>
  <c r="G274" i="53"/>
  <c r="F274" i="53"/>
  <c r="E274" i="53"/>
  <c r="D274" i="53"/>
  <c r="C274" i="53"/>
  <c r="B274" i="53"/>
  <c r="A274" i="53"/>
  <c r="AF273" i="53"/>
  <c r="AE273" i="53"/>
  <c r="AD273" i="53"/>
  <c r="AC273" i="53"/>
  <c r="AB273" i="53"/>
  <c r="AA273" i="53"/>
  <c r="Z273" i="53"/>
  <c r="Y273" i="53"/>
  <c r="X273" i="53"/>
  <c r="W273" i="53"/>
  <c r="V273" i="53"/>
  <c r="U273" i="53"/>
  <c r="T273" i="53"/>
  <c r="S273" i="53"/>
  <c r="R273" i="53"/>
  <c r="Q273" i="53"/>
  <c r="P273" i="53"/>
  <c r="O273" i="53"/>
  <c r="N273" i="53"/>
  <c r="M273" i="53"/>
  <c r="L273" i="53"/>
  <c r="K273" i="53"/>
  <c r="J273" i="53"/>
  <c r="I273" i="53"/>
  <c r="H273" i="53"/>
  <c r="G273" i="53"/>
  <c r="F273" i="53"/>
  <c r="E273" i="53"/>
  <c r="D273" i="53"/>
  <c r="C273" i="53"/>
  <c r="B273" i="53"/>
  <c r="A273" i="53"/>
  <c r="AF272" i="53"/>
  <c r="AE272" i="53"/>
  <c r="AD272" i="53"/>
  <c r="AC272" i="53"/>
  <c r="AB272" i="53"/>
  <c r="AA272" i="53"/>
  <c r="Z272" i="53"/>
  <c r="Y272" i="53"/>
  <c r="X272" i="53"/>
  <c r="W272" i="53"/>
  <c r="V272" i="53"/>
  <c r="U272" i="53"/>
  <c r="T272" i="53"/>
  <c r="S272" i="53"/>
  <c r="R272" i="53"/>
  <c r="Q272" i="53"/>
  <c r="P272" i="53"/>
  <c r="O272" i="53"/>
  <c r="N272" i="53"/>
  <c r="M272" i="53"/>
  <c r="L272" i="53"/>
  <c r="K272" i="53"/>
  <c r="J272" i="53"/>
  <c r="I272" i="53"/>
  <c r="H272" i="53"/>
  <c r="G272" i="53"/>
  <c r="F272" i="53"/>
  <c r="E272" i="53"/>
  <c r="D272" i="53"/>
  <c r="C272" i="53"/>
  <c r="B272" i="53"/>
  <c r="A272" i="53"/>
  <c r="AF271" i="53"/>
  <c r="AE271" i="53"/>
  <c r="AD271" i="53"/>
  <c r="AC271" i="53"/>
  <c r="AB271" i="53"/>
  <c r="AA271" i="53"/>
  <c r="Z271" i="53"/>
  <c r="Y271" i="53"/>
  <c r="X271" i="53"/>
  <c r="W271" i="53"/>
  <c r="V271" i="53"/>
  <c r="U271" i="53"/>
  <c r="T271" i="53"/>
  <c r="S271" i="53"/>
  <c r="R271" i="53"/>
  <c r="Q271" i="53"/>
  <c r="P271" i="53"/>
  <c r="O271" i="53"/>
  <c r="N271" i="53"/>
  <c r="M271" i="53"/>
  <c r="L271" i="53"/>
  <c r="K271" i="53"/>
  <c r="J271" i="53"/>
  <c r="I271" i="53"/>
  <c r="H271" i="53"/>
  <c r="G271" i="53"/>
  <c r="F271" i="53"/>
  <c r="E271" i="53"/>
  <c r="D271" i="53"/>
  <c r="C271" i="53"/>
  <c r="B271" i="53"/>
  <c r="A271" i="53"/>
  <c r="AE270" i="53"/>
  <c r="AD270" i="53"/>
  <c r="AC270" i="53"/>
  <c r="AB270" i="53"/>
  <c r="AA270" i="53"/>
  <c r="Z270" i="53"/>
  <c r="Y270" i="53"/>
  <c r="X270" i="53"/>
  <c r="W270" i="53"/>
  <c r="V270" i="53"/>
  <c r="U270" i="53"/>
  <c r="T270" i="53"/>
  <c r="S270" i="53"/>
  <c r="R270" i="53"/>
  <c r="Q270" i="53"/>
  <c r="P270" i="53"/>
  <c r="B270" i="53"/>
  <c r="S245" i="53"/>
  <c r="AG235" i="53"/>
  <c r="AG67" i="53" s="1"/>
  <c r="AG68" i="53" s="1"/>
  <c r="AG3" i="53" s="1"/>
  <c r="AF235" i="53"/>
  <c r="AE235" i="53"/>
  <c r="AD235" i="53"/>
  <c r="AC235" i="53"/>
  <c r="AB235" i="53"/>
  <c r="AA235" i="53"/>
  <c r="Z235" i="53"/>
  <c r="Y235" i="53"/>
  <c r="X235" i="53"/>
  <c r="W235" i="53"/>
  <c r="V235" i="53"/>
  <c r="U235" i="53"/>
  <c r="T235" i="53"/>
  <c r="S235" i="53"/>
  <c r="R235" i="53"/>
  <c r="Q235" i="53"/>
  <c r="C235" i="53"/>
  <c r="D234" i="53"/>
  <c r="C270" i="53" s="1"/>
  <c r="B234" i="53"/>
  <c r="AF270" i="53" s="1"/>
  <c r="D233" i="53"/>
  <c r="E233" i="53" s="1"/>
  <c r="F233" i="53" s="1"/>
  <c r="G233" i="53" s="1"/>
  <c r="H233" i="53" s="1"/>
  <c r="I233" i="53" s="1"/>
  <c r="J233" i="53" s="1"/>
  <c r="K233" i="53" s="1"/>
  <c r="L233" i="53" s="1"/>
  <c r="M233" i="53" s="1"/>
  <c r="N233" i="53" s="1"/>
  <c r="O233" i="53" s="1"/>
  <c r="P233" i="53" s="1"/>
  <c r="B233" i="53"/>
  <c r="D232" i="53"/>
  <c r="E232" i="53" s="1"/>
  <c r="F232" i="53" s="1"/>
  <c r="G232" i="53" s="1"/>
  <c r="H232" i="53" s="1"/>
  <c r="I232" i="53" s="1"/>
  <c r="B232" i="53"/>
  <c r="D231" i="53"/>
  <c r="E231" i="53" s="1"/>
  <c r="F231" i="53" s="1"/>
  <c r="G231" i="53" s="1"/>
  <c r="H231" i="53" s="1"/>
  <c r="B231" i="53"/>
  <c r="D230" i="53"/>
  <c r="E230" i="53" s="1"/>
  <c r="F230" i="53" s="1"/>
  <c r="G230" i="53" s="1"/>
  <c r="H230" i="53" s="1"/>
  <c r="I230" i="53" s="1"/>
  <c r="J230" i="53" s="1"/>
  <c r="K230" i="53" s="1"/>
  <c r="L230" i="53" s="1"/>
  <c r="M230" i="53" s="1"/>
  <c r="N230" i="53" s="1"/>
  <c r="O230" i="53" s="1"/>
  <c r="P230" i="53" s="1"/>
  <c r="B230" i="53"/>
  <c r="E229" i="53"/>
  <c r="F229" i="53" s="1"/>
  <c r="D229" i="53"/>
  <c r="D110" i="53" s="1"/>
  <c r="B229" i="53"/>
  <c r="B110" i="53" s="1"/>
  <c r="AG227" i="53"/>
  <c r="AF227" i="53"/>
  <c r="AE227" i="53"/>
  <c r="AD227" i="53"/>
  <c r="AC227" i="53"/>
  <c r="AB227" i="53"/>
  <c r="AA227" i="53"/>
  <c r="Z227" i="53"/>
  <c r="Y227" i="53"/>
  <c r="X227" i="53"/>
  <c r="W227" i="53"/>
  <c r="V227" i="53"/>
  <c r="U227" i="53"/>
  <c r="T227" i="53"/>
  <c r="S227" i="53"/>
  <c r="R227" i="53"/>
  <c r="Q227" i="53"/>
  <c r="P227" i="53"/>
  <c r="O227" i="53"/>
  <c r="N227" i="53"/>
  <c r="M227" i="53"/>
  <c r="L227" i="53"/>
  <c r="K227" i="53"/>
  <c r="J227" i="53"/>
  <c r="I227" i="53"/>
  <c r="H227" i="53"/>
  <c r="G227" i="53"/>
  <c r="F227" i="53"/>
  <c r="E227" i="53"/>
  <c r="D227" i="53"/>
  <c r="C227" i="53"/>
  <c r="B227" i="53"/>
  <c r="AI120" i="53"/>
  <c r="AH120" i="53"/>
  <c r="AI119" i="53"/>
  <c r="AH119" i="53"/>
  <c r="AI118" i="53"/>
  <c r="AH118" i="53"/>
  <c r="AI117" i="53"/>
  <c r="AH117" i="53"/>
  <c r="AI116" i="53"/>
  <c r="AH116" i="53"/>
  <c r="AI115" i="53"/>
  <c r="AH115" i="53"/>
  <c r="AI114" i="53"/>
  <c r="AH114" i="53"/>
  <c r="AI113" i="53"/>
  <c r="AH113" i="53"/>
  <c r="AI112" i="53"/>
  <c r="AH112" i="53"/>
  <c r="AH111" i="53"/>
  <c r="AF110" i="53"/>
  <c r="AE110" i="53"/>
  <c r="AC110" i="53"/>
  <c r="AB110" i="53"/>
  <c r="AA110" i="53"/>
  <c r="Y110" i="53"/>
  <c r="X110" i="53"/>
  <c r="W110" i="53"/>
  <c r="V110" i="53"/>
  <c r="U110" i="53"/>
  <c r="T110" i="53"/>
  <c r="S110" i="53"/>
  <c r="R110" i="53"/>
  <c r="C110" i="53"/>
  <c r="AI109" i="53"/>
  <c r="AH109" i="53"/>
  <c r="AI108" i="53"/>
  <c r="AH108" i="53"/>
  <c r="AI107" i="53"/>
  <c r="AH107" i="53"/>
  <c r="AI106" i="53"/>
  <c r="AH106" i="53"/>
  <c r="AI105" i="53"/>
  <c r="AH105" i="53"/>
  <c r="AI104" i="53"/>
  <c r="AH104" i="53"/>
  <c r="AI103" i="53"/>
  <c r="AH103" i="53"/>
  <c r="AI102" i="53"/>
  <c r="AH102" i="53"/>
  <c r="AI99" i="53"/>
  <c r="AH99" i="53"/>
  <c r="AI98" i="53"/>
  <c r="AH98" i="53"/>
  <c r="AI97" i="53"/>
  <c r="AH97" i="53"/>
  <c r="AI96" i="53"/>
  <c r="AH96" i="53"/>
  <c r="AI95" i="53"/>
  <c r="AH95" i="53"/>
  <c r="AI94" i="53"/>
  <c r="AH94" i="53"/>
  <c r="AI88" i="53"/>
  <c r="AH88" i="53"/>
  <c r="AG88" i="53"/>
  <c r="AI87" i="53"/>
  <c r="AH87" i="53"/>
  <c r="AI86" i="53"/>
  <c r="AH86" i="53"/>
  <c r="AN84" i="53"/>
  <c r="AG84" i="53"/>
  <c r="AF84" i="53"/>
  <c r="AF100" i="53" s="1"/>
  <c r="AE84" i="53"/>
  <c r="AE100" i="53" s="1"/>
  <c r="AD84" i="53"/>
  <c r="AC5" i="53" s="1"/>
  <c r="AC84" i="53"/>
  <c r="AC100" i="53" s="1"/>
  <c r="AB84" i="53"/>
  <c r="AB100" i="53" s="1"/>
  <c r="AA84" i="53"/>
  <c r="AA100" i="53" s="1"/>
  <c r="Z84" i="53"/>
  <c r="Z100" i="53" s="1"/>
  <c r="Y84" i="53"/>
  <c r="Y100" i="53" s="1"/>
  <c r="X84" i="53"/>
  <c r="X100" i="53" s="1"/>
  <c r="W84" i="53"/>
  <c r="W100" i="53" s="1"/>
  <c r="V84" i="53"/>
  <c r="U5" i="53" s="1"/>
  <c r="U84" i="53"/>
  <c r="U100" i="53" s="1"/>
  <c r="T84" i="53"/>
  <c r="T100" i="53" s="1"/>
  <c r="S84" i="53"/>
  <c r="S100" i="53" s="1"/>
  <c r="R84" i="53"/>
  <c r="R100" i="53" s="1"/>
  <c r="Q84" i="53"/>
  <c r="Q100" i="53" s="1"/>
  <c r="P84" i="53"/>
  <c r="P100" i="53" s="1"/>
  <c r="O84" i="53"/>
  <c r="O100" i="53" s="1"/>
  <c r="N84" i="53"/>
  <c r="N100" i="53" s="1"/>
  <c r="M84" i="53"/>
  <c r="M100" i="53" s="1"/>
  <c r="L84" i="53"/>
  <c r="L100" i="53" s="1"/>
  <c r="K84" i="53"/>
  <c r="K100" i="53" s="1"/>
  <c r="J84" i="53"/>
  <c r="J100" i="53" s="1"/>
  <c r="I84" i="53"/>
  <c r="I100" i="53" s="1"/>
  <c r="H84" i="53"/>
  <c r="H100" i="53" s="1"/>
  <c r="G84" i="53"/>
  <c r="G100" i="53" s="1"/>
  <c r="F84" i="53"/>
  <c r="F100" i="53" s="1"/>
  <c r="E84" i="53"/>
  <c r="E100" i="53" s="1"/>
  <c r="D84" i="53"/>
  <c r="D100" i="53" s="1"/>
  <c r="C84" i="53"/>
  <c r="C100" i="53" s="1"/>
  <c r="AI83" i="53"/>
  <c r="AH83" i="53"/>
  <c r="AN82" i="53"/>
  <c r="AI82" i="53"/>
  <c r="AH82" i="53"/>
  <c r="AN81" i="53"/>
  <c r="AN83" i="53" s="1"/>
  <c r="AI81" i="53"/>
  <c r="AH81" i="53"/>
  <c r="AI80" i="53"/>
  <c r="AH80" i="53"/>
  <c r="AI79" i="53"/>
  <c r="AH79" i="53"/>
  <c r="AI78" i="53"/>
  <c r="AH78" i="53"/>
  <c r="AI77" i="53"/>
  <c r="AH77" i="53"/>
  <c r="AI76" i="53"/>
  <c r="AH76" i="53"/>
  <c r="AI75" i="53"/>
  <c r="AH75" i="53"/>
  <c r="AI74" i="53"/>
  <c r="AH74" i="53"/>
  <c r="AI73" i="53"/>
  <c r="AH73" i="53"/>
  <c r="AG72" i="53"/>
  <c r="AG4" i="53" s="1"/>
  <c r="AF72" i="53"/>
  <c r="AE72" i="53"/>
  <c r="AD72" i="53"/>
  <c r="AC72" i="53"/>
  <c r="AB72" i="53"/>
  <c r="AA72" i="53"/>
  <c r="Z72" i="53"/>
  <c r="Y72" i="53"/>
  <c r="X72" i="53"/>
  <c r="W72" i="53"/>
  <c r="V72" i="53"/>
  <c r="U72" i="53"/>
  <c r="T72" i="53"/>
  <c r="S72" i="53"/>
  <c r="R72" i="53"/>
  <c r="Q72" i="53"/>
  <c r="P72" i="53"/>
  <c r="O72" i="53"/>
  <c r="N72" i="53"/>
  <c r="M72" i="53"/>
  <c r="AI71" i="53"/>
  <c r="AH71" i="53"/>
  <c r="AI70" i="53"/>
  <c r="AH70" i="53"/>
  <c r="AI69" i="53"/>
  <c r="AH69" i="53"/>
  <c r="AF68" i="53"/>
  <c r="AE68" i="53"/>
  <c r="AD68" i="53"/>
  <c r="AC68" i="53"/>
  <c r="AB68" i="53"/>
  <c r="AA68" i="53"/>
  <c r="Z68" i="53"/>
  <c r="Y68" i="53"/>
  <c r="X68" i="53"/>
  <c r="W68" i="53"/>
  <c r="V68" i="53"/>
  <c r="U68" i="53"/>
  <c r="T68" i="53"/>
  <c r="S68" i="53"/>
  <c r="R68" i="53"/>
  <c r="Q68" i="53"/>
  <c r="P68" i="53"/>
  <c r="O68" i="53"/>
  <c r="N68" i="53"/>
  <c r="M68" i="53"/>
  <c r="L68" i="53"/>
  <c r="K68" i="53"/>
  <c r="J68" i="53"/>
  <c r="I68" i="53"/>
  <c r="H68" i="53"/>
  <c r="G68" i="53"/>
  <c r="F68" i="53"/>
  <c r="E68" i="53"/>
  <c r="D68" i="53"/>
  <c r="C68" i="53"/>
  <c r="AI67" i="53"/>
  <c r="AH67" i="53"/>
  <c r="AI66" i="53"/>
  <c r="AH66" i="53"/>
  <c r="AI65" i="53"/>
  <c r="AH65" i="53"/>
  <c r="AI64" i="53"/>
  <c r="AH64" i="53"/>
  <c r="AI63" i="53"/>
  <c r="AH63" i="53"/>
  <c r="AI62" i="53"/>
  <c r="AH62" i="53"/>
  <c r="AI61" i="53"/>
  <c r="AH61" i="53"/>
  <c r="AI60" i="53"/>
  <c r="AH60" i="53"/>
  <c r="AI59" i="53"/>
  <c r="AH59" i="53"/>
  <c r="AI58" i="53"/>
  <c r="AH58" i="53"/>
  <c r="AI57" i="53"/>
  <c r="AH57" i="53"/>
  <c r="AI56" i="53"/>
  <c r="AH56" i="53"/>
  <c r="AI55" i="53"/>
  <c r="AH55" i="53"/>
  <c r="AG54" i="53"/>
  <c r="AF54" i="53"/>
  <c r="AE54" i="53"/>
  <c r="AD54" i="53"/>
  <c r="AC54" i="53"/>
  <c r="AB54" i="53"/>
  <c r="AA54" i="53"/>
  <c r="Z54" i="53"/>
  <c r="Y54" i="53"/>
  <c r="X54" i="53"/>
  <c r="W54" i="53"/>
  <c r="V54" i="53"/>
  <c r="U54" i="53"/>
  <c r="T54" i="53"/>
  <c r="S54" i="53"/>
  <c r="R54" i="53"/>
  <c r="Q54" i="53"/>
  <c r="P54" i="53"/>
  <c r="O54" i="53"/>
  <c r="N54" i="53"/>
  <c r="M54" i="53"/>
  <c r="L54" i="53"/>
  <c r="K54" i="53"/>
  <c r="J54" i="53"/>
  <c r="I54" i="53"/>
  <c r="H54" i="53"/>
  <c r="G54" i="53"/>
  <c r="F54" i="53"/>
  <c r="E54" i="53"/>
  <c r="D54" i="53"/>
  <c r="C54" i="53"/>
  <c r="AI53" i="53"/>
  <c r="AH53" i="53"/>
  <c r="AI52" i="53"/>
  <c r="AH52" i="53"/>
  <c r="AI51" i="53"/>
  <c r="AH51" i="53"/>
  <c r="AG50" i="53"/>
  <c r="AF50" i="53"/>
  <c r="AE50" i="53"/>
  <c r="AD50" i="53"/>
  <c r="AC50" i="53"/>
  <c r="AB50" i="53"/>
  <c r="AA50" i="53"/>
  <c r="Z50" i="53"/>
  <c r="Y50" i="53"/>
  <c r="X50" i="53"/>
  <c r="W50" i="53"/>
  <c r="V50" i="53"/>
  <c r="U50" i="53"/>
  <c r="S50" i="53"/>
  <c r="R50" i="53"/>
  <c r="Q50" i="53"/>
  <c r="P50" i="53"/>
  <c r="O50" i="53"/>
  <c r="N50" i="53"/>
  <c r="M50" i="53"/>
  <c r="L50" i="53"/>
  <c r="K50" i="53"/>
  <c r="J50" i="53"/>
  <c r="I50" i="53"/>
  <c r="H50" i="53"/>
  <c r="G50" i="53"/>
  <c r="F50" i="53"/>
  <c r="E50" i="53"/>
  <c r="D50" i="53"/>
  <c r="AI49" i="53"/>
  <c r="AH49" i="53"/>
  <c r="AI48" i="53"/>
  <c r="AH48" i="53"/>
  <c r="AI47" i="53"/>
  <c r="AH47" i="53"/>
  <c r="AI46" i="53"/>
  <c r="AH46" i="53"/>
  <c r="AI45" i="53"/>
  <c r="AH45" i="53"/>
  <c r="AI44" i="53"/>
  <c r="AH44" i="53"/>
  <c r="AI43" i="53"/>
  <c r="AH43" i="53"/>
  <c r="AI42" i="53"/>
  <c r="AH42" i="53"/>
  <c r="AI41" i="53"/>
  <c r="AH41" i="53"/>
  <c r="AI40" i="53"/>
  <c r="AH40" i="53"/>
  <c r="AI39" i="53"/>
  <c r="AH39" i="53"/>
  <c r="AI38" i="53"/>
  <c r="AH38" i="53"/>
  <c r="AI37" i="53"/>
  <c r="AH37" i="53"/>
  <c r="AI36" i="53"/>
  <c r="AH36" i="53"/>
  <c r="AI35" i="53"/>
  <c r="AH35" i="53"/>
  <c r="AI34" i="53"/>
  <c r="AH34" i="53"/>
  <c r="AI33" i="53"/>
  <c r="AH33" i="53"/>
  <c r="AI32" i="53"/>
  <c r="AH32" i="53"/>
  <c r="AI31" i="53"/>
  <c r="AH31" i="53"/>
  <c r="AI30" i="53"/>
  <c r="AH30" i="53"/>
  <c r="AI29" i="53"/>
  <c r="AH29" i="53"/>
  <c r="AI28" i="53"/>
  <c r="AH28" i="53"/>
  <c r="AI27" i="53"/>
  <c r="AH27" i="53"/>
  <c r="AI26" i="53"/>
  <c r="AH26" i="53"/>
  <c r="AI25" i="53"/>
  <c r="AH25" i="53"/>
  <c r="AI24" i="53"/>
  <c r="AH24" i="53"/>
  <c r="AI23" i="53"/>
  <c r="AH23" i="53"/>
  <c r="AI22" i="53"/>
  <c r="AH22" i="53"/>
  <c r="AI21" i="53"/>
  <c r="AH21" i="53"/>
  <c r="AI20" i="53"/>
  <c r="AH20" i="53"/>
  <c r="AI19" i="53"/>
  <c r="AH19" i="53"/>
  <c r="AI18" i="53"/>
  <c r="AH18" i="53"/>
  <c r="AI17" i="53"/>
  <c r="AH17" i="53"/>
  <c r="AI16" i="53"/>
  <c r="AH16" i="53"/>
  <c r="AI15" i="53"/>
  <c r="AH15" i="53"/>
  <c r="AI14" i="53"/>
  <c r="AH14" i="53"/>
  <c r="AI13" i="53"/>
  <c r="AH13" i="53"/>
  <c r="AI12" i="53"/>
  <c r="AH12" i="53"/>
  <c r="AI11" i="53"/>
  <c r="AH11" i="53"/>
  <c r="K4" i="53"/>
  <c r="E4" i="53"/>
  <c r="H4" i="53" s="1"/>
  <c r="B4" i="53"/>
  <c r="S246" i="53" s="1"/>
  <c r="AG2" i="53"/>
  <c r="B50" i="42"/>
  <c r="B54" i="42"/>
  <c r="B68" i="42"/>
  <c r="B72" i="42"/>
  <c r="B89" i="42" s="1"/>
  <c r="B91" i="42" s="1"/>
  <c r="B92" i="42" s="1"/>
  <c r="B84" i="42"/>
  <c r="B100" i="42" s="1"/>
  <c r="AE50" i="52"/>
  <c r="AF50" i="52"/>
  <c r="AE54" i="52"/>
  <c r="AF54" i="52"/>
  <c r="AB113" i="52"/>
  <c r="AB50" i="52"/>
  <c r="AB54" i="52"/>
  <c r="AB68" i="52"/>
  <c r="D235" i="53" l="1"/>
  <c r="AG6" i="53"/>
  <c r="AG89" i="53"/>
  <c r="AG91" i="53"/>
  <c r="B235" i="53"/>
  <c r="E234" i="53"/>
  <c r="D270" i="53" s="1"/>
  <c r="AE5" i="53"/>
  <c r="AF89" i="53"/>
  <c r="AF91" i="53" s="1"/>
  <c r="AF92" i="53" s="1"/>
  <c r="AD5" i="53"/>
  <c r="AE89" i="53"/>
  <c r="AE91" i="53" s="1"/>
  <c r="AE7" i="53" s="1"/>
  <c r="AD100" i="53"/>
  <c r="AD89" i="53"/>
  <c r="AD91" i="53" s="1"/>
  <c r="AV249" i="53" s="1"/>
  <c r="AC89" i="53"/>
  <c r="AC91" i="53" s="1"/>
  <c r="AC7" i="53" s="1"/>
  <c r="AB5" i="53"/>
  <c r="AA5" i="53"/>
  <c r="AB89" i="53"/>
  <c r="AB91" i="53" s="1"/>
  <c r="AB7" i="53" s="1"/>
  <c r="Z5" i="53"/>
  <c r="AA89" i="53"/>
  <c r="AA91" i="53" s="1"/>
  <c r="AS249" i="53" s="1"/>
  <c r="Y5" i="53"/>
  <c r="Z89" i="53"/>
  <c r="Z91" i="53" s="1"/>
  <c r="Z92" i="53" s="1"/>
  <c r="X5" i="53"/>
  <c r="Y89" i="53"/>
  <c r="Y91" i="53" s="1"/>
  <c r="AQ249" i="53" s="1"/>
  <c r="W5" i="53"/>
  <c r="X89" i="53"/>
  <c r="X91" i="53" s="1"/>
  <c r="X7" i="53" s="1"/>
  <c r="V5" i="53"/>
  <c r="W89" i="53"/>
  <c r="W91" i="53" s="1"/>
  <c r="W92" i="53" s="1"/>
  <c r="V100" i="53"/>
  <c r="V89" i="53"/>
  <c r="V91" i="53" s="1"/>
  <c r="AN249" i="53" s="1"/>
  <c r="T5" i="53"/>
  <c r="U89" i="53"/>
  <c r="U91" i="53" s="1"/>
  <c r="U92" i="53" s="1"/>
  <c r="S5" i="53"/>
  <c r="T89" i="53"/>
  <c r="T91" i="53" s="1"/>
  <c r="T92" i="53" s="1"/>
  <c r="R5" i="53"/>
  <c r="S89" i="53"/>
  <c r="S91" i="53" s="1"/>
  <c r="S7" i="53" s="1"/>
  <c r="R89" i="53"/>
  <c r="R91" i="53" s="1"/>
  <c r="AJ249" i="53" s="1"/>
  <c r="Q5" i="53"/>
  <c r="P5" i="53"/>
  <c r="Q89" i="53"/>
  <c r="Q91" i="53" s="1"/>
  <c r="Q7" i="53" s="1"/>
  <c r="P89" i="53"/>
  <c r="P91" i="53" s="1"/>
  <c r="AH249" i="53" s="1"/>
  <c r="O5" i="53"/>
  <c r="N5" i="53"/>
  <c r="AI72" i="53"/>
  <c r="AH72" i="53"/>
  <c r="O89" i="53"/>
  <c r="O91" i="53" s="1"/>
  <c r="AG249" i="53" s="1"/>
  <c r="M5" i="53"/>
  <c r="N89" i="53"/>
  <c r="N91" i="53" s="1"/>
  <c r="N7" i="53" s="1"/>
  <c r="M89" i="53"/>
  <c r="M91" i="53" s="1"/>
  <c r="M92" i="53" s="1"/>
  <c r="L5" i="53"/>
  <c r="K5" i="53"/>
  <c r="L89" i="53"/>
  <c r="L91" i="53" s="1"/>
  <c r="AD249" i="53" s="1"/>
  <c r="J5" i="53"/>
  <c r="K89" i="53"/>
  <c r="K91" i="53" s="1"/>
  <c r="K92" i="53" s="1"/>
  <c r="J89" i="53"/>
  <c r="J91" i="53" s="1"/>
  <c r="AB249" i="53" s="1"/>
  <c r="I5" i="53"/>
  <c r="H5" i="53"/>
  <c r="I89" i="53"/>
  <c r="I91" i="53" s="1"/>
  <c r="I7" i="53" s="1"/>
  <c r="F89" i="53"/>
  <c r="F91" i="53" s="1"/>
  <c r="F92" i="53" s="1"/>
  <c r="E5" i="53"/>
  <c r="F5" i="53"/>
  <c r="G5" i="53"/>
  <c r="G89" i="53"/>
  <c r="G91" i="53" s="1"/>
  <c r="Y249" i="53" s="1"/>
  <c r="H89" i="53"/>
  <c r="H91" i="53" s="1"/>
  <c r="H92" i="53" s="1"/>
  <c r="D5" i="53"/>
  <c r="E89" i="53"/>
  <c r="E91" i="53" s="1"/>
  <c r="E92" i="53" s="1"/>
  <c r="AI68" i="53"/>
  <c r="D89" i="53"/>
  <c r="D91" i="53" s="1"/>
  <c r="V249" i="53" s="1"/>
  <c r="C5" i="53"/>
  <c r="B5" i="53"/>
  <c r="C89" i="53"/>
  <c r="C91" i="53" s="1"/>
  <c r="C92" i="53" s="1"/>
  <c r="AH68" i="53"/>
  <c r="AI54" i="53"/>
  <c r="AF5" i="53"/>
  <c r="B89" i="53"/>
  <c r="B91" i="53" s="1"/>
  <c r="B92" i="53" s="1"/>
  <c r="AI90" i="53"/>
  <c r="AH90" i="53"/>
  <c r="AI101" i="53"/>
  <c r="AH101" i="53"/>
  <c r="AH85" i="53"/>
  <c r="AI85" i="53"/>
  <c r="R7" i="53"/>
  <c r="G229" i="53"/>
  <c r="J232" i="53"/>
  <c r="K232" i="53" s="1"/>
  <c r="L232" i="53" s="1"/>
  <c r="M232" i="53" s="1"/>
  <c r="N232" i="53" s="1"/>
  <c r="O232" i="53" s="1"/>
  <c r="P232" i="53" s="1"/>
  <c r="L92" i="53"/>
  <c r="P92" i="53"/>
  <c r="D246" i="53"/>
  <c r="AH84" i="53"/>
  <c r="F234" i="53"/>
  <c r="F110" i="53" s="1"/>
  <c r="AH50" i="53"/>
  <c r="AH54" i="53"/>
  <c r="AI84" i="53"/>
  <c r="AI50" i="53"/>
  <c r="E110" i="53" l="1"/>
  <c r="P7" i="53"/>
  <c r="F235" i="53"/>
  <c r="AI100" i="53"/>
  <c r="E235" i="53"/>
  <c r="M7" i="53"/>
  <c r="AU249" i="53"/>
  <c r="AH100" i="53"/>
  <c r="AD92" i="53"/>
  <c r="AC92" i="53"/>
  <c r="AF7" i="53"/>
  <c r="AX249" i="53"/>
  <c r="AE92" i="53"/>
  <c r="AW249" i="53"/>
  <c r="AD7" i="53"/>
  <c r="AT249" i="53"/>
  <c r="AB92" i="53"/>
  <c r="Z7" i="53"/>
  <c r="Y7" i="53"/>
  <c r="AA7" i="53"/>
  <c r="AA92" i="53"/>
  <c r="AR249" i="53"/>
  <c r="Y92" i="53"/>
  <c r="AM249" i="53"/>
  <c r="D92" i="53"/>
  <c r="K7" i="53"/>
  <c r="AC249" i="53"/>
  <c r="J7" i="53"/>
  <c r="J92" i="53"/>
  <c r="Q92" i="53"/>
  <c r="AI249" i="53"/>
  <c r="L7" i="53"/>
  <c r="R92" i="53"/>
  <c r="AP249" i="53"/>
  <c r="X92" i="53"/>
  <c r="W7" i="53"/>
  <c r="AO249" i="53"/>
  <c r="U7" i="53"/>
  <c r="V7" i="53"/>
  <c r="V92" i="53"/>
  <c r="T7" i="53"/>
  <c r="AL249" i="53"/>
  <c r="AK249" i="53"/>
  <c r="S92" i="53"/>
  <c r="AE249" i="53"/>
  <c r="O92" i="53"/>
  <c r="O7" i="53"/>
  <c r="AF249" i="53"/>
  <c r="N92" i="53"/>
  <c r="X249" i="53"/>
  <c r="D7" i="53"/>
  <c r="AA249" i="53"/>
  <c r="I92" i="53"/>
  <c r="G92" i="53"/>
  <c r="H7" i="53"/>
  <c r="G7" i="53"/>
  <c r="F7" i="53"/>
  <c r="Z249" i="53"/>
  <c r="B244" i="53"/>
  <c r="C244" i="53"/>
  <c r="AH89" i="53"/>
  <c r="E7" i="53"/>
  <c r="W249" i="53"/>
  <c r="C7" i="53"/>
  <c r="U249" i="53"/>
  <c r="AI89" i="53"/>
  <c r="AI93" i="53"/>
  <c r="AH93" i="53"/>
  <c r="H229" i="53"/>
  <c r="G110" i="53"/>
  <c r="B7" i="53"/>
  <c r="AI91" i="53"/>
  <c r="T249" i="53"/>
  <c r="AH91" i="53"/>
  <c r="E270" i="53"/>
  <c r="G234" i="53"/>
  <c r="K6" i="53" l="1"/>
  <c r="A7" i="53"/>
  <c r="AI92" i="53"/>
  <c r="AH92" i="53"/>
  <c r="F270" i="53"/>
  <c r="H234" i="53"/>
  <c r="G235" i="53"/>
  <c r="I229" i="53"/>
  <c r="H110" i="53"/>
  <c r="I110" i="53" l="1"/>
  <c r="J229" i="53"/>
  <c r="G270" i="53"/>
  <c r="I234" i="53"/>
  <c r="H235" i="53"/>
  <c r="H270" i="53" l="1"/>
  <c r="J234" i="53"/>
  <c r="J110" i="53"/>
  <c r="K229" i="53"/>
  <c r="L229" i="53" l="1"/>
  <c r="K234" i="53"/>
  <c r="I270" i="53"/>
  <c r="M229" i="53" l="1"/>
  <c r="L110" i="53"/>
  <c r="J270" i="53"/>
  <c r="L234" i="53"/>
  <c r="K110" i="53"/>
  <c r="K270" i="53" l="1"/>
  <c r="M234" i="53"/>
  <c r="N229" i="53"/>
  <c r="M110" i="53"/>
  <c r="O229" i="53" l="1"/>
  <c r="L270" i="53"/>
  <c r="N234" i="53"/>
  <c r="N110" i="53" s="1"/>
  <c r="M270" i="53" l="1"/>
  <c r="O234" i="53"/>
  <c r="P229" i="53"/>
  <c r="O110" i="53"/>
  <c r="AI110" i="53" l="1"/>
  <c r="AH110" i="53"/>
  <c r="N270" i="53"/>
  <c r="P234" i="53"/>
  <c r="O270" i="53" s="1"/>
  <c r="S49" i="52" l="1"/>
  <c r="L113" i="52" l="1"/>
  <c r="K113" i="52"/>
  <c r="J113" i="52"/>
  <c r="I113" i="52"/>
  <c r="H113" i="52"/>
  <c r="AI113" i="52" s="1"/>
  <c r="F113" i="52"/>
  <c r="E113" i="52"/>
  <c r="AF274" i="52"/>
  <c r="AE274" i="52"/>
  <c r="AD274" i="52"/>
  <c r="AC274" i="52"/>
  <c r="AB274" i="52"/>
  <c r="AA274" i="52"/>
  <c r="Z274" i="52"/>
  <c r="Y274" i="52"/>
  <c r="X274" i="52"/>
  <c r="W274" i="52"/>
  <c r="V274" i="52"/>
  <c r="U274" i="52"/>
  <c r="T274" i="52"/>
  <c r="S274" i="52"/>
  <c r="R274" i="52"/>
  <c r="Q274" i="52"/>
  <c r="P274" i="52"/>
  <c r="O274" i="52"/>
  <c r="N274" i="52"/>
  <c r="M274" i="52"/>
  <c r="L274" i="52"/>
  <c r="K274" i="52"/>
  <c r="J274" i="52"/>
  <c r="I274" i="52"/>
  <c r="H274" i="52"/>
  <c r="G274" i="52"/>
  <c r="F274" i="52"/>
  <c r="E274" i="52"/>
  <c r="D274" i="52"/>
  <c r="C274" i="52"/>
  <c r="B274" i="52"/>
  <c r="A274" i="52"/>
  <c r="AF273" i="52"/>
  <c r="AE273" i="52"/>
  <c r="AD273" i="52"/>
  <c r="AC273" i="52"/>
  <c r="AB273" i="52"/>
  <c r="AA273" i="52"/>
  <c r="Z273" i="52"/>
  <c r="Y273" i="52"/>
  <c r="X273" i="52"/>
  <c r="W273" i="52"/>
  <c r="V273" i="52"/>
  <c r="U273" i="52"/>
  <c r="T273" i="52"/>
  <c r="S273" i="52"/>
  <c r="R273" i="52"/>
  <c r="Q273" i="52"/>
  <c r="P273" i="52"/>
  <c r="O273" i="52"/>
  <c r="N273" i="52"/>
  <c r="M273" i="52"/>
  <c r="L273" i="52"/>
  <c r="K273" i="52"/>
  <c r="J273" i="52"/>
  <c r="I273" i="52"/>
  <c r="H273" i="52"/>
  <c r="G273" i="52"/>
  <c r="F273" i="52"/>
  <c r="E273" i="52"/>
  <c r="D273" i="52"/>
  <c r="C273" i="52"/>
  <c r="B273" i="52"/>
  <c r="A273" i="52"/>
  <c r="AF272" i="52"/>
  <c r="AE272" i="52"/>
  <c r="AD272" i="52"/>
  <c r="AC272" i="52"/>
  <c r="AB272" i="52"/>
  <c r="AA272" i="52"/>
  <c r="Z272" i="52"/>
  <c r="Y272" i="52"/>
  <c r="X272" i="52"/>
  <c r="W272" i="52"/>
  <c r="V272" i="52"/>
  <c r="U272" i="52"/>
  <c r="T272" i="52"/>
  <c r="S272" i="52"/>
  <c r="R272" i="52"/>
  <c r="Q272" i="52"/>
  <c r="P272" i="52"/>
  <c r="O272" i="52"/>
  <c r="N272" i="52"/>
  <c r="M272" i="52"/>
  <c r="L272" i="52"/>
  <c r="K272" i="52"/>
  <c r="J272" i="52"/>
  <c r="I272" i="52"/>
  <c r="H272" i="52"/>
  <c r="G272" i="52"/>
  <c r="F272" i="52"/>
  <c r="E272" i="52"/>
  <c r="D272" i="52"/>
  <c r="C272" i="52"/>
  <c r="B272" i="52"/>
  <c r="A272" i="52"/>
  <c r="AF271" i="52"/>
  <c r="AE271" i="52"/>
  <c r="AD271" i="52"/>
  <c r="AC271" i="52"/>
  <c r="AB271" i="52"/>
  <c r="AA271" i="52"/>
  <c r="Z271" i="52"/>
  <c r="Y271" i="52"/>
  <c r="X271" i="52"/>
  <c r="W271" i="52"/>
  <c r="V271" i="52"/>
  <c r="U271" i="52"/>
  <c r="T271" i="52"/>
  <c r="S271" i="52"/>
  <c r="R271" i="52"/>
  <c r="Q271" i="52"/>
  <c r="P271" i="52"/>
  <c r="O271" i="52"/>
  <c r="N271" i="52"/>
  <c r="M271" i="52"/>
  <c r="L271" i="52"/>
  <c r="K271" i="52"/>
  <c r="J271" i="52"/>
  <c r="I271" i="52"/>
  <c r="H271" i="52"/>
  <c r="G271" i="52"/>
  <c r="F271" i="52"/>
  <c r="E271" i="52"/>
  <c r="D271" i="52"/>
  <c r="C271" i="52"/>
  <c r="B271" i="52"/>
  <c r="A271" i="52"/>
  <c r="AE270" i="52"/>
  <c r="AD270" i="52"/>
  <c r="AC270" i="52"/>
  <c r="AB270" i="52"/>
  <c r="AA270" i="52"/>
  <c r="Z270" i="52"/>
  <c r="Y270" i="52"/>
  <c r="X270" i="52"/>
  <c r="W270" i="52"/>
  <c r="V270" i="52"/>
  <c r="U270" i="52"/>
  <c r="T270" i="52"/>
  <c r="S270" i="52"/>
  <c r="R270" i="52"/>
  <c r="Q270" i="52"/>
  <c r="P270" i="52"/>
  <c r="B270" i="52"/>
  <c r="S245" i="52"/>
  <c r="AG235" i="52"/>
  <c r="AG67" i="52" s="1"/>
  <c r="AG68" i="52" s="1"/>
  <c r="AG3" i="52" s="1"/>
  <c r="AF235" i="52"/>
  <c r="AE235" i="52"/>
  <c r="AD235" i="52"/>
  <c r="AC235" i="52"/>
  <c r="AB235" i="52"/>
  <c r="AA235" i="52"/>
  <c r="Z235" i="52"/>
  <c r="Y235" i="52"/>
  <c r="X235" i="52"/>
  <c r="W235" i="52"/>
  <c r="V235" i="52"/>
  <c r="U235" i="52"/>
  <c r="T235" i="52"/>
  <c r="S235" i="52"/>
  <c r="R235" i="52"/>
  <c r="Q235" i="52"/>
  <c r="C235" i="52"/>
  <c r="D234" i="52"/>
  <c r="E234" i="52" s="1"/>
  <c r="B234" i="52"/>
  <c r="AF270" i="52" s="1"/>
  <c r="D233" i="52"/>
  <c r="E233" i="52" s="1"/>
  <c r="F233" i="52" s="1"/>
  <c r="G233" i="52" s="1"/>
  <c r="H233" i="52" s="1"/>
  <c r="I233" i="52" s="1"/>
  <c r="J233" i="52" s="1"/>
  <c r="K233" i="52" s="1"/>
  <c r="L233" i="52" s="1"/>
  <c r="M233" i="52" s="1"/>
  <c r="N233" i="52" s="1"/>
  <c r="O233" i="52" s="1"/>
  <c r="P233" i="52" s="1"/>
  <c r="B233" i="52"/>
  <c r="D232" i="52"/>
  <c r="E232" i="52" s="1"/>
  <c r="F232" i="52" s="1"/>
  <c r="G232" i="52" s="1"/>
  <c r="H232" i="52" s="1"/>
  <c r="I232" i="52" s="1"/>
  <c r="B232" i="52"/>
  <c r="D231" i="52"/>
  <c r="E231" i="52" s="1"/>
  <c r="F231" i="52" s="1"/>
  <c r="G231" i="52" s="1"/>
  <c r="H231" i="52" s="1"/>
  <c r="B231" i="52"/>
  <c r="D230" i="52"/>
  <c r="E230" i="52" s="1"/>
  <c r="F230" i="52" s="1"/>
  <c r="G230" i="52" s="1"/>
  <c r="H230" i="52" s="1"/>
  <c r="I230" i="52" s="1"/>
  <c r="J230" i="52" s="1"/>
  <c r="K230" i="52" s="1"/>
  <c r="L230" i="52" s="1"/>
  <c r="M230" i="52" s="1"/>
  <c r="N230" i="52" s="1"/>
  <c r="O230" i="52" s="1"/>
  <c r="P230" i="52" s="1"/>
  <c r="B230" i="52"/>
  <c r="D229" i="52"/>
  <c r="B229" i="52"/>
  <c r="B235" i="52" s="1"/>
  <c r="AG227" i="52"/>
  <c r="AF227" i="52"/>
  <c r="AE227" i="52"/>
  <c r="AD227" i="52"/>
  <c r="AC227" i="52"/>
  <c r="AB227" i="52"/>
  <c r="AA227" i="52"/>
  <c r="Z227" i="52"/>
  <c r="Y227" i="52"/>
  <c r="X227" i="52"/>
  <c r="W227" i="52"/>
  <c r="V227" i="52"/>
  <c r="U227" i="52"/>
  <c r="T227" i="52"/>
  <c r="S227" i="52"/>
  <c r="R227" i="52"/>
  <c r="Q227" i="52"/>
  <c r="P227" i="52"/>
  <c r="O227" i="52"/>
  <c r="N227" i="52"/>
  <c r="M227" i="52"/>
  <c r="L227" i="52"/>
  <c r="K227" i="52"/>
  <c r="J227" i="52"/>
  <c r="I227" i="52"/>
  <c r="H227" i="52"/>
  <c r="G227" i="52"/>
  <c r="F227" i="52"/>
  <c r="E227" i="52"/>
  <c r="D227" i="52"/>
  <c r="C227" i="52"/>
  <c r="B227" i="52"/>
  <c r="AI120" i="52"/>
  <c r="AH120" i="52"/>
  <c r="AI119" i="52"/>
  <c r="AH119" i="52"/>
  <c r="AI118" i="52"/>
  <c r="AH118" i="52"/>
  <c r="AI117" i="52"/>
  <c r="AH117" i="52"/>
  <c r="AI116" i="52"/>
  <c r="AH116" i="52"/>
  <c r="AI115" i="52"/>
  <c r="AH115" i="52"/>
  <c r="AI114" i="52"/>
  <c r="AH114" i="52"/>
  <c r="AH113" i="52"/>
  <c r="AI112" i="52"/>
  <c r="AH112" i="52"/>
  <c r="AI111" i="52"/>
  <c r="AH111" i="52"/>
  <c r="AF110" i="52"/>
  <c r="AE110" i="52"/>
  <c r="AC110" i="52"/>
  <c r="AB110" i="52"/>
  <c r="AA110" i="52"/>
  <c r="Z110" i="52"/>
  <c r="Y110" i="52"/>
  <c r="X110" i="52"/>
  <c r="W110" i="52"/>
  <c r="V110" i="52"/>
  <c r="U110" i="52"/>
  <c r="T110" i="52"/>
  <c r="S110" i="52"/>
  <c r="R110" i="52"/>
  <c r="Q110" i="52"/>
  <c r="D110" i="52"/>
  <c r="C110" i="52"/>
  <c r="AI109" i="52"/>
  <c r="AH109" i="52"/>
  <c r="AI108" i="52"/>
  <c r="AH108" i="52"/>
  <c r="AI107" i="52"/>
  <c r="AH107" i="52"/>
  <c r="AI106" i="52"/>
  <c r="AH106" i="52"/>
  <c r="AI105" i="52"/>
  <c r="AH105" i="52"/>
  <c r="AI104" i="52"/>
  <c r="AH104" i="52"/>
  <c r="AI103" i="52"/>
  <c r="AH103" i="52"/>
  <c r="AI102" i="52"/>
  <c r="AH102" i="52"/>
  <c r="AI101" i="52"/>
  <c r="AH101" i="52"/>
  <c r="AI99" i="52"/>
  <c r="AH99" i="52"/>
  <c r="AI98" i="52"/>
  <c r="AH98" i="52"/>
  <c r="AI97" i="52"/>
  <c r="AH97" i="52"/>
  <c r="AI96" i="52"/>
  <c r="AH96" i="52"/>
  <c r="AI95" i="52"/>
  <c r="AH95" i="52"/>
  <c r="AI94" i="52"/>
  <c r="AH94" i="52"/>
  <c r="AI93" i="52"/>
  <c r="AH93" i="52"/>
  <c r="AI90" i="52"/>
  <c r="AH90" i="52"/>
  <c r="AI88" i="52"/>
  <c r="AH88" i="52"/>
  <c r="AG88" i="52"/>
  <c r="AI87" i="52"/>
  <c r="AH87" i="52"/>
  <c r="AI86" i="52"/>
  <c r="AH86" i="52"/>
  <c r="AI85" i="52"/>
  <c r="AH85" i="52"/>
  <c r="AN84" i="52"/>
  <c r="AG84" i="52"/>
  <c r="AF84" i="52"/>
  <c r="AF100" i="52" s="1"/>
  <c r="AE84" i="52"/>
  <c r="AE100" i="52" s="1"/>
  <c r="AD84" i="52"/>
  <c r="AD100" i="52" s="1"/>
  <c r="AC84" i="52"/>
  <c r="AC100" i="52" s="1"/>
  <c r="AB84" i="52"/>
  <c r="AB100" i="52" s="1"/>
  <c r="AA84" i="52"/>
  <c r="AA100" i="52" s="1"/>
  <c r="Z84" i="52"/>
  <c r="Z100" i="52" s="1"/>
  <c r="Y84" i="52"/>
  <c r="Y100" i="52" s="1"/>
  <c r="X84" i="52"/>
  <c r="X100" i="52" s="1"/>
  <c r="W84" i="52"/>
  <c r="W100" i="52" s="1"/>
  <c r="V84" i="52"/>
  <c r="V100" i="52" s="1"/>
  <c r="U84" i="52"/>
  <c r="U100" i="52" s="1"/>
  <c r="T84" i="52"/>
  <c r="T100" i="52" s="1"/>
  <c r="S84" i="52"/>
  <c r="S100" i="52" s="1"/>
  <c r="R84" i="52"/>
  <c r="Q5" i="52" s="1"/>
  <c r="Q84" i="52"/>
  <c r="Q100" i="52" s="1"/>
  <c r="P84" i="52"/>
  <c r="P100" i="52" s="1"/>
  <c r="O84" i="52"/>
  <c r="O100" i="52" s="1"/>
  <c r="N84" i="52"/>
  <c r="M5" i="52" s="1"/>
  <c r="M84" i="52"/>
  <c r="M100" i="52" s="1"/>
  <c r="L84" i="52"/>
  <c r="L100" i="52" s="1"/>
  <c r="K84" i="52"/>
  <c r="K100" i="52" s="1"/>
  <c r="J84" i="52"/>
  <c r="J100" i="52" s="1"/>
  <c r="I84" i="52"/>
  <c r="I100" i="52" s="1"/>
  <c r="H84" i="52"/>
  <c r="H100" i="52" s="1"/>
  <c r="G84" i="52"/>
  <c r="G100" i="52" s="1"/>
  <c r="F84" i="52"/>
  <c r="F100" i="52" s="1"/>
  <c r="E84" i="52"/>
  <c r="E100" i="52" s="1"/>
  <c r="D84" i="52"/>
  <c r="D100" i="52" s="1"/>
  <c r="C84" i="52"/>
  <c r="C100" i="52" s="1"/>
  <c r="AI83" i="52"/>
  <c r="AH83" i="52"/>
  <c r="AN82" i="52"/>
  <c r="AI82" i="52"/>
  <c r="AH82" i="52"/>
  <c r="AN81" i="52"/>
  <c r="AN83" i="52" s="1"/>
  <c r="AI81" i="52"/>
  <c r="AH81" i="52"/>
  <c r="AI80" i="52"/>
  <c r="AH80" i="52"/>
  <c r="AI79" i="52"/>
  <c r="AH79" i="52"/>
  <c r="AI78" i="52"/>
  <c r="AH78" i="52"/>
  <c r="AI77" i="52"/>
  <c r="AH77" i="52"/>
  <c r="AI76" i="52"/>
  <c r="AH76" i="52"/>
  <c r="AI75" i="52"/>
  <c r="AH75" i="52"/>
  <c r="AI74" i="52"/>
  <c r="AH74" i="52"/>
  <c r="AI73" i="52"/>
  <c r="AH73" i="52"/>
  <c r="AG72" i="52"/>
  <c r="AF72" i="52"/>
  <c r="AE72" i="52"/>
  <c r="AD72" i="52"/>
  <c r="AC72" i="52"/>
  <c r="AB72" i="52"/>
  <c r="AA72" i="52"/>
  <c r="Z72" i="52"/>
  <c r="Y72" i="52"/>
  <c r="X72" i="52"/>
  <c r="W72" i="52"/>
  <c r="V72" i="52"/>
  <c r="U72" i="52"/>
  <c r="T72" i="52"/>
  <c r="S72" i="52"/>
  <c r="R72" i="52"/>
  <c r="Q72" i="52"/>
  <c r="P72" i="52"/>
  <c r="O72" i="52"/>
  <c r="N72" i="52"/>
  <c r="M72" i="52"/>
  <c r="L72" i="52"/>
  <c r="AI71" i="52"/>
  <c r="AH71" i="52"/>
  <c r="AI70" i="52"/>
  <c r="AH70" i="52"/>
  <c r="AI69" i="52"/>
  <c r="AH69" i="52"/>
  <c r="AF68" i="52"/>
  <c r="AE68" i="52"/>
  <c r="AD68" i="52"/>
  <c r="AC68" i="52"/>
  <c r="AA68" i="52"/>
  <c r="Z68" i="52"/>
  <c r="Y68" i="52"/>
  <c r="X68" i="52"/>
  <c r="W68" i="52"/>
  <c r="V68" i="52"/>
  <c r="U68" i="52"/>
  <c r="T68" i="52"/>
  <c r="S68" i="52"/>
  <c r="R68" i="52"/>
  <c r="Q68" i="52"/>
  <c r="P68" i="52"/>
  <c r="O68" i="52"/>
  <c r="N68" i="52"/>
  <c r="M68" i="52"/>
  <c r="L68" i="52"/>
  <c r="K68" i="52"/>
  <c r="J68" i="52"/>
  <c r="I68" i="52"/>
  <c r="H68" i="52"/>
  <c r="G68" i="52"/>
  <c r="F68" i="52"/>
  <c r="E68" i="52"/>
  <c r="D68" i="52"/>
  <c r="C68" i="52"/>
  <c r="AI67" i="52"/>
  <c r="AH67" i="52"/>
  <c r="AI66" i="52"/>
  <c r="AH66" i="52"/>
  <c r="AI65" i="52"/>
  <c r="AH65" i="52"/>
  <c r="AI64" i="52"/>
  <c r="AH64" i="52"/>
  <c r="AI63" i="52"/>
  <c r="AH63" i="52"/>
  <c r="AI62" i="52"/>
  <c r="AH62" i="52"/>
  <c r="AI61" i="52"/>
  <c r="AH61" i="52"/>
  <c r="AI60" i="52"/>
  <c r="AH60" i="52"/>
  <c r="AI59" i="52"/>
  <c r="AH59" i="52"/>
  <c r="AI58" i="52"/>
  <c r="AH58" i="52"/>
  <c r="AI57" i="52"/>
  <c r="AH57" i="52"/>
  <c r="AI56" i="52"/>
  <c r="AH56" i="52"/>
  <c r="AI55" i="52"/>
  <c r="AH55" i="52"/>
  <c r="AG54" i="52"/>
  <c r="AD54" i="52"/>
  <c r="AC54" i="52"/>
  <c r="AA54" i="52"/>
  <c r="Z54" i="52"/>
  <c r="Y54" i="52"/>
  <c r="X54" i="52"/>
  <c r="W54" i="52"/>
  <c r="V54" i="52"/>
  <c r="U54" i="52"/>
  <c r="T54" i="52"/>
  <c r="S54" i="52"/>
  <c r="R54" i="52"/>
  <c r="Q54" i="52"/>
  <c r="P54" i="52"/>
  <c r="O54" i="52"/>
  <c r="N54" i="52"/>
  <c r="M54" i="52"/>
  <c r="L54" i="52"/>
  <c r="K54" i="52"/>
  <c r="J54" i="52"/>
  <c r="I54" i="52"/>
  <c r="H54" i="52"/>
  <c r="G54" i="52"/>
  <c r="F54" i="52"/>
  <c r="E54" i="52"/>
  <c r="D54" i="52"/>
  <c r="C54" i="52"/>
  <c r="AI53" i="52"/>
  <c r="AH53" i="52"/>
  <c r="AI52" i="52"/>
  <c r="AH52" i="52"/>
  <c r="AI51" i="52"/>
  <c r="AH51" i="52"/>
  <c r="AG50" i="52"/>
  <c r="AD50" i="52"/>
  <c r="AC50" i="52"/>
  <c r="AA50" i="52"/>
  <c r="Z50" i="52"/>
  <c r="Y50" i="52"/>
  <c r="X50" i="52"/>
  <c r="W50" i="52"/>
  <c r="V50" i="52"/>
  <c r="U50" i="52"/>
  <c r="T50" i="52"/>
  <c r="S50" i="52"/>
  <c r="R50" i="52"/>
  <c r="Q50" i="52"/>
  <c r="P50" i="52"/>
  <c r="O50" i="52"/>
  <c r="N50" i="52"/>
  <c r="M50" i="52"/>
  <c r="L50" i="52"/>
  <c r="K50" i="52"/>
  <c r="J50" i="52"/>
  <c r="I50" i="52"/>
  <c r="H50" i="52"/>
  <c r="G50" i="52"/>
  <c r="F50" i="52"/>
  <c r="E50" i="52"/>
  <c r="D50" i="52"/>
  <c r="C50" i="52"/>
  <c r="AI49" i="52"/>
  <c r="AH49" i="52"/>
  <c r="AI48" i="52"/>
  <c r="AH48" i="52"/>
  <c r="AI47" i="52"/>
  <c r="AH47" i="52"/>
  <c r="AI46" i="52"/>
  <c r="AH46" i="52"/>
  <c r="AI45" i="52"/>
  <c r="AH45" i="52"/>
  <c r="AI44" i="52"/>
  <c r="AH44" i="52"/>
  <c r="AI43" i="52"/>
  <c r="AH43" i="52"/>
  <c r="AI42" i="52"/>
  <c r="AH42" i="52"/>
  <c r="AI41" i="52"/>
  <c r="AH41" i="52"/>
  <c r="AI40" i="52"/>
  <c r="AH40" i="52"/>
  <c r="AI39" i="52"/>
  <c r="AH39" i="52"/>
  <c r="AI38" i="52"/>
  <c r="AH38" i="52"/>
  <c r="AI37" i="52"/>
  <c r="AH37" i="52"/>
  <c r="AI36" i="52"/>
  <c r="AH36" i="52"/>
  <c r="AI35" i="52"/>
  <c r="AH35" i="52"/>
  <c r="AI34" i="52"/>
  <c r="AH34" i="52"/>
  <c r="AI33" i="52"/>
  <c r="AH33" i="52"/>
  <c r="AI32" i="52"/>
  <c r="AH32" i="52"/>
  <c r="AI31" i="52"/>
  <c r="AH31" i="52"/>
  <c r="AI30" i="52"/>
  <c r="AH30" i="52"/>
  <c r="AI29" i="52"/>
  <c r="AH29" i="52"/>
  <c r="AI28" i="52"/>
  <c r="AH28" i="52"/>
  <c r="AI27" i="52"/>
  <c r="AH27" i="52"/>
  <c r="AI26" i="52"/>
  <c r="AH26" i="52"/>
  <c r="AI25" i="52"/>
  <c r="AH25" i="52"/>
  <c r="AI24" i="52"/>
  <c r="AH24" i="52"/>
  <c r="AI23" i="52"/>
  <c r="AH23" i="52"/>
  <c r="AI22" i="52"/>
  <c r="AH22" i="52"/>
  <c r="AI21" i="52"/>
  <c r="AH21" i="52"/>
  <c r="AI20" i="52"/>
  <c r="AH20" i="52"/>
  <c r="AI19" i="52"/>
  <c r="AH19" i="52"/>
  <c r="AI18" i="52"/>
  <c r="AH18" i="52"/>
  <c r="AI17" i="52"/>
  <c r="AH17" i="52"/>
  <c r="AI16" i="52"/>
  <c r="AH16" i="52"/>
  <c r="AI15" i="52"/>
  <c r="AH15" i="52"/>
  <c r="AI14" i="52"/>
  <c r="AH14" i="52"/>
  <c r="AI13" i="52"/>
  <c r="AH13" i="52"/>
  <c r="AI12" i="52"/>
  <c r="AH12" i="52"/>
  <c r="AI11" i="52"/>
  <c r="AH11" i="52"/>
  <c r="AF5" i="52"/>
  <c r="AG4" i="52"/>
  <c r="K4" i="52"/>
  <c r="E4" i="52"/>
  <c r="H4" i="52" s="1"/>
  <c r="B4" i="52"/>
  <c r="S246" i="52" s="1"/>
  <c r="AD113" i="51"/>
  <c r="AC113" i="51"/>
  <c r="AB113" i="51"/>
  <c r="D270" i="52" l="1"/>
  <c r="F234" i="52"/>
  <c r="D235" i="52"/>
  <c r="E229" i="52"/>
  <c r="AG91" i="52"/>
  <c r="AA89" i="52"/>
  <c r="AA91" i="52" s="1"/>
  <c r="C270" i="52"/>
  <c r="AG89" i="52"/>
  <c r="AE5" i="52"/>
  <c r="AD5" i="52"/>
  <c r="AF89" i="52"/>
  <c r="AF91" i="52" s="1"/>
  <c r="AF7" i="52" s="1"/>
  <c r="AE89" i="52"/>
  <c r="AE91" i="52" s="1"/>
  <c r="AW249" i="52" s="1"/>
  <c r="AC5" i="52"/>
  <c r="AD89" i="52"/>
  <c r="AD91" i="52" s="1"/>
  <c r="AV249" i="52" s="1"/>
  <c r="AB5" i="52"/>
  <c r="AC89" i="52"/>
  <c r="AC91" i="52" s="1"/>
  <c r="AU249" i="52" s="1"/>
  <c r="AB89" i="52"/>
  <c r="AB91" i="52" s="1"/>
  <c r="AB7" i="52" s="1"/>
  <c r="AA5" i="52"/>
  <c r="Z5" i="52"/>
  <c r="Y5" i="52"/>
  <c r="Z89" i="52"/>
  <c r="Z91" i="52" s="1"/>
  <c r="Z7" i="52" s="1"/>
  <c r="X5" i="52"/>
  <c r="Y89" i="52"/>
  <c r="Y91" i="52" s="1"/>
  <c r="AQ249" i="52" s="1"/>
  <c r="X89" i="52"/>
  <c r="X91" i="52" s="1"/>
  <c r="X92" i="52" s="1"/>
  <c r="W5" i="52"/>
  <c r="V5" i="52"/>
  <c r="W89" i="52"/>
  <c r="W91" i="52" s="1"/>
  <c r="AO249" i="52" s="1"/>
  <c r="U5" i="52"/>
  <c r="V89" i="52"/>
  <c r="V91" i="52" s="1"/>
  <c r="AN249" i="52" s="1"/>
  <c r="T5" i="52"/>
  <c r="U89" i="52"/>
  <c r="U91" i="52" s="1"/>
  <c r="U92" i="52" s="1"/>
  <c r="S5" i="52"/>
  <c r="T89" i="52"/>
  <c r="T91" i="52" s="1"/>
  <c r="AL249" i="52" s="1"/>
  <c r="R5" i="52"/>
  <c r="S89" i="52"/>
  <c r="S91" i="52" s="1"/>
  <c r="AK249" i="52" s="1"/>
  <c r="R100" i="52"/>
  <c r="R89" i="52"/>
  <c r="R91" i="52" s="1"/>
  <c r="R92" i="52" s="1"/>
  <c r="P5" i="52"/>
  <c r="Q89" i="52"/>
  <c r="Q91" i="52" s="1"/>
  <c r="Q7" i="52" s="1"/>
  <c r="O5" i="52"/>
  <c r="P89" i="52"/>
  <c r="P91" i="52" s="1"/>
  <c r="P7" i="52" s="1"/>
  <c r="AH72" i="52"/>
  <c r="N5" i="52"/>
  <c r="O89" i="52"/>
  <c r="O91" i="52" s="1"/>
  <c r="O7" i="52" s="1"/>
  <c r="N100" i="52"/>
  <c r="AI100" i="52" s="1"/>
  <c r="AI68" i="52"/>
  <c r="N89" i="52"/>
  <c r="N91" i="52" s="1"/>
  <c r="AF249" i="52" s="1"/>
  <c r="L5" i="52"/>
  <c r="M89" i="52"/>
  <c r="M91" i="52" s="1"/>
  <c r="M92" i="52" s="1"/>
  <c r="J5" i="52"/>
  <c r="K89" i="52"/>
  <c r="K91" i="52" s="1"/>
  <c r="K92" i="52" s="1"/>
  <c r="AI54" i="52"/>
  <c r="L89" i="52"/>
  <c r="L91" i="52" s="1"/>
  <c r="L7" i="52" s="1"/>
  <c r="J89" i="52"/>
  <c r="J91" i="52" s="1"/>
  <c r="J7" i="52" s="1"/>
  <c r="I5" i="52"/>
  <c r="F5" i="52"/>
  <c r="G5" i="52"/>
  <c r="H5" i="52"/>
  <c r="I89" i="52"/>
  <c r="I91" i="52" s="1"/>
  <c r="I92" i="52" s="1"/>
  <c r="AH50" i="52"/>
  <c r="H89" i="52"/>
  <c r="H91" i="52" s="1"/>
  <c r="Z249" i="52" s="1"/>
  <c r="G89" i="52"/>
  <c r="G91" i="52" s="1"/>
  <c r="E5" i="52"/>
  <c r="F89" i="52"/>
  <c r="F91" i="52" s="1"/>
  <c r="X249" i="52" s="1"/>
  <c r="D5" i="52"/>
  <c r="E89" i="52"/>
  <c r="E91" i="52" s="1"/>
  <c r="E92" i="52" s="1"/>
  <c r="D89" i="52"/>
  <c r="D91" i="52" s="1"/>
  <c r="D92" i="52" s="1"/>
  <c r="B5" i="52"/>
  <c r="C89" i="52"/>
  <c r="C91" i="52" s="1"/>
  <c r="C7" i="52" s="1"/>
  <c r="S92" i="52"/>
  <c r="AB92" i="52"/>
  <c r="AT249" i="52"/>
  <c r="J232" i="52"/>
  <c r="K232" i="52" s="1"/>
  <c r="L232" i="52" s="1"/>
  <c r="M232" i="52" s="1"/>
  <c r="N232" i="52" s="1"/>
  <c r="O232" i="52" s="1"/>
  <c r="P232" i="52" s="1"/>
  <c r="AA7" i="52"/>
  <c r="AA92" i="52"/>
  <c r="AS249" i="52"/>
  <c r="AD7" i="52"/>
  <c r="AD92" i="52"/>
  <c r="U7" i="52"/>
  <c r="AH249" i="52"/>
  <c r="X7" i="52"/>
  <c r="Y7" i="52"/>
  <c r="Y92" i="52"/>
  <c r="AC92" i="52"/>
  <c r="R7" i="52"/>
  <c r="AH68" i="52"/>
  <c r="AI72" i="52"/>
  <c r="E235" i="52"/>
  <c r="D246" i="52"/>
  <c r="AH84" i="52"/>
  <c r="AH54" i="52"/>
  <c r="AI84" i="52"/>
  <c r="AI50" i="52"/>
  <c r="AG2" i="52"/>
  <c r="AG6" i="52" s="1"/>
  <c r="C5" i="52"/>
  <c r="K5" i="52"/>
  <c r="AH100" i="52" l="1"/>
  <c r="P92" i="52"/>
  <c r="S7" i="52"/>
  <c r="F229" i="52"/>
  <c r="E110" i="52"/>
  <c r="AP249" i="52"/>
  <c r="G234" i="52"/>
  <c r="E270" i="52"/>
  <c r="AF92" i="52"/>
  <c r="AX249" i="52"/>
  <c r="AE92" i="52"/>
  <c r="AE7" i="52"/>
  <c r="AC7" i="52"/>
  <c r="AR249" i="52"/>
  <c r="Z92" i="52"/>
  <c r="W92" i="52"/>
  <c r="W7" i="52"/>
  <c r="V92" i="52"/>
  <c r="V7" i="52"/>
  <c r="AM249" i="52"/>
  <c r="T92" i="52"/>
  <c r="T7" i="52"/>
  <c r="AJ249" i="52"/>
  <c r="Q92" i="52"/>
  <c r="AI249" i="52"/>
  <c r="AG249" i="52"/>
  <c r="N92" i="52"/>
  <c r="N7" i="52"/>
  <c r="O92" i="52"/>
  <c r="L92" i="52"/>
  <c r="E7" i="52"/>
  <c r="AA249" i="52"/>
  <c r="W249" i="52"/>
  <c r="AB249" i="52"/>
  <c r="J92" i="52"/>
  <c r="M7" i="52"/>
  <c r="AC249" i="52"/>
  <c r="K7" i="52"/>
  <c r="AE249" i="52"/>
  <c r="AD249" i="52"/>
  <c r="B244" i="52"/>
  <c r="H92" i="52"/>
  <c r="H7" i="52"/>
  <c r="I7" i="52"/>
  <c r="G92" i="52"/>
  <c r="G7" i="52"/>
  <c r="Y249" i="52"/>
  <c r="C244" i="52"/>
  <c r="F7" i="52"/>
  <c r="F92" i="52"/>
  <c r="D7" i="52"/>
  <c r="V249" i="52"/>
  <c r="AH89" i="52"/>
  <c r="AI89" i="52"/>
  <c r="U249" i="52"/>
  <c r="C92" i="52"/>
  <c r="B7" i="52"/>
  <c r="AI91" i="52"/>
  <c r="T249" i="52"/>
  <c r="AH91" i="52"/>
  <c r="F270" i="52" l="1"/>
  <c r="H234" i="52"/>
  <c r="F235" i="52"/>
  <c r="G229" i="52"/>
  <c r="F110" i="52"/>
  <c r="K6" i="52"/>
  <c r="A7" i="52"/>
  <c r="AI92" i="52"/>
  <c r="AH92" i="52"/>
  <c r="G235" i="52" l="1"/>
  <c r="G110" i="52"/>
  <c r="H229" i="52"/>
  <c r="G270" i="52"/>
  <c r="I234" i="52"/>
  <c r="H270" i="52" l="1"/>
  <c r="J234" i="52"/>
  <c r="I229" i="52"/>
  <c r="H110" i="52"/>
  <c r="H235" i="52"/>
  <c r="K234" i="52" l="1"/>
  <c r="I270" i="52"/>
  <c r="I110" i="52"/>
  <c r="J229" i="52"/>
  <c r="L234" i="52" l="1"/>
  <c r="J270" i="52"/>
  <c r="K229" i="52"/>
  <c r="J110" i="52"/>
  <c r="K270" i="52" l="1"/>
  <c r="M234" i="52"/>
  <c r="K110" i="52"/>
  <c r="L229" i="52"/>
  <c r="M229" i="52" l="1"/>
  <c r="L110" i="52"/>
  <c r="L270" i="52"/>
  <c r="N234" i="52"/>
  <c r="N229" i="52" l="1"/>
  <c r="M110" i="52"/>
  <c r="M270" i="52"/>
  <c r="O234" i="52"/>
  <c r="N270" i="52" l="1"/>
  <c r="P234" i="52"/>
  <c r="O270" i="52" s="1"/>
  <c r="O229" i="52"/>
  <c r="N110" i="52"/>
  <c r="P229" i="52" l="1"/>
  <c r="O110" i="52"/>
  <c r="T113" i="51"/>
  <c r="AN82" i="51"/>
  <c r="AN81" i="51"/>
  <c r="AN83" i="51" s="1"/>
  <c r="AN84" i="51"/>
  <c r="Q113" i="51"/>
  <c r="AI110" i="52" l="1"/>
  <c r="AH110" i="52"/>
  <c r="AF274" i="51"/>
  <c r="AE274" i="51"/>
  <c r="AD274" i="51"/>
  <c r="AC274" i="51"/>
  <c r="AB274" i="51"/>
  <c r="AA274" i="51"/>
  <c r="Z274" i="51"/>
  <c r="Y274" i="51"/>
  <c r="X274" i="51"/>
  <c r="W274" i="51"/>
  <c r="V274" i="51"/>
  <c r="U274" i="51"/>
  <c r="T274" i="51"/>
  <c r="S274" i="51"/>
  <c r="R274" i="51"/>
  <c r="Q274" i="51"/>
  <c r="P274" i="51"/>
  <c r="O274" i="51"/>
  <c r="N274" i="51"/>
  <c r="M274" i="51"/>
  <c r="L274" i="51"/>
  <c r="K274" i="51"/>
  <c r="J274" i="51"/>
  <c r="I274" i="51"/>
  <c r="H274" i="51"/>
  <c r="G274" i="51"/>
  <c r="F274" i="51"/>
  <c r="E274" i="51"/>
  <c r="D274" i="51"/>
  <c r="C274" i="51"/>
  <c r="B274" i="51"/>
  <c r="A274" i="51"/>
  <c r="AF273" i="51"/>
  <c r="AE273" i="51"/>
  <c r="AD273" i="51"/>
  <c r="AC273" i="51"/>
  <c r="AB273" i="51"/>
  <c r="AA273" i="51"/>
  <c r="Z273" i="51"/>
  <c r="Y273" i="51"/>
  <c r="X273" i="51"/>
  <c r="W273" i="51"/>
  <c r="V273" i="51"/>
  <c r="U273" i="51"/>
  <c r="T273" i="51"/>
  <c r="S273" i="51"/>
  <c r="R273" i="51"/>
  <c r="Q273" i="51"/>
  <c r="P273" i="51"/>
  <c r="O273" i="51"/>
  <c r="N273" i="51"/>
  <c r="M273" i="51"/>
  <c r="L273" i="51"/>
  <c r="K273" i="51"/>
  <c r="J273" i="51"/>
  <c r="I273" i="51"/>
  <c r="H273" i="51"/>
  <c r="G273" i="51"/>
  <c r="F273" i="51"/>
  <c r="E273" i="51"/>
  <c r="D273" i="51"/>
  <c r="C273" i="51"/>
  <c r="B273" i="51"/>
  <c r="A273" i="51"/>
  <c r="AF272" i="51"/>
  <c r="AE272" i="51"/>
  <c r="AD272" i="51"/>
  <c r="AC272" i="51"/>
  <c r="AB272" i="51"/>
  <c r="AA272" i="51"/>
  <c r="Z272" i="51"/>
  <c r="Y272" i="51"/>
  <c r="X272" i="51"/>
  <c r="W272" i="51"/>
  <c r="V272" i="51"/>
  <c r="U272" i="51"/>
  <c r="T272" i="51"/>
  <c r="S272" i="51"/>
  <c r="R272" i="51"/>
  <c r="Q272" i="51"/>
  <c r="P272" i="51"/>
  <c r="O272" i="51"/>
  <c r="N272" i="51"/>
  <c r="M272" i="51"/>
  <c r="L272" i="51"/>
  <c r="K272" i="51"/>
  <c r="J272" i="51"/>
  <c r="I272" i="51"/>
  <c r="H272" i="51"/>
  <c r="G272" i="51"/>
  <c r="F272" i="51"/>
  <c r="E272" i="51"/>
  <c r="D272" i="51"/>
  <c r="C272" i="51"/>
  <c r="B272" i="51"/>
  <c r="A272" i="51"/>
  <c r="AF271" i="51"/>
  <c r="AE271" i="51"/>
  <c r="AD271" i="51"/>
  <c r="AC271" i="51"/>
  <c r="AB271" i="51"/>
  <c r="AA271" i="51"/>
  <c r="Z271" i="51"/>
  <c r="Y271" i="51"/>
  <c r="X271" i="51"/>
  <c r="W271" i="51"/>
  <c r="V271" i="51"/>
  <c r="U271" i="51"/>
  <c r="T271" i="51"/>
  <c r="S271" i="51"/>
  <c r="R271" i="51"/>
  <c r="Q271" i="51"/>
  <c r="P271" i="51"/>
  <c r="O271" i="51"/>
  <c r="N271" i="51"/>
  <c r="M271" i="51"/>
  <c r="L271" i="51"/>
  <c r="K271" i="51"/>
  <c r="J271" i="51"/>
  <c r="I271" i="51"/>
  <c r="H271" i="51"/>
  <c r="G271" i="51"/>
  <c r="F271" i="51"/>
  <c r="E271" i="51"/>
  <c r="D271" i="51"/>
  <c r="C271" i="51"/>
  <c r="B271" i="51"/>
  <c r="A271" i="51"/>
  <c r="AE270" i="51"/>
  <c r="AD270" i="51"/>
  <c r="AC270" i="51"/>
  <c r="AB270" i="51"/>
  <c r="AA270" i="51"/>
  <c r="Z270" i="51"/>
  <c r="Y270" i="51"/>
  <c r="X270" i="51"/>
  <c r="W270" i="51"/>
  <c r="V270" i="51"/>
  <c r="U270" i="51"/>
  <c r="T270" i="51"/>
  <c r="S270" i="51"/>
  <c r="R270" i="51"/>
  <c r="Q270" i="51"/>
  <c r="P270" i="51"/>
  <c r="B270" i="51"/>
  <c r="S245" i="51"/>
  <c r="AG235" i="51"/>
  <c r="AF235" i="51"/>
  <c r="AE235" i="51"/>
  <c r="AD235" i="51"/>
  <c r="AC235" i="51"/>
  <c r="AB235" i="51"/>
  <c r="AA235" i="51"/>
  <c r="Z235" i="51"/>
  <c r="Y235" i="51"/>
  <c r="X235" i="51"/>
  <c r="W235" i="51"/>
  <c r="V235" i="51"/>
  <c r="U235" i="51"/>
  <c r="T235" i="51"/>
  <c r="S235" i="51"/>
  <c r="R235" i="51"/>
  <c r="Q235" i="51"/>
  <c r="C235" i="51"/>
  <c r="D234" i="51"/>
  <c r="E234" i="51" s="1"/>
  <c r="D270" i="51" s="1"/>
  <c r="B234" i="51"/>
  <c r="AF270" i="51" s="1"/>
  <c r="E233" i="51"/>
  <c r="F233" i="51" s="1"/>
  <c r="G233" i="51" s="1"/>
  <c r="H233" i="51" s="1"/>
  <c r="I233" i="51" s="1"/>
  <c r="J233" i="51" s="1"/>
  <c r="K233" i="51" s="1"/>
  <c r="L233" i="51" s="1"/>
  <c r="M233" i="51" s="1"/>
  <c r="N233" i="51" s="1"/>
  <c r="O233" i="51" s="1"/>
  <c r="P233" i="51" s="1"/>
  <c r="D233" i="51"/>
  <c r="B233" i="51"/>
  <c r="D232" i="51"/>
  <c r="E232" i="51" s="1"/>
  <c r="F232" i="51" s="1"/>
  <c r="G232" i="51" s="1"/>
  <c r="H232" i="51" s="1"/>
  <c r="I232" i="51" s="1"/>
  <c r="B232" i="51"/>
  <c r="E231" i="51"/>
  <c r="F231" i="51" s="1"/>
  <c r="G231" i="51" s="1"/>
  <c r="H231" i="51" s="1"/>
  <c r="D231" i="51"/>
  <c r="B231" i="51"/>
  <c r="E230" i="51"/>
  <c r="F230" i="51" s="1"/>
  <c r="G230" i="51" s="1"/>
  <c r="H230" i="51" s="1"/>
  <c r="I230" i="51" s="1"/>
  <c r="J230" i="51" s="1"/>
  <c r="K230" i="51" s="1"/>
  <c r="L230" i="51" s="1"/>
  <c r="M230" i="51" s="1"/>
  <c r="N230" i="51" s="1"/>
  <c r="O230" i="51" s="1"/>
  <c r="P230" i="51" s="1"/>
  <c r="D230" i="51"/>
  <c r="B230" i="51"/>
  <c r="B235" i="51" s="1"/>
  <c r="D229" i="51"/>
  <c r="E229" i="51" s="1"/>
  <c r="B229" i="51"/>
  <c r="AG227" i="51"/>
  <c r="AF227" i="51"/>
  <c r="AE227" i="51"/>
  <c r="AD227" i="51"/>
  <c r="AC227" i="51"/>
  <c r="AB227" i="51"/>
  <c r="AA227" i="51"/>
  <c r="Z227" i="51"/>
  <c r="Y227" i="51"/>
  <c r="X227" i="51"/>
  <c r="W227" i="51"/>
  <c r="V227" i="51"/>
  <c r="U227" i="51"/>
  <c r="T227" i="51"/>
  <c r="S227" i="51"/>
  <c r="R227" i="51"/>
  <c r="Q227" i="51"/>
  <c r="P227" i="51"/>
  <c r="O227" i="51"/>
  <c r="N227" i="51"/>
  <c r="M227" i="51"/>
  <c r="L227" i="51"/>
  <c r="K227" i="51"/>
  <c r="J227" i="51"/>
  <c r="I227" i="51"/>
  <c r="H227" i="51"/>
  <c r="G227" i="51"/>
  <c r="F227" i="51"/>
  <c r="E227" i="51"/>
  <c r="D227" i="51"/>
  <c r="C227" i="51"/>
  <c r="B227" i="51"/>
  <c r="AI120" i="51"/>
  <c r="AH120" i="51"/>
  <c r="AI119" i="51"/>
  <c r="AH119" i="51"/>
  <c r="AI118" i="51"/>
  <c r="AH118" i="51"/>
  <c r="AI117" i="51"/>
  <c r="AH117" i="51"/>
  <c r="AI116" i="51"/>
  <c r="AH116" i="51"/>
  <c r="AI115" i="51"/>
  <c r="AH115" i="51"/>
  <c r="AI114" i="51"/>
  <c r="AH114" i="51"/>
  <c r="AI113" i="51"/>
  <c r="AH113" i="51"/>
  <c r="AI112" i="51"/>
  <c r="AH112" i="51"/>
  <c r="AI111" i="51"/>
  <c r="AH111" i="51"/>
  <c r="AF110" i="51"/>
  <c r="AE110" i="51"/>
  <c r="AC110" i="51"/>
  <c r="AB110" i="51"/>
  <c r="AA110" i="51"/>
  <c r="Z110" i="51"/>
  <c r="Y110" i="51"/>
  <c r="X110" i="51"/>
  <c r="W110" i="51"/>
  <c r="V110" i="51"/>
  <c r="U110" i="51"/>
  <c r="T110" i="51"/>
  <c r="S110" i="51"/>
  <c r="R110" i="51"/>
  <c r="Q110" i="51"/>
  <c r="D110" i="51"/>
  <c r="C110" i="51"/>
  <c r="B110" i="51"/>
  <c r="AI109" i="51"/>
  <c r="AH109" i="51"/>
  <c r="AI108" i="51"/>
  <c r="AH108" i="51"/>
  <c r="AI107" i="51"/>
  <c r="AH107" i="51"/>
  <c r="AI106" i="51"/>
  <c r="AH106" i="51"/>
  <c r="AI105" i="51"/>
  <c r="AH105" i="51"/>
  <c r="AI104" i="51"/>
  <c r="AH104" i="51"/>
  <c r="AI103" i="51"/>
  <c r="AH103" i="51"/>
  <c r="AI102" i="51"/>
  <c r="AH102" i="51"/>
  <c r="AI101" i="51"/>
  <c r="AH101" i="51"/>
  <c r="AI99" i="51"/>
  <c r="AH99" i="51"/>
  <c r="AI98" i="51"/>
  <c r="AH98" i="51"/>
  <c r="AI97" i="51"/>
  <c r="AH97" i="51"/>
  <c r="AI96" i="51"/>
  <c r="AH96" i="51"/>
  <c r="AI95" i="51"/>
  <c r="AH95" i="51"/>
  <c r="AI94" i="51"/>
  <c r="AH94" i="51"/>
  <c r="AI93" i="51"/>
  <c r="AH93" i="51"/>
  <c r="AI90" i="51"/>
  <c r="AH90" i="51"/>
  <c r="AI88" i="51"/>
  <c r="AH88" i="51"/>
  <c r="AG88" i="51"/>
  <c r="AI87" i="51"/>
  <c r="AH87" i="51"/>
  <c r="AI86" i="51"/>
  <c r="AH86" i="51"/>
  <c r="AI85" i="51"/>
  <c r="AH85" i="51"/>
  <c r="AG84" i="51"/>
  <c r="AF84" i="51"/>
  <c r="AF100" i="51" s="1"/>
  <c r="AE84" i="51"/>
  <c r="AE100" i="51" s="1"/>
  <c r="AD84" i="51"/>
  <c r="AD100" i="51" s="1"/>
  <c r="AC84" i="51"/>
  <c r="AC100" i="51" s="1"/>
  <c r="AB84" i="51"/>
  <c r="AB100" i="51" s="1"/>
  <c r="AA84" i="51"/>
  <c r="AA100" i="51" s="1"/>
  <c r="Z84" i="51"/>
  <c r="Z100" i="51" s="1"/>
  <c r="Y84" i="51"/>
  <c r="Y100" i="51" s="1"/>
  <c r="X84" i="51"/>
  <c r="X100" i="51" s="1"/>
  <c r="W84" i="51"/>
  <c r="W100" i="51" s="1"/>
  <c r="V84" i="51"/>
  <c r="V100" i="51" s="1"/>
  <c r="U84" i="51"/>
  <c r="U100" i="51" s="1"/>
  <c r="T84" i="51"/>
  <c r="T100" i="51" s="1"/>
  <c r="S84" i="51"/>
  <c r="S100" i="51" s="1"/>
  <c r="R84" i="51"/>
  <c r="R100" i="51" s="1"/>
  <c r="Q84" i="51"/>
  <c r="Q100" i="51" s="1"/>
  <c r="P84" i="51"/>
  <c r="P100" i="51" s="1"/>
  <c r="O84" i="51"/>
  <c r="O100" i="51" s="1"/>
  <c r="N84" i="51"/>
  <c r="N100" i="51" s="1"/>
  <c r="M84" i="51"/>
  <c r="M100" i="51" s="1"/>
  <c r="L84" i="51"/>
  <c r="L100" i="51" s="1"/>
  <c r="K84" i="51"/>
  <c r="K100" i="51" s="1"/>
  <c r="J84" i="51"/>
  <c r="J100" i="51" s="1"/>
  <c r="I84" i="51"/>
  <c r="I100" i="51" s="1"/>
  <c r="H84" i="51"/>
  <c r="H100" i="51" s="1"/>
  <c r="G84" i="51"/>
  <c r="G100" i="51" s="1"/>
  <c r="F84" i="51"/>
  <c r="F100" i="51" s="1"/>
  <c r="E84" i="51"/>
  <c r="E100" i="51" s="1"/>
  <c r="D84" i="51"/>
  <c r="D100" i="51" s="1"/>
  <c r="C84" i="51"/>
  <c r="C100" i="51" s="1"/>
  <c r="B84" i="51"/>
  <c r="B100" i="51" s="1"/>
  <c r="AI83" i="51"/>
  <c r="AH83" i="51"/>
  <c r="AI82" i="51"/>
  <c r="AH82" i="51"/>
  <c r="AI81" i="51"/>
  <c r="AH81" i="51"/>
  <c r="AI80" i="51"/>
  <c r="AH80" i="51"/>
  <c r="AI79" i="51"/>
  <c r="AH79" i="51"/>
  <c r="AI78" i="51"/>
  <c r="AH78" i="51"/>
  <c r="AI77" i="51"/>
  <c r="AH77" i="51"/>
  <c r="AI76" i="51"/>
  <c r="AH76" i="51"/>
  <c r="AI75" i="51"/>
  <c r="AH75" i="51"/>
  <c r="AI74" i="51"/>
  <c r="AH74" i="51"/>
  <c r="AI73" i="51"/>
  <c r="AH73" i="51"/>
  <c r="AG72" i="51"/>
  <c r="AG4" i="51" s="1"/>
  <c r="AF72" i="51"/>
  <c r="AE72" i="51"/>
  <c r="AD72" i="51"/>
  <c r="AC72" i="51"/>
  <c r="AB72" i="51"/>
  <c r="AA72" i="51"/>
  <c r="Z72" i="51"/>
  <c r="Y72" i="51"/>
  <c r="X72" i="51"/>
  <c r="W72" i="51"/>
  <c r="V72" i="51"/>
  <c r="U72" i="51"/>
  <c r="T72" i="51"/>
  <c r="S72" i="51"/>
  <c r="R72" i="51"/>
  <c r="Q72" i="51"/>
  <c r="P72" i="51"/>
  <c r="O72" i="51"/>
  <c r="N72" i="51"/>
  <c r="M72" i="51"/>
  <c r="L72" i="51"/>
  <c r="B72" i="51"/>
  <c r="AI71" i="51"/>
  <c r="AH71" i="51"/>
  <c r="AI70" i="51"/>
  <c r="AH70" i="51"/>
  <c r="AI69" i="51"/>
  <c r="AH69" i="51"/>
  <c r="AF68" i="51"/>
  <c r="AE68" i="51"/>
  <c r="AD68" i="51"/>
  <c r="AC68" i="51"/>
  <c r="AB68" i="51"/>
  <c r="AA68" i="51"/>
  <c r="Z68" i="51"/>
  <c r="Y68" i="51"/>
  <c r="X68" i="51"/>
  <c r="W68" i="51"/>
  <c r="V68" i="51"/>
  <c r="U68" i="51"/>
  <c r="T68" i="51"/>
  <c r="S68" i="51"/>
  <c r="R68" i="51"/>
  <c r="Q68" i="51"/>
  <c r="P68" i="51"/>
  <c r="O68" i="51"/>
  <c r="N68" i="51"/>
  <c r="M68" i="51"/>
  <c r="L68" i="51"/>
  <c r="K68" i="51"/>
  <c r="J68" i="51"/>
  <c r="I68" i="51"/>
  <c r="H68" i="51"/>
  <c r="G68" i="51"/>
  <c r="F68" i="51"/>
  <c r="E68" i="51"/>
  <c r="D68" i="51"/>
  <c r="C68" i="51"/>
  <c r="B68" i="51"/>
  <c r="AI67" i="51"/>
  <c r="AH67" i="51"/>
  <c r="AG67" i="51"/>
  <c r="AG68" i="51" s="1"/>
  <c r="AG3" i="51" s="1"/>
  <c r="AI66" i="51"/>
  <c r="AH66" i="51"/>
  <c r="AI65" i="51"/>
  <c r="AH65" i="51"/>
  <c r="AI64" i="51"/>
  <c r="AH64" i="51"/>
  <c r="AI63" i="51"/>
  <c r="AH63" i="51"/>
  <c r="AI62" i="51"/>
  <c r="AH62" i="51"/>
  <c r="AI61" i="51"/>
  <c r="AH61" i="51"/>
  <c r="AI60" i="51"/>
  <c r="AH60" i="51"/>
  <c r="AI59" i="51"/>
  <c r="AH59" i="51"/>
  <c r="AI58" i="51"/>
  <c r="AH58" i="51"/>
  <c r="AI57" i="51"/>
  <c r="AH57" i="51"/>
  <c r="AI56" i="51"/>
  <c r="AH56" i="51"/>
  <c r="AI55" i="51"/>
  <c r="AH55" i="51"/>
  <c r="AG54" i="51"/>
  <c r="AF54" i="51"/>
  <c r="AE54" i="51"/>
  <c r="AD54" i="51"/>
  <c r="AC54" i="51"/>
  <c r="AB54" i="51"/>
  <c r="AA54" i="51"/>
  <c r="Z54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AI53" i="51"/>
  <c r="AH53" i="51"/>
  <c r="AI52" i="51"/>
  <c r="AH52" i="51"/>
  <c r="AI51" i="51"/>
  <c r="AH51" i="51"/>
  <c r="AG50" i="51"/>
  <c r="AF50" i="51"/>
  <c r="AE50" i="51"/>
  <c r="AD50" i="51"/>
  <c r="AC50" i="51"/>
  <c r="AB50" i="51"/>
  <c r="AA50" i="51"/>
  <c r="Z50" i="51"/>
  <c r="Y50" i="51"/>
  <c r="X50" i="51"/>
  <c r="W50" i="51"/>
  <c r="V50" i="51"/>
  <c r="U50" i="51"/>
  <c r="T50" i="51"/>
  <c r="S50" i="51"/>
  <c r="R50" i="51"/>
  <c r="Q50" i="51"/>
  <c r="P50" i="51"/>
  <c r="O50" i="51"/>
  <c r="N50" i="51"/>
  <c r="M50" i="51"/>
  <c r="L50" i="51"/>
  <c r="K50" i="51"/>
  <c r="J50" i="51"/>
  <c r="I50" i="51"/>
  <c r="H50" i="51"/>
  <c r="G50" i="51"/>
  <c r="F50" i="51"/>
  <c r="E50" i="51"/>
  <c r="D50" i="51"/>
  <c r="C50" i="51"/>
  <c r="B50" i="51"/>
  <c r="AI49" i="51"/>
  <c r="AH49" i="51"/>
  <c r="AI48" i="51"/>
  <c r="AH48" i="51"/>
  <c r="AI47" i="51"/>
  <c r="AH47" i="51"/>
  <c r="AI46" i="51"/>
  <c r="AH46" i="51"/>
  <c r="AI45" i="51"/>
  <c r="AH45" i="51"/>
  <c r="AI44" i="51"/>
  <c r="AH44" i="51"/>
  <c r="AI43" i="51"/>
  <c r="AH43" i="51"/>
  <c r="AI42" i="51"/>
  <c r="AH42" i="51"/>
  <c r="AI41" i="51"/>
  <c r="AH41" i="51"/>
  <c r="AI40" i="51"/>
  <c r="AH40" i="51"/>
  <c r="AI39" i="51"/>
  <c r="AH39" i="51"/>
  <c r="AI38" i="51"/>
  <c r="AH38" i="51"/>
  <c r="AI37" i="51"/>
  <c r="AH37" i="51"/>
  <c r="AI36" i="51"/>
  <c r="AH36" i="51"/>
  <c r="AI35" i="51"/>
  <c r="AH35" i="51"/>
  <c r="AI34" i="51"/>
  <c r="AH34" i="51"/>
  <c r="AI33" i="51"/>
  <c r="AH33" i="51"/>
  <c r="AI32" i="51"/>
  <c r="AH32" i="51"/>
  <c r="AI31" i="51"/>
  <c r="AH31" i="51"/>
  <c r="AI30" i="51"/>
  <c r="AH30" i="51"/>
  <c r="AI29" i="51"/>
  <c r="AH29" i="51"/>
  <c r="AI28" i="51"/>
  <c r="AH28" i="51"/>
  <c r="AI27" i="51"/>
  <c r="AH27" i="51"/>
  <c r="AI26" i="51"/>
  <c r="AH26" i="51"/>
  <c r="AI25" i="51"/>
  <c r="AH25" i="51"/>
  <c r="AI24" i="51"/>
  <c r="AH24" i="51"/>
  <c r="AI23" i="51"/>
  <c r="AH23" i="51"/>
  <c r="AI22" i="51"/>
  <c r="AH22" i="51"/>
  <c r="AI21" i="51"/>
  <c r="AH21" i="51"/>
  <c r="AI20" i="51"/>
  <c r="AH20" i="51"/>
  <c r="AI19" i="51"/>
  <c r="AH19" i="51"/>
  <c r="AI18" i="51"/>
  <c r="AH18" i="51"/>
  <c r="AI17" i="51"/>
  <c r="AH17" i="51"/>
  <c r="AI16" i="51"/>
  <c r="AH16" i="51"/>
  <c r="AI15" i="51"/>
  <c r="AH15" i="51"/>
  <c r="AI14" i="51"/>
  <c r="AH14" i="51"/>
  <c r="AI13" i="51"/>
  <c r="AH13" i="51"/>
  <c r="AI12" i="51"/>
  <c r="AH12" i="51"/>
  <c r="AI11" i="51"/>
  <c r="AH11" i="51"/>
  <c r="U5" i="51"/>
  <c r="P5" i="51"/>
  <c r="K4" i="51"/>
  <c r="E4" i="51"/>
  <c r="H4" i="51" s="1"/>
  <c r="B4" i="51"/>
  <c r="S246" i="51" s="1"/>
  <c r="AG2" i="51"/>
  <c r="Z113" i="50"/>
  <c r="Y113" i="50"/>
  <c r="X113" i="50"/>
  <c r="W113" i="50"/>
  <c r="T113" i="50"/>
  <c r="S113" i="50"/>
  <c r="R113" i="50"/>
  <c r="R50" i="50"/>
  <c r="R54" i="50"/>
  <c r="Q113" i="50"/>
  <c r="E235" i="51" l="1"/>
  <c r="E110" i="51"/>
  <c r="F229" i="51"/>
  <c r="G229" i="51" s="1"/>
  <c r="AG6" i="51"/>
  <c r="AG91" i="51"/>
  <c r="D235" i="51"/>
  <c r="C270" i="51"/>
  <c r="P89" i="51"/>
  <c r="P91" i="51" s="1"/>
  <c r="P7" i="51" s="1"/>
  <c r="AG89" i="51"/>
  <c r="AE5" i="51"/>
  <c r="AF89" i="51"/>
  <c r="AF91" i="51" s="1"/>
  <c r="AX249" i="51" s="1"/>
  <c r="AD5" i="51"/>
  <c r="AE89" i="51"/>
  <c r="AE91" i="51" s="1"/>
  <c r="AE7" i="51" s="1"/>
  <c r="AC5" i="51"/>
  <c r="AD89" i="51"/>
  <c r="AD91" i="51" s="1"/>
  <c r="AD92" i="51" s="1"/>
  <c r="AB5" i="51"/>
  <c r="AC89" i="51"/>
  <c r="AC91" i="51" s="1"/>
  <c r="AA5" i="51"/>
  <c r="AB89" i="51"/>
  <c r="AB91" i="51" s="1"/>
  <c r="AT249" i="51" s="1"/>
  <c r="Z5" i="51"/>
  <c r="AA89" i="51"/>
  <c r="AA91" i="51" s="1"/>
  <c r="AA7" i="51" s="1"/>
  <c r="Y5" i="51"/>
  <c r="Z89" i="51"/>
  <c r="Z91" i="51" s="1"/>
  <c r="Z92" i="51" s="1"/>
  <c r="X5" i="51"/>
  <c r="Y89" i="51"/>
  <c r="Y91" i="51" s="1"/>
  <c r="Y7" i="51" s="1"/>
  <c r="W5" i="51"/>
  <c r="X89" i="51"/>
  <c r="X91" i="51" s="1"/>
  <c r="X92" i="51" s="1"/>
  <c r="V5" i="51"/>
  <c r="W89" i="51"/>
  <c r="W91" i="51" s="1"/>
  <c r="W92" i="51" s="1"/>
  <c r="V89" i="51"/>
  <c r="V91" i="51" s="1"/>
  <c r="T5" i="51"/>
  <c r="U89" i="51"/>
  <c r="U91" i="51" s="1"/>
  <c r="U92" i="51" s="1"/>
  <c r="S5" i="51"/>
  <c r="T89" i="51"/>
  <c r="T91" i="51" s="1"/>
  <c r="R5" i="51"/>
  <c r="S89" i="51"/>
  <c r="S91" i="51" s="1"/>
  <c r="AK249" i="51" s="1"/>
  <c r="Q5" i="51"/>
  <c r="R89" i="51"/>
  <c r="R91" i="51" s="1"/>
  <c r="Q89" i="51"/>
  <c r="Q91" i="51" s="1"/>
  <c r="O5" i="51"/>
  <c r="N5" i="51"/>
  <c r="O89" i="51"/>
  <c r="O91" i="51" s="1"/>
  <c r="M5" i="51"/>
  <c r="AI72" i="51"/>
  <c r="N89" i="51"/>
  <c r="N91" i="51" s="1"/>
  <c r="AF249" i="51" s="1"/>
  <c r="L5" i="51"/>
  <c r="M89" i="51"/>
  <c r="M91" i="51" s="1"/>
  <c r="M7" i="51" s="1"/>
  <c r="L89" i="51"/>
  <c r="L91" i="51" s="1"/>
  <c r="L92" i="51" s="1"/>
  <c r="K5" i="51"/>
  <c r="J5" i="51"/>
  <c r="K89" i="51"/>
  <c r="K91" i="51" s="1"/>
  <c r="K7" i="51" s="1"/>
  <c r="I5" i="51"/>
  <c r="J89" i="51"/>
  <c r="J91" i="51" s="1"/>
  <c r="J92" i="51" s="1"/>
  <c r="H5" i="51"/>
  <c r="I89" i="51"/>
  <c r="I91" i="51" s="1"/>
  <c r="I7" i="51" s="1"/>
  <c r="G5" i="51"/>
  <c r="H89" i="51"/>
  <c r="H91" i="51" s="1"/>
  <c r="H92" i="51" s="1"/>
  <c r="F5" i="51"/>
  <c r="G89" i="51"/>
  <c r="G91" i="51" s="1"/>
  <c r="E5" i="51"/>
  <c r="F89" i="51"/>
  <c r="F91" i="51" s="1"/>
  <c r="F7" i="51" s="1"/>
  <c r="D5" i="51"/>
  <c r="E89" i="51"/>
  <c r="E91" i="51" s="1"/>
  <c r="E92" i="51" s="1"/>
  <c r="D89" i="51"/>
  <c r="D91" i="51" s="1"/>
  <c r="D7" i="51" s="1"/>
  <c r="C5" i="51"/>
  <c r="B5" i="51"/>
  <c r="AI68" i="51"/>
  <c r="AI54" i="51"/>
  <c r="C89" i="51"/>
  <c r="C91" i="51" s="1"/>
  <c r="C7" i="51" s="1"/>
  <c r="AF5" i="51"/>
  <c r="AH72" i="51"/>
  <c r="B89" i="51"/>
  <c r="AB92" i="51"/>
  <c r="AB7" i="51"/>
  <c r="AM249" i="51"/>
  <c r="AC92" i="51"/>
  <c r="AU249" i="51"/>
  <c r="AC7" i="51"/>
  <c r="AN249" i="51"/>
  <c r="V7" i="51"/>
  <c r="V92" i="51"/>
  <c r="AV249" i="51"/>
  <c r="AD7" i="51"/>
  <c r="H229" i="51"/>
  <c r="J232" i="51"/>
  <c r="K232" i="51" s="1"/>
  <c r="L232" i="51" s="1"/>
  <c r="M232" i="51" s="1"/>
  <c r="N232" i="51" s="1"/>
  <c r="O232" i="51" s="1"/>
  <c r="P232" i="51" s="1"/>
  <c r="T92" i="51"/>
  <c r="AL249" i="51"/>
  <c r="T7" i="51"/>
  <c r="G92" i="51"/>
  <c r="AG249" i="51"/>
  <c r="O7" i="51"/>
  <c r="O92" i="51"/>
  <c r="AW249" i="51"/>
  <c r="D92" i="51"/>
  <c r="AH249" i="51"/>
  <c r="X7" i="51"/>
  <c r="AP249" i="51"/>
  <c r="AF7" i="51"/>
  <c r="AF92" i="51"/>
  <c r="AI100" i="51"/>
  <c r="AH100" i="51"/>
  <c r="AD249" i="51"/>
  <c r="Q7" i="51"/>
  <c r="Q92" i="51"/>
  <c r="AI249" i="51"/>
  <c r="AQ249" i="51"/>
  <c r="J7" i="51"/>
  <c r="R7" i="51"/>
  <c r="R92" i="51"/>
  <c r="AJ249" i="51"/>
  <c r="Z7" i="51"/>
  <c r="AR249" i="51"/>
  <c r="S7" i="51"/>
  <c r="S92" i="51"/>
  <c r="AA92" i="51"/>
  <c r="AS249" i="51"/>
  <c r="AH68" i="51"/>
  <c r="D246" i="51"/>
  <c r="F235" i="51"/>
  <c r="AH84" i="51"/>
  <c r="F234" i="51"/>
  <c r="AH50" i="51"/>
  <c r="AH54" i="51"/>
  <c r="AI84" i="51"/>
  <c r="AI50" i="51"/>
  <c r="AE92" i="51" l="1"/>
  <c r="L7" i="51"/>
  <c r="U7" i="51"/>
  <c r="W7" i="51"/>
  <c r="N92" i="51"/>
  <c r="Y92" i="51"/>
  <c r="P92" i="51"/>
  <c r="N7" i="51"/>
  <c r="V249" i="51"/>
  <c r="AO249" i="51"/>
  <c r="C244" i="51"/>
  <c r="AE249" i="51"/>
  <c r="M92" i="51"/>
  <c r="AC249" i="51"/>
  <c r="K92" i="51"/>
  <c r="AB249" i="51"/>
  <c r="H7" i="51"/>
  <c r="I92" i="51"/>
  <c r="AA249" i="51"/>
  <c r="Z249" i="51"/>
  <c r="Y249" i="51"/>
  <c r="G7" i="51"/>
  <c r="B244" i="51"/>
  <c r="K6" i="51" s="1"/>
  <c r="X249" i="51"/>
  <c r="F92" i="51"/>
  <c r="W249" i="51"/>
  <c r="E7" i="51"/>
  <c r="AH89" i="51"/>
  <c r="C92" i="51"/>
  <c r="U249" i="51"/>
  <c r="AI89" i="51"/>
  <c r="B91" i="51"/>
  <c r="AI91" i="51" s="1"/>
  <c r="I229" i="51"/>
  <c r="E270" i="51"/>
  <c r="G234" i="51"/>
  <c r="F110" i="51"/>
  <c r="AH91" i="51" l="1"/>
  <c r="B92" i="51"/>
  <c r="B7" i="51"/>
  <c r="A7" i="51" s="1"/>
  <c r="T249" i="51"/>
  <c r="AI92" i="51"/>
  <c r="AH92" i="51"/>
  <c r="F270" i="51"/>
  <c r="H234" i="51"/>
  <c r="G235" i="51"/>
  <c r="G110" i="51"/>
  <c r="J229" i="51"/>
  <c r="G270" i="51" l="1"/>
  <c r="I234" i="51"/>
  <c r="H110" i="51"/>
  <c r="H235" i="51"/>
  <c r="K229" i="51"/>
  <c r="H270" i="51" l="1"/>
  <c r="J234" i="51"/>
  <c r="I110" i="51"/>
  <c r="L229" i="51"/>
  <c r="M229" i="51" l="1"/>
  <c r="K234" i="51"/>
  <c r="I270" i="51"/>
  <c r="J110" i="51"/>
  <c r="L113" i="50"/>
  <c r="K113" i="50"/>
  <c r="J113" i="50"/>
  <c r="I113" i="50"/>
  <c r="AI113" i="50" s="1"/>
  <c r="H113" i="50"/>
  <c r="G113" i="50"/>
  <c r="F113" i="50"/>
  <c r="E113" i="50"/>
  <c r="AF274" i="50"/>
  <c r="AE274" i="50"/>
  <c r="AD274" i="50"/>
  <c r="AC274" i="50"/>
  <c r="AB274" i="50"/>
  <c r="AA274" i="50"/>
  <c r="Z274" i="50"/>
  <c r="Y274" i="50"/>
  <c r="X274" i="50"/>
  <c r="W274" i="50"/>
  <c r="V274" i="50"/>
  <c r="U274" i="50"/>
  <c r="T274" i="50"/>
  <c r="S274" i="50"/>
  <c r="R274" i="50"/>
  <c r="Q274" i="50"/>
  <c r="P274" i="50"/>
  <c r="O274" i="50"/>
  <c r="N274" i="50"/>
  <c r="M274" i="50"/>
  <c r="L274" i="50"/>
  <c r="K274" i="50"/>
  <c r="J274" i="50"/>
  <c r="I274" i="50"/>
  <c r="H274" i="50"/>
  <c r="G274" i="50"/>
  <c r="F274" i="50"/>
  <c r="E274" i="50"/>
  <c r="D274" i="50"/>
  <c r="C274" i="50"/>
  <c r="B274" i="50"/>
  <c r="A274" i="50"/>
  <c r="AF273" i="50"/>
  <c r="AE273" i="50"/>
  <c r="AD273" i="50"/>
  <c r="AC273" i="50"/>
  <c r="AB273" i="50"/>
  <c r="AA273" i="50"/>
  <c r="Z273" i="50"/>
  <c r="Y273" i="50"/>
  <c r="X273" i="50"/>
  <c r="W273" i="50"/>
  <c r="V273" i="50"/>
  <c r="U273" i="50"/>
  <c r="T273" i="50"/>
  <c r="S273" i="50"/>
  <c r="R273" i="50"/>
  <c r="Q273" i="50"/>
  <c r="P273" i="50"/>
  <c r="O273" i="50"/>
  <c r="N273" i="50"/>
  <c r="M273" i="50"/>
  <c r="L273" i="50"/>
  <c r="K273" i="50"/>
  <c r="J273" i="50"/>
  <c r="I273" i="50"/>
  <c r="H273" i="50"/>
  <c r="G273" i="50"/>
  <c r="F273" i="50"/>
  <c r="E273" i="50"/>
  <c r="D273" i="50"/>
  <c r="C273" i="50"/>
  <c r="B273" i="50"/>
  <c r="A273" i="50"/>
  <c r="AF272" i="50"/>
  <c r="AE272" i="50"/>
  <c r="AD272" i="50"/>
  <c r="AC272" i="50"/>
  <c r="AB272" i="50"/>
  <c r="AA272" i="50"/>
  <c r="Z272" i="50"/>
  <c r="Y272" i="50"/>
  <c r="X272" i="50"/>
  <c r="W272" i="50"/>
  <c r="V272" i="50"/>
  <c r="U272" i="50"/>
  <c r="T272" i="50"/>
  <c r="S272" i="50"/>
  <c r="R272" i="50"/>
  <c r="Q272" i="50"/>
  <c r="P272" i="50"/>
  <c r="O272" i="50"/>
  <c r="N272" i="50"/>
  <c r="M272" i="50"/>
  <c r="L272" i="50"/>
  <c r="K272" i="50"/>
  <c r="J272" i="50"/>
  <c r="I272" i="50"/>
  <c r="H272" i="50"/>
  <c r="G272" i="50"/>
  <c r="F272" i="50"/>
  <c r="E272" i="50"/>
  <c r="D272" i="50"/>
  <c r="C272" i="50"/>
  <c r="B272" i="50"/>
  <c r="A272" i="50"/>
  <c r="AF271" i="50"/>
  <c r="AE271" i="50"/>
  <c r="AD271" i="50"/>
  <c r="AC271" i="50"/>
  <c r="AB271" i="50"/>
  <c r="AA271" i="50"/>
  <c r="Z271" i="50"/>
  <c r="Y271" i="50"/>
  <c r="X271" i="50"/>
  <c r="W271" i="50"/>
  <c r="V271" i="50"/>
  <c r="U271" i="50"/>
  <c r="T271" i="50"/>
  <c r="S271" i="50"/>
  <c r="R271" i="50"/>
  <c r="Q271" i="50"/>
  <c r="P271" i="50"/>
  <c r="O271" i="50"/>
  <c r="N271" i="50"/>
  <c r="M271" i="50"/>
  <c r="L271" i="50"/>
  <c r="K271" i="50"/>
  <c r="J271" i="50"/>
  <c r="I271" i="50"/>
  <c r="H271" i="50"/>
  <c r="G271" i="50"/>
  <c r="F271" i="50"/>
  <c r="E271" i="50"/>
  <c r="D271" i="50"/>
  <c r="C271" i="50"/>
  <c r="B271" i="50"/>
  <c r="A271" i="50"/>
  <c r="AE270" i="50"/>
  <c r="AD270" i="50"/>
  <c r="AC270" i="50"/>
  <c r="AB270" i="50"/>
  <c r="AA270" i="50"/>
  <c r="Z270" i="50"/>
  <c r="Y270" i="50"/>
  <c r="X270" i="50"/>
  <c r="W270" i="50"/>
  <c r="V270" i="50"/>
  <c r="U270" i="50"/>
  <c r="T270" i="50"/>
  <c r="S270" i="50"/>
  <c r="R270" i="50"/>
  <c r="Q270" i="50"/>
  <c r="P270" i="50"/>
  <c r="B270" i="50"/>
  <c r="AS249" i="50"/>
  <c r="S245" i="50"/>
  <c r="AG235" i="50"/>
  <c r="AG67" i="50" s="1"/>
  <c r="AG68" i="50" s="1"/>
  <c r="AG3" i="50" s="1"/>
  <c r="AG6" i="50" s="1"/>
  <c r="AF235" i="50"/>
  <c r="AE235" i="50"/>
  <c r="AD235" i="50"/>
  <c r="AC235" i="50"/>
  <c r="AB235" i="50"/>
  <c r="AA235" i="50"/>
  <c r="Z235" i="50"/>
  <c r="Y235" i="50"/>
  <c r="X235" i="50"/>
  <c r="W235" i="50"/>
  <c r="V235" i="50"/>
  <c r="U235" i="50"/>
  <c r="T235" i="50"/>
  <c r="S235" i="50"/>
  <c r="R235" i="50"/>
  <c r="Q235" i="50"/>
  <c r="C235" i="50"/>
  <c r="D234" i="50"/>
  <c r="C270" i="50" s="1"/>
  <c r="B234" i="50"/>
  <c r="AF270" i="50" s="1"/>
  <c r="D233" i="50"/>
  <c r="E233" i="50" s="1"/>
  <c r="F233" i="50" s="1"/>
  <c r="G233" i="50" s="1"/>
  <c r="H233" i="50" s="1"/>
  <c r="I233" i="50" s="1"/>
  <c r="J233" i="50" s="1"/>
  <c r="K233" i="50" s="1"/>
  <c r="L233" i="50" s="1"/>
  <c r="M233" i="50" s="1"/>
  <c r="N233" i="50" s="1"/>
  <c r="O233" i="50" s="1"/>
  <c r="P233" i="50" s="1"/>
  <c r="B233" i="50"/>
  <c r="K232" i="50"/>
  <c r="L232" i="50" s="1"/>
  <c r="M232" i="50" s="1"/>
  <c r="N232" i="50" s="1"/>
  <c r="O232" i="50" s="1"/>
  <c r="P232" i="50" s="1"/>
  <c r="D232" i="50"/>
  <c r="E232" i="50" s="1"/>
  <c r="F232" i="50" s="1"/>
  <c r="G232" i="50" s="1"/>
  <c r="H232" i="50" s="1"/>
  <c r="I232" i="50" s="1"/>
  <c r="J232" i="50" s="1"/>
  <c r="B232" i="50"/>
  <c r="E231" i="50"/>
  <c r="F231" i="50" s="1"/>
  <c r="G231" i="50" s="1"/>
  <c r="H231" i="50" s="1"/>
  <c r="D231" i="50"/>
  <c r="B231" i="50"/>
  <c r="D230" i="50"/>
  <c r="E230" i="50" s="1"/>
  <c r="F230" i="50" s="1"/>
  <c r="G230" i="50" s="1"/>
  <c r="H230" i="50" s="1"/>
  <c r="I230" i="50" s="1"/>
  <c r="J230" i="50" s="1"/>
  <c r="K230" i="50" s="1"/>
  <c r="L230" i="50" s="1"/>
  <c r="M230" i="50" s="1"/>
  <c r="N230" i="50" s="1"/>
  <c r="O230" i="50" s="1"/>
  <c r="P230" i="50" s="1"/>
  <c r="B230" i="50"/>
  <c r="E229" i="50"/>
  <c r="D229" i="50"/>
  <c r="B229" i="50"/>
  <c r="AG227" i="50"/>
  <c r="AF227" i="50"/>
  <c r="AE227" i="50"/>
  <c r="AD227" i="50"/>
  <c r="AC227" i="50"/>
  <c r="AB227" i="50"/>
  <c r="AA227" i="50"/>
  <c r="Z227" i="50"/>
  <c r="Y227" i="50"/>
  <c r="X227" i="50"/>
  <c r="W227" i="50"/>
  <c r="V227" i="50"/>
  <c r="U227" i="50"/>
  <c r="T227" i="50"/>
  <c r="S227" i="50"/>
  <c r="R227" i="50"/>
  <c r="Q227" i="50"/>
  <c r="P227" i="50"/>
  <c r="O227" i="50"/>
  <c r="N227" i="50"/>
  <c r="M227" i="50"/>
  <c r="L227" i="50"/>
  <c r="K227" i="50"/>
  <c r="J227" i="50"/>
  <c r="I227" i="50"/>
  <c r="H227" i="50"/>
  <c r="G227" i="50"/>
  <c r="F227" i="50"/>
  <c r="E227" i="50"/>
  <c r="D227" i="50"/>
  <c r="C227" i="50"/>
  <c r="B227" i="50"/>
  <c r="AI120" i="50"/>
  <c r="AH120" i="50"/>
  <c r="AI119" i="50"/>
  <c r="AH119" i="50"/>
  <c r="AI118" i="50"/>
  <c r="AH118" i="50"/>
  <c r="AI117" i="50"/>
  <c r="AH117" i="50"/>
  <c r="AI116" i="50"/>
  <c r="AH116" i="50"/>
  <c r="AI115" i="50"/>
  <c r="AH115" i="50"/>
  <c r="AI114" i="50"/>
  <c r="AH114" i="50"/>
  <c r="S110" i="50"/>
  <c r="AI112" i="50"/>
  <c r="AH112" i="50"/>
  <c r="AI111" i="50"/>
  <c r="AH111" i="50"/>
  <c r="AF110" i="50"/>
  <c r="AE110" i="50"/>
  <c r="AC110" i="50"/>
  <c r="AB110" i="50"/>
  <c r="Z110" i="50"/>
  <c r="Y110" i="50"/>
  <c r="X110" i="50"/>
  <c r="W110" i="50"/>
  <c r="V110" i="50"/>
  <c r="U110" i="50"/>
  <c r="T110" i="50"/>
  <c r="R110" i="50"/>
  <c r="Q110" i="50"/>
  <c r="D110" i="50"/>
  <c r="C110" i="50"/>
  <c r="AI109" i="50"/>
  <c r="AH109" i="50"/>
  <c r="AI108" i="50"/>
  <c r="AH108" i="50"/>
  <c r="AI107" i="50"/>
  <c r="AH107" i="50"/>
  <c r="AI106" i="50"/>
  <c r="AH106" i="50"/>
  <c r="AI105" i="50"/>
  <c r="AH105" i="50"/>
  <c r="AI104" i="50"/>
  <c r="AH104" i="50"/>
  <c r="AI103" i="50"/>
  <c r="AH103" i="50"/>
  <c r="AI102" i="50"/>
  <c r="AH102" i="50"/>
  <c r="AI101" i="50"/>
  <c r="AH101" i="50"/>
  <c r="AI99" i="50"/>
  <c r="AH99" i="50"/>
  <c r="AI98" i="50"/>
  <c r="AH98" i="50"/>
  <c r="AI97" i="50"/>
  <c r="AH97" i="50"/>
  <c r="AI96" i="50"/>
  <c r="AH96" i="50"/>
  <c r="AI95" i="50"/>
  <c r="AH95" i="50"/>
  <c r="AI94" i="50"/>
  <c r="AH94" i="50"/>
  <c r="AI93" i="50"/>
  <c r="AH93" i="50"/>
  <c r="AI90" i="50"/>
  <c r="AH90" i="50"/>
  <c r="AI88" i="50"/>
  <c r="AH88" i="50"/>
  <c r="AG88" i="50"/>
  <c r="AI87" i="50"/>
  <c r="AH87" i="50"/>
  <c r="AI86" i="50"/>
  <c r="AH86" i="50"/>
  <c r="AI85" i="50"/>
  <c r="AH85" i="50"/>
  <c r="AN84" i="50"/>
  <c r="AG84" i="50"/>
  <c r="AF84" i="50"/>
  <c r="AE5" i="50" s="1"/>
  <c r="AE84" i="50"/>
  <c r="AD84" i="50"/>
  <c r="AC5" i="50" s="1"/>
  <c r="AC84" i="50"/>
  <c r="AB5" i="50" s="1"/>
  <c r="AB84" i="50"/>
  <c r="AB100" i="50" s="1"/>
  <c r="Z84" i="50"/>
  <c r="Z100" i="50" s="1"/>
  <c r="Y84" i="50"/>
  <c r="Y100" i="50" s="1"/>
  <c r="X84" i="50"/>
  <c r="X100" i="50" s="1"/>
  <c r="W84" i="50"/>
  <c r="V84" i="50"/>
  <c r="U84" i="50"/>
  <c r="T5" i="50" s="1"/>
  <c r="T84" i="50"/>
  <c r="T100" i="50" s="1"/>
  <c r="S84" i="50"/>
  <c r="S100" i="50" s="1"/>
  <c r="R84" i="50"/>
  <c r="R100" i="50" s="1"/>
  <c r="Q84" i="50"/>
  <c r="Q100" i="50" s="1"/>
  <c r="P84" i="50"/>
  <c r="P100" i="50" s="1"/>
  <c r="O84" i="50"/>
  <c r="N84" i="50"/>
  <c r="M84" i="50"/>
  <c r="L5" i="50" s="1"/>
  <c r="L84" i="50"/>
  <c r="L100" i="50" s="1"/>
  <c r="K84" i="50"/>
  <c r="K100" i="50" s="1"/>
  <c r="J84" i="50"/>
  <c r="J100" i="50" s="1"/>
  <c r="I84" i="50"/>
  <c r="I100" i="50" s="1"/>
  <c r="H84" i="50"/>
  <c r="G5" i="50" s="1"/>
  <c r="G84" i="50"/>
  <c r="F84" i="50"/>
  <c r="E84" i="50"/>
  <c r="D5" i="50" s="1"/>
  <c r="D84" i="50"/>
  <c r="D100" i="50" s="1"/>
  <c r="C84" i="50"/>
  <c r="C100" i="50" s="1"/>
  <c r="B84" i="50"/>
  <c r="B100" i="50" s="1"/>
  <c r="AN83" i="50"/>
  <c r="AI83" i="50"/>
  <c r="AH83" i="50"/>
  <c r="AN82" i="50"/>
  <c r="AI82" i="50"/>
  <c r="AH82" i="50"/>
  <c r="AN81" i="50"/>
  <c r="AI81" i="50"/>
  <c r="AH81" i="50"/>
  <c r="AI80" i="50"/>
  <c r="AH80" i="50"/>
  <c r="AI79" i="50"/>
  <c r="AH79" i="50"/>
  <c r="AI78" i="50"/>
  <c r="AH78" i="50"/>
  <c r="AI77" i="50"/>
  <c r="AH77" i="50"/>
  <c r="AI76" i="50"/>
  <c r="AH76" i="50"/>
  <c r="AI75" i="50"/>
  <c r="AH75" i="50"/>
  <c r="AI74" i="50"/>
  <c r="AH74" i="50"/>
  <c r="AI73" i="50"/>
  <c r="AH73" i="50"/>
  <c r="AG72" i="50"/>
  <c r="AF72" i="50"/>
  <c r="AE72" i="50"/>
  <c r="AD72" i="50"/>
  <c r="AC72" i="50"/>
  <c r="AB72" i="50"/>
  <c r="Z72" i="50"/>
  <c r="Y72" i="50"/>
  <c r="X72" i="50"/>
  <c r="W72" i="50"/>
  <c r="V72" i="50"/>
  <c r="U72" i="50"/>
  <c r="T72" i="50"/>
  <c r="S72" i="50"/>
  <c r="R72" i="50"/>
  <c r="Q72" i="50"/>
  <c r="P72" i="50"/>
  <c r="O72" i="50"/>
  <c r="N72" i="50"/>
  <c r="M72" i="50"/>
  <c r="L72" i="50"/>
  <c r="B72" i="50"/>
  <c r="AI71" i="50"/>
  <c r="AH71" i="50"/>
  <c r="AI70" i="50"/>
  <c r="AH70" i="50"/>
  <c r="AI69" i="50"/>
  <c r="AH69" i="50"/>
  <c r="AF68" i="50"/>
  <c r="AE68" i="50"/>
  <c r="AD68" i="50"/>
  <c r="AC68" i="50"/>
  <c r="AB68" i="50"/>
  <c r="Z68" i="50"/>
  <c r="Y68" i="50"/>
  <c r="X68" i="50"/>
  <c r="W68" i="50"/>
  <c r="V68" i="50"/>
  <c r="U68" i="50"/>
  <c r="T68" i="50"/>
  <c r="S68" i="50"/>
  <c r="R68" i="50"/>
  <c r="Q68" i="50"/>
  <c r="P68" i="50"/>
  <c r="O68" i="50"/>
  <c r="N68" i="50"/>
  <c r="M68" i="50"/>
  <c r="L68" i="50"/>
  <c r="K68" i="50"/>
  <c r="J68" i="50"/>
  <c r="I68" i="50"/>
  <c r="H68" i="50"/>
  <c r="G68" i="50"/>
  <c r="F68" i="50"/>
  <c r="E68" i="50"/>
  <c r="D68" i="50"/>
  <c r="C68" i="50"/>
  <c r="B68" i="50"/>
  <c r="AI67" i="50"/>
  <c r="AH67" i="50"/>
  <c r="AI66" i="50"/>
  <c r="AH66" i="50"/>
  <c r="AI65" i="50"/>
  <c r="AH65" i="50"/>
  <c r="AI64" i="50"/>
  <c r="AH64" i="50"/>
  <c r="AI63" i="50"/>
  <c r="AH63" i="50"/>
  <c r="AI62" i="50"/>
  <c r="AH62" i="50"/>
  <c r="AI61" i="50"/>
  <c r="AH61" i="50"/>
  <c r="AI60" i="50"/>
  <c r="AH60" i="50"/>
  <c r="AI59" i="50"/>
  <c r="AH59" i="50"/>
  <c r="AI58" i="50"/>
  <c r="AH58" i="50"/>
  <c r="AI57" i="50"/>
  <c r="AH57" i="50"/>
  <c r="AI56" i="50"/>
  <c r="AH56" i="50"/>
  <c r="AI55" i="50"/>
  <c r="AH55" i="50"/>
  <c r="AG54" i="50"/>
  <c r="AF54" i="50"/>
  <c r="AE54" i="50"/>
  <c r="AD54" i="50"/>
  <c r="AC54" i="50"/>
  <c r="AB54" i="50"/>
  <c r="Z54" i="50"/>
  <c r="Y54" i="50"/>
  <c r="X54" i="50"/>
  <c r="W54" i="50"/>
  <c r="V54" i="50"/>
  <c r="U54" i="50"/>
  <c r="T54" i="50"/>
  <c r="S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AI53" i="50"/>
  <c r="AH53" i="50"/>
  <c r="AI52" i="50"/>
  <c r="AH52" i="50"/>
  <c r="AI51" i="50"/>
  <c r="AH51" i="50"/>
  <c r="AG50" i="50"/>
  <c r="AF50" i="50"/>
  <c r="AE50" i="50"/>
  <c r="AD50" i="50"/>
  <c r="AC50" i="50"/>
  <c r="AB50" i="50"/>
  <c r="Z50" i="50"/>
  <c r="Y50" i="50"/>
  <c r="X50" i="50"/>
  <c r="W50" i="50"/>
  <c r="V50" i="50"/>
  <c r="U50" i="50"/>
  <c r="T50" i="50"/>
  <c r="S50" i="50"/>
  <c r="Q50" i="50"/>
  <c r="P50" i="50"/>
  <c r="O50" i="50"/>
  <c r="N50" i="50"/>
  <c r="M50" i="50"/>
  <c r="L50" i="50"/>
  <c r="K50" i="50"/>
  <c r="J50" i="50"/>
  <c r="I50" i="50"/>
  <c r="H50" i="50"/>
  <c r="G50" i="50"/>
  <c r="F50" i="50"/>
  <c r="E50" i="50"/>
  <c r="D50" i="50"/>
  <c r="C50" i="50"/>
  <c r="B50" i="50"/>
  <c r="AI49" i="50"/>
  <c r="AH49" i="50"/>
  <c r="AI48" i="50"/>
  <c r="AH48" i="50"/>
  <c r="AI47" i="50"/>
  <c r="AH47" i="50"/>
  <c r="AI46" i="50"/>
  <c r="AH46" i="50"/>
  <c r="AI45" i="50"/>
  <c r="AH45" i="50"/>
  <c r="AI44" i="50"/>
  <c r="AH44" i="50"/>
  <c r="AI43" i="50"/>
  <c r="AH43" i="50"/>
  <c r="AI42" i="50"/>
  <c r="AH42" i="50"/>
  <c r="AI41" i="50"/>
  <c r="AH41" i="50"/>
  <c r="AI40" i="50"/>
  <c r="AH40" i="50"/>
  <c r="AI39" i="50"/>
  <c r="AH39" i="50"/>
  <c r="AI38" i="50"/>
  <c r="AH38" i="50"/>
  <c r="AI37" i="50"/>
  <c r="AH37" i="50"/>
  <c r="AI36" i="50"/>
  <c r="AH36" i="50"/>
  <c r="AI35" i="50"/>
  <c r="AH35" i="50"/>
  <c r="AI34" i="50"/>
  <c r="AH34" i="50"/>
  <c r="AI33" i="50"/>
  <c r="AH33" i="50"/>
  <c r="AI32" i="50"/>
  <c r="AH32" i="50"/>
  <c r="AI31" i="50"/>
  <c r="AH31" i="50"/>
  <c r="AI30" i="50"/>
  <c r="AH30" i="50"/>
  <c r="AI29" i="50"/>
  <c r="AH29" i="50"/>
  <c r="AI28" i="50"/>
  <c r="AH28" i="50"/>
  <c r="AI27" i="50"/>
  <c r="AH27" i="50"/>
  <c r="AI26" i="50"/>
  <c r="AH26" i="50"/>
  <c r="AI25" i="50"/>
  <c r="AH25" i="50"/>
  <c r="AI24" i="50"/>
  <c r="AH24" i="50"/>
  <c r="AI23" i="50"/>
  <c r="AH23" i="50"/>
  <c r="AI22" i="50"/>
  <c r="AH22" i="50"/>
  <c r="AI21" i="50"/>
  <c r="AH21" i="50"/>
  <c r="AI20" i="50"/>
  <c r="AH20" i="50"/>
  <c r="AI19" i="50"/>
  <c r="AH19" i="50"/>
  <c r="AI18" i="50"/>
  <c r="AH18" i="50"/>
  <c r="AI17" i="50"/>
  <c r="AH17" i="50"/>
  <c r="AI16" i="50"/>
  <c r="AH16" i="50"/>
  <c r="AI15" i="50"/>
  <c r="AH15" i="50"/>
  <c r="AI14" i="50"/>
  <c r="AH14" i="50"/>
  <c r="AI13" i="50"/>
  <c r="AH13" i="50"/>
  <c r="AI12" i="50"/>
  <c r="AH12" i="50"/>
  <c r="AI11" i="50"/>
  <c r="AH11" i="50"/>
  <c r="Z5" i="50"/>
  <c r="P5" i="50"/>
  <c r="AG4" i="50"/>
  <c r="K4" i="50"/>
  <c r="E4" i="50"/>
  <c r="H4" i="50" s="1"/>
  <c r="B4" i="50"/>
  <c r="S246" i="50" s="1"/>
  <c r="AG2" i="50"/>
  <c r="AC113" i="49"/>
  <c r="AA89" i="49"/>
  <c r="AA91" i="49" s="1"/>
  <c r="AA92" i="49" s="1"/>
  <c r="AA100" i="49"/>
  <c r="Z113" i="49"/>
  <c r="Y113" i="49"/>
  <c r="X113" i="49"/>
  <c r="W50" i="49"/>
  <c r="X50" i="49"/>
  <c r="W54" i="49"/>
  <c r="X54" i="49"/>
  <c r="W68" i="49"/>
  <c r="X68" i="49"/>
  <c r="W72" i="49"/>
  <c r="X72" i="49"/>
  <c r="W84" i="49"/>
  <c r="W100" i="49" s="1"/>
  <c r="X84" i="49"/>
  <c r="X100" i="49" s="1"/>
  <c r="W113" i="49"/>
  <c r="W110" i="49" s="1"/>
  <c r="X110" i="49"/>
  <c r="V113" i="49"/>
  <c r="U113" i="49"/>
  <c r="U72" i="49"/>
  <c r="S113" i="49"/>
  <c r="E110" i="50" l="1"/>
  <c r="E234" i="50"/>
  <c r="AG91" i="50"/>
  <c r="B235" i="50"/>
  <c r="D235" i="50"/>
  <c r="J270" i="51"/>
  <c r="L234" i="51"/>
  <c r="K110" i="51"/>
  <c r="N229" i="51"/>
  <c r="AC89" i="50"/>
  <c r="AC91" i="50" s="1"/>
  <c r="AC7" i="50" s="1"/>
  <c r="AA5" i="50"/>
  <c r="Y5" i="50"/>
  <c r="X5" i="50"/>
  <c r="W5" i="50"/>
  <c r="S5" i="50"/>
  <c r="R5" i="50"/>
  <c r="Q5" i="50"/>
  <c r="C5" i="50"/>
  <c r="O5" i="50"/>
  <c r="K5" i="50"/>
  <c r="J5" i="50"/>
  <c r="I5" i="50"/>
  <c r="I89" i="50"/>
  <c r="I91" i="50" s="1"/>
  <c r="I7" i="50" s="1"/>
  <c r="AC100" i="50"/>
  <c r="AD100" i="50"/>
  <c r="B5" i="50"/>
  <c r="C89" i="50"/>
  <c r="C91" i="50" s="1"/>
  <c r="C7" i="50" s="1"/>
  <c r="AH72" i="50"/>
  <c r="AI72" i="50"/>
  <c r="H89" i="50"/>
  <c r="H91" i="50" s="1"/>
  <c r="H7" i="50" s="1"/>
  <c r="P89" i="50"/>
  <c r="P91" i="50" s="1"/>
  <c r="P92" i="50" s="1"/>
  <c r="X89" i="50"/>
  <c r="X91" i="50" s="1"/>
  <c r="X92" i="50" s="1"/>
  <c r="J89" i="50"/>
  <c r="J91" i="50" s="1"/>
  <c r="J7" i="50" s="1"/>
  <c r="R89" i="50"/>
  <c r="R91" i="50" s="1"/>
  <c r="AJ249" i="50" s="1"/>
  <c r="Z89" i="50"/>
  <c r="Z91" i="50" s="1"/>
  <c r="Z92" i="50" s="1"/>
  <c r="K89" i="50"/>
  <c r="K91" i="50" s="1"/>
  <c r="AC249" i="50" s="1"/>
  <c r="E89" i="50"/>
  <c r="E91" i="50" s="1"/>
  <c r="E92" i="50" s="1"/>
  <c r="M89" i="50"/>
  <c r="M91" i="50" s="1"/>
  <c r="AE249" i="50" s="1"/>
  <c r="U89" i="50"/>
  <c r="U91" i="50" s="1"/>
  <c r="U7" i="50" s="1"/>
  <c r="AD89" i="50"/>
  <c r="AD91" i="50" s="1"/>
  <c r="AD92" i="50" s="1"/>
  <c r="S89" i="50"/>
  <c r="S91" i="50" s="1"/>
  <c r="S92" i="50" s="1"/>
  <c r="AB89" i="50"/>
  <c r="AB91" i="50" s="1"/>
  <c r="AB7" i="50" s="1"/>
  <c r="D89" i="50"/>
  <c r="D91" i="50" s="1"/>
  <c r="D7" i="50" s="1"/>
  <c r="L89" i="50"/>
  <c r="L91" i="50" s="1"/>
  <c r="L7" i="50" s="1"/>
  <c r="T89" i="50"/>
  <c r="T91" i="50" s="1"/>
  <c r="T92" i="50" s="1"/>
  <c r="F89" i="50"/>
  <c r="F91" i="50" s="1"/>
  <c r="X249" i="50" s="1"/>
  <c r="N89" i="50"/>
  <c r="N91" i="50" s="1"/>
  <c r="AF249" i="50" s="1"/>
  <c r="V89" i="50"/>
  <c r="V91" i="50" s="1"/>
  <c r="AN249" i="50" s="1"/>
  <c r="AH54" i="50"/>
  <c r="AH84" i="50"/>
  <c r="AF5" i="50"/>
  <c r="B89" i="50"/>
  <c r="B91" i="50" s="1"/>
  <c r="AI54" i="50"/>
  <c r="AG89" i="50"/>
  <c r="Q89" i="50"/>
  <c r="Q91" i="50" s="1"/>
  <c r="Y89" i="50"/>
  <c r="Y91" i="50" s="1"/>
  <c r="AH50" i="50"/>
  <c r="H100" i="50"/>
  <c r="AF100" i="50"/>
  <c r="AI50" i="50"/>
  <c r="AH68" i="50"/>
  <c r="AI68" i="50"/>
  <c r="F5" i="50"/>
  <c r="G100" i="50"/>
  <c r="V5" i="50"/>
  <c r="W100" i="50"/>
  <c r="H5" i="50"/>
  <c r="AE89" i="50"/>
  <c r="AE91" i="50" s="1"/>
  <c r="AA7" i="50"/>
  <c r="N5" i="50"/>
  <c r="O100" i="50"/>
  <c r="G89" i="50"/>
  <c r="G91" i="50" s="1"/>
  <c r="O89" i="50"/>
  <c r="O91" i="50" s="1"/>
  <c r="W89" i="50"/>
  <c r="W91" i="50" s="1"/>
  <c r="AF89" i="50"/>
  <c r="AF91" i="50" s="1"/>
  <c r="E5" i="50"/>
  <c r="F100" i="50"/>
  <c r="M5" i="50"/>
  <c r="N100" i="50"/>
  <c r="U5" i="50"/>
  <c r="V100" i="50"/>
  <c r="AD5" i="50"/>
  <c r="AE100" i="50"/>
  <c r="F229" i="50"/>
  <c r="E235" i="50"/>
  <c r="E100" i="50"/>
  <c r="M100" i="50"/>
  <c r="U100" i="50"/>
  <c r="B110" i="50"/>
  <c r="D246" i="50"/>
  <c r="AH113" i="50"/>
  <c r="AI84" i="50"/>
  <c r="W89" i="49"/>
  <c r="W91" i="49" s="1"/>
  <c r="W92" i="49" s="1"/>
  <c r="X89" i="49"/>
  <c r="X91" i="49" s="1"/>
  <c r="X92" i="49" s="1"/>
  <c r="V92" i="50" l="1"/>
  <c r="D270" i="50"/>
  <c r="F234" i="50"/>
  <c r="AC92" i="50"/>
  <c r="C92" i="50"/>
  <c r="O229" i="51"/>
  <c r="K270" i="51"/>
  <c r="M234" i="51"/>
  <c r="L110" i="51"/>
  <c r="AU249" i="50"/>
  <c r="X7" i="50"/>
  <c r="AP249" i="50"/>
  <c r="R7" i="50"/>
  <c r="R92" i="50"/>
  <c r="AA249" i="50"/>
  <c r="K92" i="50"/>
  <c r="J92" i="50"/>
  <c r="AB249" i="50"/>
  <c r="I92" i="50"/>
  <c r="Z249" i="50"/>
  <c r="H92" i="50"/>
  <c r="W249" i="50"/>
  <c r="AI100" i="50"/>
  <c r="N7" i="50"/>
  <c r="M92" i="50"/>
  <c r="M7" i="50"/>
  <c r="P7" i="50"/>
  <c r="AH249" i="50"/>
  <c r="K7" i="50"/>
  <c r="E7" i="50"/>
  <c r="U249" i="50"/>
  <c r="Z7" i="50"/>
  <c r="U92" i="50"/>
  <c r="AM249" i="50"/>
  <c r="AR249" i="50"/>
  <c r="L92" i="50"/>
  <c r="V249" i="50"/>
  <c r="AD249" i="50"/>
  <c r="AB92" i="50"/>
  <c r="D92" i="50"/>
  <c r="AT249" i="50"/>
  <c r="AV249" i="50"/>
  <c r="AD7" i="50"/>
  <c r="AK249" i="50"/>
  <c r="S7" i="50"/>
  <c r="AL249" i="50"/>
  <c r="T7" i="50"/>
  <c r="V7" i="50"/>
  <c r="N92" i="50"/>
  <c r="F7" i="50"/>
  <c r="F92" i="50"/>
  <c r="AW249" i="50"/>
  <c r="AE7" i="50"/>
  <c r="AE92" i="50"/>
  <c r="Y249" i="50"/>
  <c r="C244" i="50"/>
  <c r="B244" i="50"/>
  <c r="G7" i="50"/>
  <c r="G92" i="50"/>
  <c r="G229" i="50"/>
  <c r="F235" i="50"/>
  <c r="Y92" i="50"/>
  <c r="AQ249" i="50"/>
  <c r="Y7" i="50"/>
  <c r="Q92" i="50"/>
  <c r="AI249" i="50"/>
  <c r="Q7" i="50"/>
  <c r="AI89" i="50"/>
  <c r="AF92" i="50"/>
  <c r="AX249" i="50"/>
  <c r="AF7" i="50"/>
  <c r="AO249" i="50"/>
  <c r="W7" i="50"/>
  <c r="W92" i="50"/>
  <c r="AH100" i="50"/>
  <c r="AH89" i="50"/>
  <c r="F110" i="50"/>
  <c r="AG249" i="50"/>
  <c r="O92" i="50"/>
  <c r="O7" i="50"/>
  <c r="B92" i="50"/>
  <c r="AI91" i="50"/>
  <c r="B7" i="50"/>
  <c r="AH91" i="50"/>
  <c r="T249" i="50"/>
  <c r="E270" i="50" l="1"/>
  <c r="G234" i="50"/>
  <c r="L270" i="51"/>
  <c r="N234" i="51"/>
  <c r="M110" i="51"/>
  <c r="P229" i="51"/>
  <c r="K6" i="50"/>
  <c r="A7" i="50"/>
  <c r="AI92" i="50"/>
  <c r="AH92" i="50"/>
  <c r="H229" i="50"/>
  <c r="G235" i="50"/>
  <c r="G110" i="50"/>
  <c r="F270" i="50" l="1"/>
  <c r="H234" i="50"/>
  <c r="M270" i="51"/>
  <c r="O234" i="51"/>
  <c r="N110" i="51"/>
  <c r="I229" i="50"/>
  <c r="H110" i="50"/>
  <c r="H235" i="50"/>
  <c r="I234" i="50" l="1"/>
  <c r="G270" i="50"/>
  <c r="N270" i="51"/>
  <c r="P234" i="51"/>
  <c r="O270" i="51" s="1"/>
  <c r="O110" i="51"/>
  <c r="I110" i="50"/>
  <c r="J229" i="50"/>
  <c r="J234" i="50" l="1"/>
  <c r="J110" i="50" s="1"/>
  <c r="H270" i="50"/>
  <c r="AI110" i="51"/>
  <c r="AH110" i="51"/>
  <c r="K229" i="50"/>
  <c r="I270" i="50" l="1"/>
  <c r="K234" i="50"/>
  <c r="L229" i="50"/>
  <c r="K110" i="50"/>
  <c r="J270" i="50" l="1"/>
  <c r="L234" i="50"/>
  <c r="L110" i="50"/>
  <c r="M229" i="50"/>
  <c r="K270" i="50" l="1"/>
  <c r="M234" i="50"/>
  <c r="N229" i="50"/>
  <c r="M110" i="50"/>
  <c r="N234" i="50" l="1"/>
  <c r="L270" i="50"/>
  <c r="O229" i="50"/>
  <c r="M270" i="50" l="1"/>
  <c r="O234" i="50"/>
  <c r="N110" i="50"/>
  <c r="P229" i="50"/>
  <c r="O110" i="50"/>
  <c r="N270" i="50" l="1"/>
  <c r="P234" i="50"/>
  <c r="O270" i="50" s="1"/>
  <c r="AH110" i="50"/>
  <c r="AI110" i="50"/>
  <c r="L113" i="49" l="1"/>
  <c r="K113" i="49"/>
  <c r="J113" i="49"/>
  <c r="H113" i="49"/>
  <c r="G113" i="49"/>
  <c r="F113" i="49"/>
  <c r="E113" i="49"/>
  <c r="AF274" i="49"/>
  <c r="AE274" i="49"/>
  <c r="AD274" i="49"/>
  <c r="AC274" i="49"/>
  <c r="AB274" i="49"/>
  <c r="AA274" i="49"/>
  <c r="Z274" i="49"/>
  <c r="Y274" i="49"/>
  <c r="X274" i="49"/>
  <c r="W274" i="49"/>
  <c r="V274" i="49"/>
  <c r="U274" i="49"/>
  <c r="T274" i="49"/>
  <c r="S274" i="49"/>
  <c r="R274" i="49"/>
  <c r="Q274" i="49"/>
  <c r="P274" i="49"/>
  <c r="O274" i="49"/>
  <c r="N274" i="49"/>
  <c r="M274" i="49"/>
  <c r="L274" i="49"/>
  <c r="K274" i="49"/>
  <c r="J274" i="49"/>
  <c r="I274" i="49"/>
  <c r="H274" i="49"/>
  <c r="G274" i="49"/>
  <c r="F274" i="49"/>
  <c r="E274" i="49"/>
  <c r="D274" i="49"/>
  <c r="C274" i="49"/>
  <c r="B274" i="49"/>
  <c r="A274" i="49"/>
  <c r="AF273" i="49"/>
  <c r="AE273" i="49"/>
  <c r="AD273" i="49"/>
  <c r="AC273" i="49"/>
  <c r="AB273" i="49"/>
  <c r="AA273" i="49"/>
  <c r="Z273" i="49"/>
  <c r="Y273" i="49"/>
  <c r="X273" i="49"/>
  <c r="W273" i="49"/>
  <c r="V273" i="49"/>
  <c r="U273" i="49"/>
  <c r="T273" i="49"/>
  <c r="S273" i="49"/>
  <c r="R273" i="49"/>
  <c r="Q273" i="49"/>
  <c r="P273" i="49"/>
  <c r="O273" i="49"/>
  <c r="N273" i="49"/>
  <c r="M273" i="49"/>
  <c r="L273" i="49"/>
  <c r="K273" i="49"/>
  <c r="J273" i="49"/>
  <c r="I273" i="49"/>
  <c r="H273" i="49"/>
  <c r="G273" i="49"/>
  <c r="F273" i="49"/>
  <c r="E273" i="49"/>
  <c r="D273" i="49"/>
  <c r="C273" i="49"/>
  <c r="B273" i="49"/>
  <c r="A273" i="49"/>
  <c r="AF272" i="49"/>
  <c r="AE272" i="49"/>
  <c r="AD272" i="49"/>
  <c r="AC272" i="49"/>
  <c r="AB272" i="49"/>
  <c r="AA272" i="49"/>
  <c r="Z272" i="49"/>
  <c r="Y272" i="49"/>
  <c r="X272" i="49"/>
  <c r="W272" i="49"/>
  <c r="V272" i="49"/>
  <c r="U272" i="49"/>
  <c r="T272" i="49"/>
  <c r="S272" i="49"/>
  <c r="R272" i="49"/>
  <c r="Q272" i="49"/>
  <c r="P272" i="49"/>
  <c r="O272" i="49"/>
  <c r="N272" i="49"/>
  <c r="M272" i="49"/>
  <c r="L272" i="49"/>
  <c r="K272" i="49"/>
  <c r="J272" i="49"/>
  <c r="I272" i="49"/>
  <c r="H272" i="49"/>
  <c r="G272" i="49"/>
  <c r="F272" i="49"/>
  <c r="E272" i="49"/>
  <c r="D272" i="49"/>
  <c r="C272" i="49"/>
  <c r="B272" i="49"/>
  <c r="A272" i="49"/>
  <c r="AF271" i="49"/>
  <c r="AE271" i="49"/>
  <c r="AD271" i="49"/>
  <c r="AC271" i="49"/>
  <c r="AB271" i="49"/>
  <c r="AA271" i="49"/>
  <c r="Z271" i="49"/>
  <c r="Y271" i="49"/>
  <c r="X271" i="49"/>
  <c r="W271" i="49"/>
  <c r="V271" i="49"/>
  <c r="U271" i="49"/>
  <c r="T271" i="49"/>
  <c r="S271" i="49"/>
  <c r="R271" i="49"/>
  <c r="Q271" i="49"/>
  <c r="P271" i="49"/>
  <c r="O271" i="49"/>
  <c r="N271" i="49"/>
  <c r="M271" i="49"/>
  <c r="L271" i="49"/>
  <c r="K271" i="49"/>
  <c r="J271" i="49"/>
  <c r="I271" i="49"/>
  <c r="H271" i="49"/>
  <c r="G271" i="49"/>
  <c r="F271" i="49"/>
  <c r="E271" i="49"/>
  <c r="D271" i="49"/>
  <c r="C271" i="49"/>
  <c r="B271" i="49"/>
  <c r="A271" i="49"/>
  <c r="AE270" i="49"/>
  <c r="AD270" i="49"/>
  <c r="AC270" i="49"/>
  <c r="AB270" i="49"/>
  <c r="AA270" i="49"/>
  <c r="Z270" i="49"/>
  <c r="Y270" i="49"/>
  <c r="X270" i="49"/>
  <c r="W270" i="49"/>
  <c r="V270" i="49"/>
  <c r="U270" i="49"/>
  <c r="T270" i="49"/>
  <c r="S270" i="49"/>
  <c r="R270" i="49"/>
  <c r="Q270" i="49"/>
  <c r="P270" i="49"/>
  <c r="C270" i="49"/>
  <c r="B270" i="49"/>
  <c r="S245" i="49"/>
  <c r="AG235" i="49"/>
  <c r="AF235" i="49"/>
  <c r="AE235" i="49"/>
  <c r="AD235" i="49"/>
  <c r="AC235" i="49"/>
  <c r="AB235" i="49"/>
  <c r="AA235" i="49"/>
  <c r="Z235" i="49"/>
  <c r="Y235" i="49"/>
  <c r="X235" i="49"/>
  <c r="W235" i="49"/>
  <c r="V235" i="49"/>
  <c r="U235" i="49"/>
  <c r="T235" i="49"/>
  <c r="S235" i="49"/>
  <c r="R235" i="49"/>
  <c r="Q235" i="49"/>
  <c r="C235" i="49"/>
  <c r="D234" i="49"/>
  <c r="E234" i="49" s="1"/>
  <c r="D270" i="49" s="1"/>
  <c r="B234" i="49"/>
  <c r="AF270" i="49" s="1"/>
  <c r="D233" i="49"/>
  <c r="E233" i="49" s="1"/>
  <c r="F233" i="49" s="1"/>
  <c r="G233" i="49" s="1"/>
  <c r="H233" i="49" s="1"/>
  <c r="I233" i="49" s="1"/>
  <c r="J233" i="49" s="1"/>
  <c r="K233" i="49" s="1"/>
  <c r="L233" i="49" s="1"/>
  <c r="M233" i="49" s="1"/>
  <c r="N233" i="49" s="1"/>
  <c r="O233" i="49" s="1"/>
  <c r="P233" i="49" s="1"/>
  <c r="B233" i="49"/>
  <c r="D232" i="49"/>
  <c r="E232" i="49" s="1"/>
  <c r="F232" i="49" s="1"/>
  <c r="G232" i="49" s="1"/>
  <c r="H232" i="49" s="1"/>
  <c r="I232" i="49" s="1"/>
  <c r="B232" i="49"/>
  <c r="D231" i="49"/>
  <c r="E231" i="49" s="1"/>
  <c r="F231" i="49" s="1"/>
  <c r="G231" i="49" s="1"/>
  <c r="H231" i="49" s="1"/>
  <c r="B231" i="49"/>
  <c r="D230" i="49"/>
  <c r="E230" i="49" s="1"/>
  <c r="F230" i="49" s="1"/>
  <c r="G230" i="49" s="1"/>
  <c r="H230" i="49" s="1"/>
  <c r="I230" i="49" s="1"/>
  <c r="J230" i="49" s="1"/>
  <c r="K230" i="49" s="1"/>
  <c r="L230" i="49" s="1"/>
  <c r="M230" i="49" s="1"/>
  <c r="N230" i="49" s="1"/>
  <c r="O230" i="49" s="1"/>
  <c r="P230" i="49" s="1"/>
  <c r="B230" i="49"/>
  <c r="D229" i="49"/>
  <c r="B229" i="49"/>
  <c r="B110" i="49" s="1"/>
  <c r="AG227" i="49"/>
  <c r="AF227" i="49"/>
  <c r="AE227" i="49"/>
  <c r="AD227" i="49"/>
  <c r="AC227" i="49"/>
  <c r="AB227" i="49"/>
  <c r="AA227" i="49"/>
  <c r="Z227" i="49"/>
  <c r="Y227" i="49"/>
  <c r="X227" i="49"/>
  <c r="W227" i="49"/>
  <c r="V227" i="49"/>
  <c r="U227" i="49"/>
  <c r="T227" i="49"/>
  <c r="S227" i="49"/>
  <c r="R227" i="49"/>
  <c r="Q227" i="49"/>
  <c r="P227" i="49"/>
  <c r="O227" i="49"/>
  <c r="N227" i="49"/>
  <c r="M227" i="49"/>
  <c r="L227" i="49"/>
  <c r="K227" i="49"/>
  <c r="J227" i="49"/>
  <c r="I227" i="49"/>
  <c r="H227" i="49"/>
  <c r="G227" i="49"/>
  <c r="F227" i="49"/>
  <c r="E227" i="49"/>
  <c r="D227" i="49"/>
  <c r="C227" i="49"/>
  <c r="B227" i="49"/>
  <c r="AI120" i="49"/>
  <c r="AH120" i="49"/>
  <c r="AI119" i="49"/>
  <c r="AH119" i="49"/>
  <c r="AI118" i="49"/>
  <c r="AH118" i="49"/>
  <c r="AI117" i="49"/>
  <c r="AH117" i="49"/>
  <c r="AI116" i="49"/>
  <c r="AH116" i="49"/>
  <c r="AI115" i="49"/>
  <c r="AH115" i="49"/>
  <c r="AI114" i="49"/>
  <c r="AH114" i="49"/>
  <c r="AI113" i="49"/>
  <c r="AH113" i="49"/>
  <c r="AI112" i="49"/>
  <c r="AH112" i="49"/>
  <c r="AI111" i="49"/>
  <c r="AH111" i="49"/>
  <c r="AF110" i="49"/>
  <c r="AE110" i="49"/>
  <c r="AC110" i="49"/>
  <c r="AB110" i="49"/>
  <c r="Z110" i="49"/>
  <c r="Y110" i="49"/>
  <c r="V110" i="49"/>
  <c r="U110" i="49"/>
  <c r="T110" i="49"/>
  <c r="S110" i="49"/>
  <c r="R110" i="49"/>
  <c r="Q110" i="49"/>
  <c r="C110" i="49"/>
  <c r="AI109" i="49"/>
  <c r="AH109" i="49"/>
  <c r="AI108" i="49"/>
  <c r="AH108" i="49"/>
  <c r="AI107" i="49"/>
  <c r="AH107" i="49"/>
  <c r="AI106" i="49"/>
  <c r="AH106" i="49"/>
  <c r="AI105" i="49"/>
  <c r="AH105" i="49"/>
  <c r="AI104" i="49"/>
  <c r="AH104" i="49"/>
  <c r="AI103" i="49"/>
  <c r="AH103" i="49"/>
  <c r="AI102" i="49"/>
  <c r="AH102" i="49"/>
  <c r="AI101" i="49"/>
  <c r="AH101" i="49"/>
  <c r="AI99" i="49"/>
  <c r="AH99" i="49"/>
  <c r="AI98" i="49"/>
  <c r="AH98" i="49"/>
  <c r="AI97" i="49"/>
  <c r="AH97" i="49"/>
  <c r="AI96" i="49"/>
  <c r="AH96" i="49"/>
  <c r="AI95" i="49"/>
  <c r="AH95" i="49"/>
  <c r="AI94" i="49"/>
  <c r="AH94" i="49"/>
  <c r="AI93" i="49"/>
  <c r="AH93" i="49"/>
  <c r="AI90" i="49"/>
  <c r="AH90" i="49"/>
  <c r="AI88" i="49"/>
  <c r="AH88" i="49"/>
  <c r="AG88" i="49"/>
  <c r="AI87" i="49"/>
  <c r="AH87" i="49"/>
  <c r="AI86" i="49"/>
  <c r="AH86" i="49"/>
  <c r="AI85" i="49"/>
  <c r="AH85" i="49"/>
  <c r="AN84" i="49"/>
  <c r="AG84" i="49"/>
  <c r="AF84" i="49"/>
  <c r="AF100" i="49" s="1"/>
  <c r="AE84" i="49"/>
  <c r="AE100" i="49" s="1"/>
  <c r="AD84" i="49"/>
  <c r="AD100" i="49" s="1"/>
  <c r="AC84" i="49"/>
  <c r="AC100" i="49" s="1"/>
  <c r="AB84" i="49"/>
  <c r="AB100" i="49" s="1"/>
  <c r="Z84" i="49"/>
  <c r="Z100" i="49" s="1"/>
  <c r="Y84" i="49"/>
  <c r="X5" i="49" s="1"/>
  <c r="V84" i="49"/>
  <c r="V100" i="49" s="1"/>
  <c r="U84" i="49"/>
  <c r="U100" i="49" s="1"/>
  <c r="T84" i="49"/>
  <c r="T100" i="49" s="1"/>
  <c r="S84" i="49"/>
  <c r="S100" i="49" s="1"/>
  <c r="R84" i="49"/>
  <c r="R100" i="49" s="1"/>
  <c r="Q84" i="49"/>
  <c r="Q100" i="49" s="1"/>
  <c r="P84" i="49"/>
  <c r="O5" i="49" s="1"/>
  <c r="O84" i="49"/>
  <c r="O100" i="49" s="1"/>
  <c r="N84" i="49"/>
  <c r="N100" i="49" s="1"/>
  <c r="M84" i="49"/>
  <c r="M100" i="49" s="1"/>
  <c r="L84" i="49"/>
  <c r="L100" i="49" s="1"/>
  <c r="K84" i="49"/>
  <c r="K100" i="49" s="1"/>
  <c r="J84" i="49"/>
  <c r="J100" i="49" s="1"/>
  <c r="I84" i="49"/>
  <c r="I100" i="49" s="1"/>
  <c r="H84" i="49"/>
  <c r="H100" i="49" s="1"/>
  <c r="G84" i="49"/>
  <c r="G100" i="49" s="1"/>
  <c r="F84" i="49"/>
  <c r="F100" i="49" s="1"/>
  <c r="E84" i="49"/>
  <c r="E100" i="49" s="1"/>
  <c r="D84" i="49"/>
  <c r="D100" i="49" s="1"/>
  <c r="C84" i="49"/>
  <c r="C100" i="49" s="1"/>
  <c r="B84" i="49"/>
  <c r="AI83" i="49"/>
  <c r="AH83" i="49"/>
  <c r="AN82" i="49"/>
  <c r="AI82" i="49"/>
  <c r="AH82" i="49"/>
  <c r="AN81" i="49"/>
  <c r="AN83" i="49" s="1"/>
  <c r="AI81" i="49"/>
  <c r="AH81" i="49"/>
  <c r="AI80" i="49"/>
  <c r="AH80" i="49"/>
  <c r="AI79" i="49"/>
  <c r="AH79" i="49"/>
  <c r="AI78" i="49"/>
  <c r="AH78" i="49"/>
  <c r="AI77" i="49"/>
  <c r="AH77" i="49"/>
  <c r="AI76" i="49"/>
  <c r="AH76" i="49"/>
  <c r="AI75" i="49"/>
  <c r="AH75" i="49"/>
  <c r="AI74" i="49"/>
  <c r="AH74" i="49"/>
  <c r="AI73" i="49"/>
  <c r="AH73" i="49"/>
  <c r="AG72" i="49"/>
  <c r="AF72" i="49"/>
  <c r="AE72" i="49"/>
  <c r="AD72" i="49"/>
  <c r="AC72" i="49"/>
  <c r="AB72" i="49"/>
  <c r="Z72" i="49"/>
  <c r="Y72" i="49"/>
  <c r="V72" i="49"/>
  <c r="T72" i="49"/>
  <c r="S72" i="49"/>
  <c r="R72" i="49"/>
  <c r="Q72" i="49"/>
  <c r="P72" i="49"/>
  <c r="O72" i="49"/>
  <c r="N72" i="49"/>
  <c r="M72" i="49"/>
  <c r="L72" i="49"/>
  <c r="B72" i="49"/>
  <c r="AI71" i="49"/>
  <c r="AH71" i="49"/>
  <c r="AI70" i="49"/>
  <c r="AH70" i="49"/>
  <c r="AI69" i="49"/>
  <c r="AH69" i="49"/>
  <c r="AF68" i="49"/>
  <c r="AE68" i="49"/>
  <c r="AD68" i="49"/>
  <c r="AC68" i="49"/>
  <c r="AB68" i="49"/>
  <c r="Z68" i="49"/>
  <c r="Y68" i="49"/>
  <c r="V68" i="49"/>
  <c r="U68" i="49"/>
  <c r="T68" i="49"/>
  <c r="S68" i="49"/>
  <c r="R68" i="49"/>
  <c r="Q68" i="49"/>
  <c r="P68" i="49"/>
  <c r="O68" i="49"/>
  <c r="N68" i="49"/>
  <c r="M68" i="49"/>
  <c r="L68" i="49"/>
  <c r="K68" i="49"/>
  <c r="J68" i="49"/>
  <c r="I68" i="49"/>
  <c r="H68" i="49"/>
  <c r="G68" i="49"/>
  <c r="F68" i="49"/>
  <c r="E68" i="49"/>
  <c r="D68" i="49"/>
  <c r="C68" i="49"/>
  <c r="B68" i="49"/>
  <c r="AI67" i="49"/>
  <c r="AH67" i="49"/>
  <c r="AG67" i="49"/>
  <c r="AG68" i="49" s="1"/>
  <c r="AG3" i="49" s="1"/>
  <c r="AI66" i="49"/>
  <c r="AH66" i="49"/>
  <c r="AI65" i="49"/>
  <c r="AH65" i="49"/>
  <c r="AI64" i="49"/>
  <c r="AH64" i="49"/>
  <c r="AI63" i="49"/>
  <c r="AH63" i="49"/>
  <c r="AI62" i="49"/>
  <c r="AH62" i="49"/>
  <c r="AI61" i="49"/>
  <c r="AH61" i="49"/>
  <c r="AI60" i="49"/>
  <c r="AH60" i="49"/>
  <c r="AI59" i="49"/>
  <c r="AH59" i="49"/>
  <c r="AI58" i="49"/>
  <c r="AH58" i="49"/>
  <c r="AI57" i="49"/>
  <c r="AH57" i="49"/>
  <c r="AI56" i="49"/>
  <c r="AH56" i="49"/>
  <c r="AI55" i="49"/>
  <c r="AH55" i="49"/>
  <c r="AG54" i="49"/>
  <c r="AF54" i="49"/>
  <c r="AE54" i="49"/>
  <c r="AD54" i="49"/>
  <c r="AC54" i="49"/>
  <c r="AB54" i="49"/>
  <c r="Z54" i="49"/>
  <c r="Y54" i="49"/>
  <c r="V54" i="49"/>
  <c r="U54" i="49"/>
  <c r="T54" i="49"/>
  <c r="S54" i="49"/>
  <c r="R54" i="49"/>
  <c r="Q54" i="49"/>
  <c r="P54" i="49"/>
  <c r="O54" i="49"/>
  <c r="N54" i="49"/>
  <c r="M54" i="49"/>
  <c r="L54" i="49"/>
  <c r="K54" i="49"/>
  <c r="J54" i="49"/>
  <c r="I54" i="49"/>
  <c r="H54" i="49"/>
  <c r="G54" i="49"/>
  <c r="F54" i="49"/>
  <c r="E54" i="49"/>
  <c r="D54" i="49"/>
  <c r="C54" i="49"/>
  <c r="B54" i="49"/>
  <c r="AI53" i="49"/>
  <c r="AH53" i="49"/>
  <c r="AI52" i="49"/>
  <c r="AH52" i="49"/>
  <c r="AI51" i="49"/>
  <c r="AH51" i="49"/>
  <c r="AG50" i="49"/>
  <c r="AF50" i="49"/>
  <c r="AE50" i="49"/>
  <c r="AD50" i="49"/>
  <c r="AC50" i="49"/>
  <c r="AB50" i="49"/>
  <c r="Z50" i="49"/>
  <c r="Y50" i="49"/>
  <c r="V50" i="49"/>
  <c r="U50" i="49"/>
  <c r="T50" i="49"/>
  <c r="S50" i="49"/>
  <c r="R50" i="49"/>
  <c r="Q50" i="49"/>
  <c r="P50" i="49"/>
  <c r="O50" i="49"/>
  <c r="N50" i="49"/>
  <c r="M50" i="49"/>
  <c r="L50" i="49"/>
  <c r="K50" i="49"/>
  <c r="J50" i="49"/>
  <c r="I50" i="49"/>
  <c r="H50" i="49"/>
  <c r="G50" i="49"/>
  <c r="F50" i="49"/>
  <c r="E50" i="49"/>
  <c r="D50" i="49"/>
  <c r="C50" i="49"/>
  <c r="B50" i="49"/>
  <c r="AI49" i="49"/>
  <c r="AH49" i="49"/>
  <c r="AI48" i="49"/>
  <c r="AH48" i="49"/>
  <c r="AI47" i="49"/>
  <c r="AH47" i="49"/>
  <c r="AI46" i="49"/>
  <c r="AH46" i="49"/>
  <c r="AI45" i="49"/>
  <c r="AH45" i="49"/>
  <c r="AI44" i="49"/>
  <c r="AH44" i="49"/>
  <c r="AI43" i="49"/>
  <c r="AH43" i="49"/>
  <c r="AI42" i="49"/>
  <c r="AH42" i="49"/>
  <c r="AI41" i="49"/>
  <c r="AH41" i="49"/>
  <c r="AI40" i="49"/>
  <c r="AH40" i="49"/>
  <c r="AI39" i="49"/>
  <c r="AH39" i="49"/>
  <c r="AI38" i="49"/>
  <c r="AH38" i="49"/>
  <c r="AI37" i="49"/>
  <c r="AH37" i="49"/>
  <c r="AI36" i="49"/>
  <c r="AH36" i="49"/>
  <c r="AI35" i="49"/>
  <c r="AH35" i="49"/>
  <c r="AI34" i="49"/>
  <c r="AH34" i="49"/>
  <c r="AI33" i="49"/>
  <c r="AH33" i="49"/>
  <c r="AI32" i="49"/>
  <c r="AH32" i="49"/>
  <c r="AI31" i="49"/>
  <c r="AH31" i="49"/>
  <c r="AI30" i="49"/>
  <c r="AH30" i="49"/>
  <c r="AI29" i="49"/>
  <c r="AH29" i="49"/>
  <c r="AI28" i="49"/>
  <c r="AH28" i="49"/>
  <c r="AI27" i="49"/>
  <c r="AH27" i="49"/>
  <c r="AI26" i="49"/>
  <c r="AH26" i="49"/>
  <c r="AI25" i="49"/>
  <c r="AH25" i="49"/>
  <c r="AI24" i="49"/>
  <c r="AH24" i="49"/>
  <c r="AI23" i="49"/>
  <c r="AH23" i="49"/>
  <c r="AI22" i="49"/>
  <c r="AH22" i="49"/>
  <c r="AI21" i="49"/>
  <c r="AH21" i="49"/>
  <c r="AI20" i="49"/>
  <c r="AH20" i="49"/>
  <c r="AI19" i="49"/>
  <c r="AH19" i="49"/>
  <c r="AI18" i="49"/>
  <c r="AH18" i="49"/>
  <c r="AI17" i="49"/>
  <c r="AH17" i="49"/>
  <c r="AI16" i="49"/>
  <c r="AH16" i="49"/>
  <c r="AI15" i="49"/>
  <c r="AH15" i="49"/>
  <c r="AI14" i="49"/>
  <c r="AH14" i="49"/>
  <c r="AI13" i="49"/>
  <c r="AH13" i="49"/>
  <c r="AI12" i="49"/>
  <c r="AH12" i="49"/>
  <c r="AI11" i="49"/>
  <c r="AH11" i="49"/>
  <c r="Z5" i="49"/>
  <c r="W5" i="49"/>
  <c r="V5" i="49"/>
  <c r="T5" i="49"/>
  <c r="AG4" i="49"/>
  <c r="K4" i="49"/>
  <c r="E4" i="49"/>
  <c r="H4" i="49" s="1"/>
  <c r="B4" i="49"/>
  <c r="D246" i="49" s="1"/>
  <c r="AC113" i="48"/>
  <c r="AB113" i="48"/>
  <c r="AA50" i="48"/>
  <c r="S50" i="48"/>
  <c r="R113" i="48"/>
  <c r="AE5" i="49" l="1"/>
  <c r="AC5" i="49"/>
  <c r="AB5" i="49"/>
  <c r="AC89" i="49"/>
  <c r="AC91" i="49" s="1"/>
  <c r="AU249" i="49" s="1"/>
  <c r="Z89" i="49"/>
  <c r="Z91" i="49" s="1"/>
  <c r="Z7" i="49" s="1"/>
  <c r="AD89" i="49"/>
  <c r="AD91" i="49" s="1"/>
  <c r="AD7" i="49" s="1"/>
  <c r="AF89" i="49"/>
  <c r="AF91" i="49" s="1"/>
  <c r="AX249" i="49" s="1"/>
  <c r="AA5" i="49"/>
  <c r="D235" i="49"/>
  <c r="AE89" i="49"/>
  <c r="AE91" i="49" s="1"/>
  <c r="AW249" i="49" s="1"/>
  <c r="AG89" i="49"/>
  <c r="Y89" i="49"/>
  <c r="Y91" i="49" s="1"/>
  <c r="Y92" i="49" s="1"/>
  <c r="AD5" i="49"/>
  <c r="U5" i="49"/>
  <c r="AB89" i="49"/>
  <c r="AB91" i="49" s="1"/>
  <c r="AT249" i="49" s="1"/>
  <c r="V89" i="49"/>
  <c r="V91" i="49" s="1"/>
  <c r="AN249" i="49" s="1"/>
  <c r="U89" i="49"/>
  <c r="U91" i="49" s="1"/>
  <c r="U92" i="49" s="1"/>
  <c r="S5" i="49"/>
  <c r="T89" i="49"/>
  <c r="T91" i="49" s="1"/>
  <c r="T92" i="49" s="1"/>
  <c r="R5" i="49"/>
  <c r="S89" i="49"/>
  <c r="S91" i="49" s="1"/>
  <c r="S7" i="49" s="1"/>
  <c r="R89" i="49"/>
  <c r="R91" i="49" s="1"/>
  <c r="AJ249" i="49" s="1"/>
  <c r="Q89" i="49"/>
  <c r="Q91" i="49" s="1"/>
  <c r="AI249" i="49" s="1"/>
  <c r="P89" i="49"/>
  <c r="P91" i="49" s="1"/>
  <c r="P92" i="49" s="1"/>
  <c r="P100" i="49"/>
  <c r="N5" i="49"/>
  <c r="O89" i="49"/>
  <c r="O91" i="49" s="1"/>
  <c r="O7" i="49" s="1"/>
  <c r="M5" i="49"/>
  <c r="N89" i="49"/>
  <c r="N91" i="49" s="1"/>
  <c r="N92" i="49" s="1"/>
  <c r="L5" i="49"/>
  <c r="AH72" i="49"/>
  <c r="M89" i="49"/>
  <c r="M91" i="49" s="1"/>
  <c r="M7" i="49" s="1"/>
  <c r="K5" i="49"/>
  <c r="L89" i="49"/>
  <c r="L91" i="49" s="1"/>
  <c r="L92" i="49" s="1"/>
  <c r="J5" i="49"/>
  <c r="K89" i="49"/>
  <c r="K91" i="49" s="1"/>
  <c r="K7" i="49" s="1"/>
  <c r="J89" i="49"/>
  <c r="J91" i="49" s="1"/>
  <c r="J92" i="49" s="1"/>
  <c r="I89" i="49"/>
  <c r="I91" i="49" s="1"/>
  <c r="I92" i="49" s="1"/>
  <c r="G5" i="49"/>
  <c r="H89" i="49"/>
  <c r="H91" i="49" s="1"/>
  <c r="H92" i="49" s="1"/>
  <c r="F5" i="49"/>
  <c r="G89" i="49"/>
  <c r="G91" i="49" s="1"/>
  <c r="E5" i="49"/>
  <c r="F89" i="49"/>
  <c r="F91" i="49" s="1"/>
  <c r="X249" i="49" s="1"/>
  <c r="D5" i="49"/>
  <c r="E89" i="49"/>
  <c r="E91" i="49" s="1"/>
  <c r="E7" i="49" s="1"/>
  <c r="C5" i="49"/>
  <c r="AI68" i="49"/>
  <c r="D89" i="49"/>
  <c r="D91" i="49" s="1"/>
  <c r="V249" i="49" s="1"/>
  <c r="AI54" i="49"/>
  <c r="AH68" i="49"/>
  <c r="AH84" i="49"/>
  <c r="C89" i="49"/>
  <c r="C91" i="49" s="1"/>
  <c r="C7" i="49" s="1"/>
  <c r="B5" i="49"/>
  <c r="AF5" i="49"/>
  <c r="B89" i="49"/>
  <c r="B91" i="49" s="1"/>
  <c r="S246" i="49"/>
  <c r="AA7" i="49"/>
  <c r="AS249" i="49"/>
  <c r="J232" i="49"/>
  <c r="K232" i="49" s="1"/>
  <c r="L232" i="49" s="1"/>
  <c r="M232" i="49" s="1"/>
  <c r="N232" i="49" s="1"/>
  <c r="O232" i="49" s="1"/>
  <c r="P232" i="49" s="1"/>
  <c r="AR249" i="49"/>
  <c r="Z92" i="49"/>
  <c r="AG249" i="49"/>
  <c r="AO249" i="49"/>
  <c r="W7" i="49"/>
  <c r="AG91" i="49"/>
  <c r="X7" i="49"/>
  <c r="AP249" i="49"/>
  <c r="H5" i="49"/>
  <c r="AI72" i="49"/>
  <c r="D110" i="49"/>
  <c r="F234" i="49"/>
  <c r="I5" i="49"/>
  <c r="Q5" i="49"/>
  <c r="Y5" i="49"/>
  <c r="AH50" i="49"/>
  <c r="AH54" i="49"/>
  <c r="AI84" i="49"/>
  <c r="B100" i="49"/>
  <c r="E229" i="49"/>
  <c r="P5" i="49"/>
  <c r="AI50" i="49"/>
  <c r="Y100" i="49"/>
  <c r="AG2" i="49"/>
  <c r="AG6" i="49" s="1"/>
  <c r="B235" i="49"/>
  <c r="N7" i="49" l="1"/>
  <c r="O92" i="49"/>
  <c r="AF7" i="49"/>
  <c r="AF92" i="49"/>
  <c r="AV249" i="49"/>
  <c r="D92" i="49"/>
  <c r="AE92" i="49"/>
  <c r="AE7" i="49"/>
  <c r="AK249" i="49"/>
  <c r="AD92" i="49"/>
  <c r="AC92" i="49"/>
  <c r="AC7" i="49"/>
  <c r="AB7" i="49"/>
  <c r="V7" i="49"/>
  <c r="Y7" i="49"/>
  <c r="AQ249" i="49"/>
  <c r="AD249" i="49"/>
  <c r="T7" i="49"/>
  <c r="AL249" i="49"/>
  <c r="M92" i="49"/>
  <c r="AB92" i="49"/>
  <c r="AH249" i="49"/>
  <c r="Q7" i="49"/>
  <c r="AA249" i="49"/>
  <c r="P7" i="49"/>
  <c r="V92" i="49"/>
  <c r="AF249" i="49"/>
  <c r="S92" i="49"/>
  <c r="AE249" i="49"/>
  <c r="AM249" i="49"/>
  <c r="U7" i="49"/>
  <c r="Q92" i="49"/>
  <c r="R7" i="49"/>
  <c r="R92" i="49"/>
  <c r="J7" i="49"/>
  <c r="AC249" i="49"/>
  <c r="K92" i="49"/>
  <c r="L7" i="49"/>
  <c r="I7" i="49"/>
  <c r="AB249" i="49"/>
  <c r="Z249" i="49"/>
  <c r="H7" i="49"/>
  <c r="B244" i="49"/>
  <c r="Y249" i="49"/>
  <c r="C244" i="49"/>
  <c r="G7" i="49"/>
  <c r="G92" i="49"/>
  <c r="F92" i="49"/>
  <c r="F7" i="49"/>
  <c r="W249" i="49"/>
  <c r="E92" i="49"/>
  <c r="D7" i="49"/>
  <c r="AH89" i="49"/>
  <c r="AI89" i="49"/>
  <c r="U249" i="49"/>
  <c r="C92" i="49"/>
  <c r="F229" i="49"/>
  <c r="E235" i="49"/>
  <c r="E110" i="49"/>
  <c r="AH100" i="49"/>
  <c r="AI100" i="49"/>
  <c r="B7" i="49"/>
  <c r="AH91" i="49"/>
  <c r="T249" i="49"/>
  <c r="B92" i="49"/>
  <c r="AI91" i="49"/>
  <c r="E270" i="49"/>
  <c r="G234" i="49"/>
  <c r="K6" i="49" l="1"/>
  <c r="A7" i="49"/>
  <c r="F270" i="49"/>
  <c r="H234" i="49"/>
  <c r="AI92" i="49"/>
  <c r="AH92" i="49"/>
  <c r="F110" i="49"/>
  <c r="G229" i="49"/>
  <c r="F235" i="49"/>
  <c r="H229" i="49" l="1"/>
  <c r="G235" i="49"/>
  <c r="G110" i="49"/>
  <c r="G270" i="49"/>
  <c r="I234" i="49"/>
  <c r="H270" i="49" l="1"/>
  <c r="J234" i="49"/>
  <c r="I229" i="49"/>
  <c r="H110" i="49"/>
  <c r="H235" i="49"/>
  <c r="I110" i="49" l="1"/>
  <c r="J229" i="49"/>
  <c r="K234" i="49"/>
  <c r="I270" i="49"/>
  <c r="J270" i="49" l="1"/>
  <c r="L234" i="49"/>
  <c r="K229" i="49"/>
  <c r="J110" i="49"/>
  <c r="K110" i="49" l="1"/>
  <c r="L229" i="49"/>
  <c r="K270" i="49"/>
  <c r="M234" i="49"/>
  <c r="L270" i="49" l="1"/>
  <c r="N234" i="49"/>
  <c r="M229" i="49"/>
  <c r="L110" i="49"/>
  <c r="M110" i="49" l="1"/>
  <c r="N229" i="49"/>
  <c r="M270" i="49"/>
  <c r="O234" i="49"/>
  <c r="O229" i="49" l="1"/>
  <c r="N110" i="49"/>
  <c r="N270" i="49"/>
  <c r="P234" i="49"/>
  <c r="O270" i="49" s="1"/>
  <c r="P229" i="49" l="1"/>
  <c r="O110" i="49"/>
  <c r="AI110" i="49" l="1"/>
  <c r="AH110" i="49"/>
  <c r="O113" i="48" l="1"/>
  <c r="M113" i="48"/>
  <c r="D113" i="48"/>
  <c r="D50" i="48"/>
  <c r="D54" i="48"/>
  <c r="D68" i="48"/>
  <c r="C113" i="48"/>
  <c r="C50" i="48"/>
  <c r="B113" i="48"/>
  <c r="B84" i="48"/>
  <c r="B100" i="48" s="1"/>
  <c r="B72" i="48"/>
  <c r="B68" i="48"/>
  <c r="B54" i="48"/>
  <c r="B50" i="48"/>
  <c r="AF274" i="48"/>
  <c r="AE274" i="48"/>
  <c r="AD274" i="48"/>
  <c r="AC274" i="48"/>
  <c r="AB274" i="48"/>
  <c r="AA274" i="48"/>
  <c r="Z274" i="48"/>
  <c r="Y274" i="48"/>
  <c r="X274" i="48"/>
  <c r="W274" i="48"/>
  <c r="V274" i="48"/>
  <c r="U274" i="48"/>
  <c r="T274" i="48"/>
  <c r="S274" i="48"/>
  <c r="R274" i="48"/>
  <c r="Q274" i="48"/>
  <c r="P274" i="48"/>
  <c r="O274" i="48"/>
  <c r="N274" i="48"/>
  <c r="M274" i="48"/>
  <c r="L274" i="48"/>
  <c r="K274" i="48"/>
  <c r="J274" i="48"/>
  <c r="I274" i="48"/>
  <c r="H274" i="48"/>
  <c r="G274" i="48"/>
  <c r="F274" i="48"/>
  <c r="E274" i="48"/>
  <c r="D274" i="48"/>
  <c r="C274" i="48"/>
  <c r="B274" i="48"/>
  <c r="A274" i="48"/>
  <c r="AF273" i="48"/>
  <c r="AE273" i="48"/>
  <c r="AD273" i="48"/>
  <c r="AC273" i="48"/>
  <c r="AB273" i="48"/>
  <c r="AA273" i="48"/>
  <c r="Z273" i="48"/>
  <c r="Y273" i="48"/>
  <c r="X273" i="48"/>
  <c r="W273" i="48"/>
  <c r="V273" i="48"/>
  <c r="U273" i="48"/>
  <c r="T273" i="48"/>
  <c r="S273" i="48"/>
  <c r="R273" i="48"/>
  <c r="Q273" i="48"/>
  <c r="P273" i="48"/>
  <c r="O273" i="48"/>
  <c r="N273" i="48"/>
  <c r="M273" i="48"/>
  <c r="L273" i="48"/>
  <c r="K273" i="48"/>
  <c r="J273" i="48"/>
  <c r="I273" i="48"/>
  <c r="H273" i="48"/>
  <c r="G273" i="48"/>
  <c r="F273" i="48"/>
  <c r="E273" i="48"/>
  <c r="D273" i="48"/>
  <c r="C273" i="48"/>
  <c r="B273" i="48"/>
  <c r="A273" i="48"/>
  <c r="AF272" i="48"/>
  <c r="AE272" i="48"/>
  <c r="AD272" i="48"/>
  <c r="AC272" i="48"/>
  <c r="AB272" i="48"/>
  <c r="AA272" i="48"/>
  <c r="Z272" i="48"/>
  <c r="Y272" i="48"/>
  <c r="X272" i="48"/>
  <c r="W272" i="48"/>
  <c r="V272" i="48"/>
  <c r="U272" i="48"/>
  <c r="T272" i="48"/>
  <c r="S272" i="48"/>
  <c r="R272" i="48"/>
  <c r="Q272" i="48"/>
  <c r="P272" i="48"/>
  <c r="O272" i="48"/>
  <c r="N272" i="48"/>
  <c r="M272" i="48"/>
  <c r="L272" i="48"/>
  <c r="K272" i="48"/>
  <c r="J272" i="48"/>
  <c r="I272" i="48"/>
  <c r="H272" i="48"/>
  <c r="G272" i="48"/>
  <c r="F272" i="48"/>
  <c r="E272" i="48"/>
  <c r="D272" i="48"/>
  <c r="C272" i="48"/>
  <c r="B272" i="48"/>
  <c r="A272" i="48"/>
  <c r="AF271" i="48"/>
  <c r="AE271" i="48"/>
  <c r="AD271" i="48"/>
  <c r="AC271" i="48"/>
  <c r="AB271" i="48"/>
  <c r="AA271" i="48"/>
  <c r="Z271" i="48"/>
  <c r="Y271" i="48"/>
  <c r="X271" i="48"/>
  <c r="W271" i="48"/>
  <c r="V271" i="48"/>
  <c r="U271" i="48"/>
  <c r="T271" i="48"/>
  <c r="S271" i="48"/>
  <c r="R271" i="48"/>
  <c r="Q271" i="48"/>
  <c r="P271" i="48"/>
  <c r="O271" i="48"/>
  <c r="N271" i="48"/>
  <c r="M271" i="48"/>
  <c r="L271" i="48"/>
  <c r="K271" i="48"/>
  <c r="J271" i="48"/>
  <c r="I271" i="48"/>
  <c r="H271" i="48"/>
  <c r="G271" i="48"/>
  <c r="F271" i="48"/>
  <c r="E271" i="48"/>
  <c r="D271" i="48"/>
  <c r="C271" i="48"/>
  <c r="B271" i="48"/>
  <c r="A271" i="48"/>
  <c r="AE270" i="48"/>
  <c r="AD270" i="48"/>
  <c r="AC270" i="48"/>
  <c r="AB270" i="48"/>
  <c r="AA270" i="48"/>
  <c r="Z270" i="48"/>
  <c r="Y270" i="48"/>
  <c r="X270" i="48"/>
  <c r="W270" i="48"/>
  <c r="V270" i="48"/>
  <c r="U270" i="48"/>
  <c r="T270" i="48"/>
  <c r="S270" i="48"/>
  <c r="R270" i="48"/>
  <c r="Q270" i="48"/>
  <c r="P270" i="48"/>
  <c r="B270" i="48"/>
  <c r="S245" i="48"/>
  <c r="AG235" i="48"/>
  <c r="AG67" i="48" s="1"/>
  <c r="AG68" i="48" s="1"/>
  <c r="AG3" i="48" s="1"/>
  <c r="AF235" i="48"/>
  <c r="AE235" i="48"/>
  <c r="AD235" i="48"/>
  <c r="AC235" i="48"/>
  <c r="AB235" i="48"/>
  <c r="AA235" i="48"/>
  <c r="Z235" i="48"/>
  <c r="Y235" i="48"/>
  <c r="X235" i="48"/>
  <c r="W235" i="48"/>
  <c r="V235" i="48"/>
  <c r="U235" i="48"/>
  <c r="T235" i="48"/>
  <c r="S235" i="48"/>
  <c r="R235" i="48"/>
  <c r="Q235" i="48"/>
  <c r="C235" i="48"/>
  <c r="D234" i="48"/>
  <c r="E234" i="48" s="1"/>
  <c r="D270" i="48" s="1"/>
  <c r="B234" i="48"/>
  <c r="AF270" i="48" s="1"/>
  <c r="D233" i="48"/>
  <c r="E233" i="48" s="1"/>
  <c r="F233" i="48" s="1"/>
  <c r="G233" i="48" s="1"/>
  <c r="H233" i="48" s="1"/>
  <c r="I233" i="48" s="1"/>
  <c r="J233" i="48" s="1"/>
  <c r="K233" i="48" s="1"/>
  <c r="L233" i="48" s="1"/>
  <c r="M233" i="48" s="1"/>
  <c r="N233" i="48" s="1"/>
  <c r="O233" i="48" s="1"/>
  <c r="P233" i="48" s="1"/>
  <c r="B233" i="48"/>
  <c r="I232" i="48"/>
  <c r="J232" i="48" s="1"/>
  <c r="K232" i="48" s="1"/>
  <c r="L232" i="48" s="1"/>
  <c r="M232" i="48" s="1"/>
  <c r="N232" i="48" s="1"/>
  <c r="O232" i="48" s="1"/>
  <c r="P232" i="48" s="1"/>
  <c r="D232" i="48"/>
  <c r="E232" i="48" s="1"/>
  <c r="F232" i="48" s="1"/>
  <c r="G232" i="48" s="1"/>
  <c r="H232" i="48" s="1"/>
  <c r="B232" i="48"/>
  <c r="D231" i="48"/>
  <c r="E231" i="48" s="1"/>
  <c r="F231" i="48" s="1"/>
  <c r="G231" i="48" s="1"/>
  <c r="H231" i="48" s="1"/>
  <c r="B231" i="48"/>
  <c r="D230" i="48"/>
  <c r="E230" i="48" s="1"/>
  <c r="F230" i="48" s="1"/>
  <c r="G230" i="48" s="1"/>
  <c r="H230" i="48" s="1"/>
  <c r="I230" i="48" s="1"/>
  <c r="J230" i="48" s="1"/>
  <c r="K230" i="48" s="1"/>
  <c r="L230" i="48" s="1"/>
  <c r="M230" i="48" s="1"/>
  <c r="N230" i="48" s="1"/>
  <c r="O230" i="48" s="1"/>
  <c r="P230" i="48" s="1"/>
  <c r="B230" i="48"/>
  <c r="D229" i="48"/>
  <c r="B229" i="48"/>
  <c r="AG227" i="48"/>
  <c r="AF227" i="48"/>
  <c r="AE227" i="48"/>
  <c r="AD227" i="48"/>
  <c r="AC227" i="48"/>
  <c r="AB227" i="48"/>
  <c r="AA227" i="48"/>
  <c r="Z227" i="48"/>
  <c r="Y227" i="48"/>
  <c r="X227" i="48"/>
  <c r="W227" i="48"/>
  <c r="V227" i="48"/>
  <c r="U227" i="48"/>
  <c r="T227" i="48"/>
  <c r="S227" i="48"/>
  <c r="R227" i="48"/>
  <c r="Q227" i="48"/>
  <c r="P227" i="48"/>
  <c r="O227" i="48"/>
  <c r="N227" i="48"/>
  <c r="M227" i="48"/>
  <c r="L227" i="48"/>
  <c r="K227" i="48"/>
  <c r="J227" i="48"/>
  <c r="I227" i="48"/>
  <c r="H227" i="48"/>
  <c r="G227" i="48"/>
  <c r="F227" i="48"/>
  <c r="E227" i="48"/>
  <c r="D227" i="48"/>
  <c r="C227" i="48"/>
  <c r="B227" i="48"/>
  <c r="AI120" i="48"/>
  <c r="AH120" i="48"/>
  <c r="AI119" i="48"/>
  <c r="AH119" i="48"/>
  <c r="AI118" i="48"/>
  <c r="AH118" i="48"/>
  <c r="AI117" i="48"/>
  <c r="AH117" i="48"/>
  <c r="AI116" i="48"/>
  <c r="AH116" i="48"/>
  <c r="AI115" i="48"/>
  <c r="AH115" i="48"/>
  <c r="AI114" i="48"/>
  <c r="AH114" i="48"/>
  <c r="AI113" i="48"/>
  <c r="AH113" i="48"/>
  <c r="AI112" i="48"/>
  <c r="AH112" i="48"/>
  <c r="AI111" i="48"/>
  <c r="AH111" i="48"/>
  <c r="AF110" i="48"/>
  <c r="AE110" i="48"/>
  <c r="AC110" i="48"/>
  <c r="AB110" i="48"/>
  <c r="AA110" i="48"/>
  <c r="Z110" i="48"/>
  <c r="Y110" i="48"/>
  <c r="X110" i="48"/>
  <c r="W110" i="48"/>
  <c r="V110" i="48"/>
  <c r="U110" i="48"/>
  <c r="T110" i="48"/>
  <c r="S110" i="48"/>
  <c r="R110" i="48"/>
  <c r="Q110" i="48"/>
  <c r="C110" i="48"/>
  <c r="AI109" i="48"/>
  <c r="AH109" i="48"/>
  <c r="AI108" i="48"/>
  <c r="AH108" i="48"/>
  <c r="AI107" i="48"/>
  <c r="AH107" i="48"/>
  <c r="AI106" i="48"/>
  <c r="AH106" i="48"/>
  <c r="AI105" i="48"/>
  <c r="AH105" i="48"/>
  <c r="AI104" i="48"/>
  <c r="AH104" i="48"/>
  <c r="AI103" i="48"/>
  <c r="AH103" i="48"/>
  <c r="AI102" i="48"/>
  <c r="AH102" i="48"/>
  <c r="AI101" i="48"/>
  <c r="AH101" i="48"/>
  <c r="AI99" i="48"/>
  <c r="AH99" i="48"/>
  <c r="AI98" i="48"/>
  <c r="AH98" i="48"/>
  <c r="AI97" i="48"/>
  <c r="AH97" i="48"/>
  <c r="AI96" i="48"/>
  <c r="AH96" i="48"/>
  <c r="AI95" i="48"/>
  <c r="AH95" i="48"/>
  <c r="AI94" i="48"/>
  <c r="AH94" i="48"/>
  <c r="AI93" i="48"/>
  <c r="AH93" i="48"/>
  <c r="AI90" i="48"/>
  <c r="AH90" i="48"/>
  <c r="AI88" i="48"/>
  <c r="AH88" i="48"/>
  <c r="AG88" i="48"/>
  <c r="AI87" i="48"/>
  <c r="AH87" i="48"/>
  <c r="AI86" i="48"/>
  <c r="AH86" i="48"/>
  <c r="AI85" i="48"/>
  <c r="AH85" i="48"/>
  <c r="AN84" i="48"/>
  <c r="AG84" i="48"/>
  <c r="AF84" i="48"/>
  <c r="AE5" i="48" s="1"/>
  <c r="AE84" i="48"/>
  <c r="AD5" i="48" s="1"/>
  <c r="AD84" i="48"/>
  <c r="AC5" i="48" s="1"/>
  <c r="AC84" i="48"/>
  <c r="AC100" i="48" s="1"/>
  <c r="AB84" i="48"/>
  <c r="AB100" i="48" s="1"/>
  <c r="AA84" i="48"/>
  <c r="Z84" i="48"/>
  <c r="Z100" i="48" s="1"/>
  <c r="Y84" i="48"/>
  <c r="Y100" i="48" s="1"/>
  <c r="X84" i="48"/>
  <c r="X100" i="48" s="1"/>
  <c r="W84" i="48"/>
  <c r="W100" i="48" s="1"/>
  <c r="V84" i="48"/>
  <c r="V100" i="48" s="1"/>
  <c r="U84" i="48"/>
  <c r="T5" i="48" s="1"/>
  <c r="T84" i="48"/>
  <c r="T100" i="48" s="1"/>
  <c r="S84" i="48"/>
  <c r="R84" i="48"/>
  <c r="R100" i="48" s="1"/>
  <c r="Q84" i="48"/>
  <c r="Q100" i="48" s="1"/>
  <c r="P84" i="48"/>
  <c r="P100" i="48" s="1"/>
  <c r="O84" i="48"/>
  <c r="O100" i="48" s="1"/>
  <c r="N84" i="48"/>
  <c r="M5" i="48" s="1"/>
  <c r="M84" i="48"/>
  <c r="L5" i="48" s="1"/>
  <c r="L84" i="48"/>
  <c r="L100" i="48" s="1"/>
  <c r="K84" i="48"/>
  <c r="J84" i="48"/>
  <c r="J100" i="48" s="1"/>
  <c r="I84" i="48"/>
  <c r="I100" i="48" s="1"/>
  <c r="H84" i="48"/>
  <c r="H100" i="48" s="1"/>
  <c r="G84" i="48"/>
  <c r="F5" i="48" s="1"/>
  <c r="F84" i="48"/>
  <c r="F100" i="48" s="1"/>
  <c r="E84" i="48"/>
  <c r="E100" i="48" s="1"/>
  <c r="D84" i="48"/>
  <c r="D100" i="48" s="1"/>
  <c r="C84" i="48"/>
  <c r="AI83" i="48"/>
  <c r="AH83" i="48"/>
  <c r="AN82" i="48"/>
  <c r="AI82" i="48"/>
  <c r="AH82" i="48"/>
  <c r="AN81" i="48"/>
  <c r="AN83" i="48" s="1"/>
  <c r="AI81" i="48"/>
  <c r="AH81" i="48"/>
  <c r="AI80" i="48"/>
  <c r="AH80" i="48"/>
  <c r="AI79" i="48"/>
  <c r="AH79" i="48"/>
  <c r="AI78" i="48"/>
  <c r="AH78" i="48"/>
  <c r="AI77" i="48"/>
  <c r="AH77" i="48"/>
  <c r="AI76" i="48"/>
  <c r="AH76" i="48"/>
  <c r="AI75" i="48"/>
  <c r="AH75" i="48"/>
  <c r="AI74" i="48"/>
  <c r="AH74" i="48"/>
  <c r="AI73" i="48"/>
  <c r="AH73" i="48"/>
  <c r="AG72" i="48"/>
  <c r="AG4" i="48" s="1"/>
  <c r="AF72" i="48"/>
  <c r="AE72" i="48"/>
  <c r="AD72" i="48"/>
  <c r="AC72" i="48"/>
  <c r="AB72" i="48"/>
  <c r="AA72" i="48"/>
  <c r="Z72" i="48"/>
  <c r="Y72" i="48"/>
  <c r="X72" i="48"/>
  <c r="W72" i="48"/>
  <c r="V72" i="48"/>
  <c r="U72" i="48"/>
  <c r="T72" i="48"/>
  <c r="S72" i="48"/>
  <c r="R72" i="48"/>
  <c r="Q72" i="48"/>
  <c r="P72" i="48"/>
  <c r="O72" i="48"/>
  <c r="N72" i="48"/>
  <c r="M72" i="48"/>
  <c r="L72" i="48"/>
  <c r="AI71" i="48"/>
  <c r="AH71" i="48"/>
  <c r="AI70" i="48"/>
  <c r="AH70" i="48"/>
  <c r="AI69" i="48"/>
  <c r="AH69" i="48"/>
  <c r="AF68" i="48"/>
  <c r="AE68" i="48"/>
  <c r="AD68" i="48"/>
  <c r="AC68" i="48"/>
  <c r="AB68" i="48"/>
  <c r="AA68" i="48"/>
  <c r="Z68" i="48"/>
  <c r="Y68" i="48"/>
  <c r="X68" i="48"/>
  <c r="W68" i="48"/>
  <c r="V68" i="48"/>
  <c r="U68" i="48"/>
  <c r="T68" i="48"/>
  <c r="S68" i="48"/>
  <c r="R68" i="48"/>
  <c r="Q68" i="48"/>
  <c r="P68" i="48"/>
  <c r="O68" i="48"/>
  <c r="N68" i="48"/>
  <c r="M68" i="48"/>
  <c r="L68" i="48"/>
  <c r="K68" i="48"/>
  <c r="J68" i="48"/>
  <c r="I68" i="48"/>
  <c r="H68" i="48"/>
  <c r="G68" i="48"/>
  <c r="F68" i="48"/>
  <c r="E68" i="48"/>
  <c r="C68" i="48"/>
  <c r="AI67" i="48"/>
  <c r="AH67" i="48"/>
  <c r="AI66" i="48"/>
  <c r="AH66" i="48"/>
  <c r="AI65" i="48"/>
  <c r="AH65" i="48"/>
  <c r="AI64" i="48"/>
  <c r="AH64" i="48"/>
  <c r="AI63" i="48"/>
  <c r="AH63" i="48"/>
  <c r="AI62" i="48"/>
  <c r="AH62" i="48"/>
  <c r="AI61" i="48"/>
  <c r="AH61" i="48"/>
  <c r="AI60" i="48"/>
  <c r="AH60" i="48"/>
  <c r="AI59" i="48"/>
  <c r="AH59" i="48"/>
  <c r="AI58" i="48"/>
  <c r="AH58" i="48"/>
  <c r="AI57" i="48"/>
  <c r="AH57" i="48"/>
  <c r="AI56" i="48"/>
  <c r="AH56" i="48"/>
  <c r="AI55" i="48"/>
  <c r="AH55" i="48"/>
  <c r="AG54" i="48"/>
  <c r="AF54" i="48"/>
  <c r="AE54" i="48"/>
  <c r="AD54" i="48"/>
  <c r="AC54" i="48"/>
  <c r="AB54" i="48"/>
  <c r="AA54" i="48"/>
  <c r="Z54" i="48"/>
  <c r="Y54" i="48"/>
  <c r="X54" i="48"/>
  <c r="W54" i="48"/>
  <c r="V54" i="48"/>
  <c r="U54" i="48"/>
  <c r="T54" i="48"/>
  <c r="S54" i="48"/>
  <c r="R54" i="48"/>
  <c r="Q54" i="48"/>
  <c r="P54" i="48"/>
  <c r="O54" i="48"/>
  <c r="N54" i="48"/>
  <c r="M54" i="48"/>
  <c r="L54" i="48"/>
  <c r="K54" i="48"/>
  <c r="J54" i="48"/>
  <c r="I54" i="48"/>
  <c r="H54" i="48"/>
  <c r="G54" i="48"/>
  <c r="F54" i="48"/>
  <c r="E54" i="48"/>
  <c r="C54" i="48"/>
  <c r="AI53" i="48"/>
  <c r="AH53" i="48"/>
  <c r="AI52" i="48"/>
  <c r="AH52" i="48"/>
  <c r="AI51" i="48"/>
  <c r="AH51" i="48"/>
  <c r="AG50" i="48"/>
  <c r="AG91" i="48" s="1"/>
  <c r="AF50" i="48"/>
  <c r="AE50" i="48"/>
  <c r="AD50" i="48"/>
  <c r="AC50" i="48"/>
  <c r="AB50" i="48"/>
  <c r="Z50" i="48"/>
  <c r="Y50" i="48"/>
  <c r="X50" i="48"/>
  <c r="W50" i="48"/>
  <c r="V50" i="48"/>
  <c r="U50" i="48"/>
  <c r="T50" i="48"/>
  <c r="R50" i="48"/>
  <c r="Q50" i="48"/>
  <c r="P50" i="48"/>
  <c r="O50" i="48"/>
  <c r="N50" i="48"/>
  <c r="M50" i="48"/>
  <c r="L50" i="48"/>
  <c r="K50" i="48"/>
  <c r="J50" i="48"/>
  <c r="I50" i="48"/>
  <c r="H50" i="48"/>
  <c r="G50" i="48"/>
  <c r="F50" i="48"/>
  <c r="E50" i="48"/>
  <c r="AI49" i="48"/>
  <c r="AH49" i="48"/>
  <c r="AI48" i="48"/>
  <c r="AH48" i="48"/>
  <c r="AI47" i="48"/>
  <c r="AH47" i="48"/>
  <c r="AI46" i="48"/>
  <c r="AH46" i="48"/>
  <c r="AI45" i="48"/>
  <c r="AH45" i="48"/>
  <c r="AI44" i="48"/>
  <c r="AH44" i="48"/>
  <c r="AI43" i="48"/>
  <c r="AH43" i="48"/>
  <c r="AI42" i="48"/>
  <c r="AH42" i="48"/>
  <c r="AI41" i="48"/>
  <c r="AH41" i="48"/>
  <c r="AI40" i="48"/>
  <c r="AH40" i="48"/>
  <c r="AI39" i="48"/>
  <c r="AH39" i="48"/>
  <c r="AI38" i="48"/>
  <c r="AH38" i="48"/>
  <c r="AI37" i="48"/>
  <c r="AH37" i="48"/>
  <c r="AI36" i="48"/>
  <c r="AH36" i="48"/>
  <c r="AI35" i="48"/>
  <c r="AH35" i="48"/>
  <c r="AI34" i="48"/>
  <c r="AH34" i="48"/>
  <c r="AI33" i="48"/>
  <c r="AH33" i="48"/>
  <c r="AI32" i="48"/>
  <c r="AH32" i="48"/>
  <c r="AI31" i="48"/>
  <c r="AH31" i="48"/>
  <c r="AI30" i="48"/>
  <c r="AH30" i="48"/>
  <c r="AI29" i="48"/>
  <c r="AH29" i="48"/>
  <c r="AI28" i="48"/>
  <c r="AH28" i="48"/>
  <c r="AI27" i="48"/>
  <c r="AH27" i="48"/>
  <c r="AI26" i="48"/>
  <c r="AH26" i="48"/>
  <c r="AI25" i="48"/>
  <c r="AH25" i="48"/>
  <c r="AI24" i="48"/>
  <c r="AH24" i="48"/>
  <c r="AI23" i="48"/>
  <c r="AH23" i="48"/>
  <c r="AI22" i="48"/>
  <c r="AH22" i="48"/>
  <c r="AI21" i="48"/>
  <c r="AH21" i="48"/>
  <c r="AI20" i="48"/>
  <c r="AH20" i="48"/>
  <c r="AI19" i="48"/>
  <c r="AH19" i="48"/>
  <c r="AI18" i="48"/>
  <c r="AH18" i="48"/>
  <c r="AI17" i="48"/>
  <c r="AH17" i="48"/>
  <c r="AI16" i="48"/>
  <c r="AH16" i="48"/>
  <c r="AI15" i="48"/>
  <c r="AH15" i="48"/>
  <c r="AI14" i="48"/>
  <c r="AH14" i="48"/>
  <c r="AI13" i="48"/>
  <c r="AH13" i="48"/>
  <c r="AI12" i="48"/>
  <c r="AH12" i="48"/>
  <c r="AI11" i="48"/>
  <c r="AH11" i="48"/>
  <c r="AF5" i="48"/>
  <c r="N5" i="48"/>
  <c r="G5" i="48"/>
  <c r="K4" i="48"/>
  <c r="E4" i="48"/>
  <c r="H4" i="48" s="1"/>
  <c r="B4" i="48"/>
  <c r="D246" i="48" s="1"/>
  <c r="AF113" i="47"/>
  <c r="AF50" i="47"/>
  <c r="AF54" i="47"/>
  <c r="AF68" i="47"/>
  <c r="AF72" i="47"/>
  <c r="AF84" i="47"/>
  <c r="AF100" i="47" s="1"/>
  <c r="AG50" i="47"/>
  <c r="AG54" i="47"/>
  <c r="AG72" i="47"/>
  <c r="AG84" i="47"/>
  <c r="AG88" i="47"/>
  <c r="AE113" i="47"/>
  <c r="AE50" i="47"/>
  <c r="AE54" i="47"/>
  <c r="AE68" i="47"/>
  <c r="AE72" i="47"/>
  <c r="AE84" i="47"/>
  <c r="AE100" i="47" s="1"/>
  <c r="T84" i="47"/>
  <c r="C270" i="48" l="1"/>
  <c r="AF100" i="48"/>
  <c r="AE100" i="48"/>
  <c r="AE89" i="48"/>
  <c r="AE91" i="48" s="1"/>
  <c r="AW249" i="48" s="1"/>
  <c r="AD100" i="48"/>
  <c r="AD89" i="48"/>
  <c r="AD91" i="48" s="1"/>
  <c r="AV249" i="48" s="1"/>
  <c r="AB5" i="48"/>
  <c r="AC89" i="48"/>
  <c r="AC91" i="48" s="1"/>
  <c r="AC92" i="48" s="1"/>
  <c r="AB89" i="48"/>
  <c r="AB91" i="48" s="1"/>
  <c r="AB92" i="48" s="1"/>
  <c r="Y5" i="48"/>
  <c r="Z89" i="48"/>
  <c r="Z91" i="48" s="1"/>
  <c r="Z7" i="48" s="1"/>
  <c r="W5" i="48"/>
  <c r="X5" i="48"/>
  <c r="Y89" i="48"/>
  <c r="Y91" i="48" s="1"/>
  <c r="Y7" i="48" s="1"/>
  <c r="V5" i="48"/>
  <c r="W89" i="48"/>
  <c r="W91" i="48" s="1"/>
  <c r="U5" i="48"/>
  <c r="V89" i="48"/>
  <c r="V91" i="48" s="1"/>
  <c r="U100" i="48"/>
  <c r="T89" i="48"/>
  <c r="T91" i="48" s="1"/>
  <c r="T92" i="48" s="1"/>
  <c r="U89" i="48"/>
  <c r="U91" i="48" s="1"/>
  <c r="U92" i="48" s="1"/>
  <c r="Q5" i="48"/>
  <c r="R89" i="48"/>
  <c r="R91" i="48" s="1"/>
  <c r="AJ249" i="48" s="1"/>
  <c r="P5" i="48"/>
  <c r="AI72" i="48"/>
  <c r="Q89" i="48"/>
  <c r="Q91" i="48" s="1"/>
  <c r="Q7" i="48" s="1"/>
  <c r="O5" i="48"/>
  <c r="O89" i="48"/>
  <c r="O91" i="48" s="1"/>
  <c r="N100" i="48"/>
  <c r="N89" i="48"/>
  <c r="N91" i="48" s="1"/>
  <c r="AF249" i="48" s="1"/>
  <c r="M100" i="48"/>
  <c r="M89" i="48"/>
  <c r="M91" i="48" s="1"/>
  <c r="AE249" i="48" s="1"/>
  <c r="L89" i="48"/>
  <c r="L91" i="48" s="1"/>
  <c r="L7" i="48" s="1"/>
  <c r="K89" i="48"/>
  <c r="K91" i="48" s="1"/>
  <c r="AC249" i="48" s="1"/>
  <c r="J89" i="48"/>
  <c r="J91" i="48" s="1"/>
  <c r="AB249" i="48" s="1"/>
  <c r="I5" i="48"/>
  <c r="H5" i="48"/>
  <c r="I89" i="48"/>
  <c r="I91" i="48" s="1"/>
  <c r="I7" i="48" s="1"/>
  <c r="H89" i="48"/>
  <c r="H91" i="48" s="1"/>
  <c r="H7" i="48" s="1"/>
  <c r="G100" i="48"/>
  <c r="G89" i="48"/>
  <c r="G91" i="48" s="1"/>
  <c r="G7" i="48" s="1"/>
  <c r="E5" i="48"/>
  <c r="F89" i="48"/>
  <c r="F91" i="48" s="1"/>
  <c r="F7" i="48" s="1"/>
  <c r="D5" i="48"/>
  <c r="E89" i="48"/>
  <c r="E91" i="48" s="1"/>
  <c r="W249" i="48" s="1"/>
  <c r="AH50" i="48"/>
  <c r="D89" i="48"/>
  <c r="D91" i="48" s="1"/>
  <c r="D92" i="48" s="1"/>
  <c r="AI68" i="48"/>
  <c r="C89" i="48"/>
  <c r="C91" i="48" s="1"/>
  <c r="C7" i="48" s="1"/>
  <c r="B89" i="48"/>
  <c r="B91" i="48" s="1"/>
  <c r="B92" i="48" s="1"/>
  <c r="AG249" i="48"/>
  <c r="O7" i="48"/>
  <c r="O92" i="48"/>
  <c r="AO249" i="48"/>
  <c r="W92" i="48"/>
  <c r="W7" i="48"/>
  <c r="AN249" i="48"/>
  <c r="V92" i="48"/>
  <c r="V7" i="48"/>
  <c r="M92" i="48"/>
  <c r="C100" i="48"/>
  <c r="B5" i="48"/>
  <c r="K100" i="48"/>
  <c r="J5" i="48"/>
  <c r="S100" i="48"/>
  <c r="R5" i="48"/>
  <c r="AA100" i="48"/>
  <c r="Z5" i="48"/>
  <c r="AI84" i="48"/>
  <c r="F234" i="48"/>
  <c r="P89" i="48"/>
  <c r="P91" i="48" s="1"/>
  <c r="X89" i="48"/>
  <c r="X91" i="48" s="1"/>
  <c r="AF89" i="48"/>
  <c r="AF91" i="48" s="1"/>
  <c r="AG89" i="48"/>
  <c r="AG2" i="48"/>
  <c r="AG6" i="48" s="1"/>
  <c r="AI54" i="48"/>
  <c r="AH54" i="48"/>
  <c r="S246" i="48"/>
  <c r="B235" i="48"/>
  <c r="J7" i="48"/>
  <c r="J92" i="48"/>
  <c r="AH68" i="48"/>
  <c r="AH72" i="48"/>
  <c r="S89" i="48"/>
  <c r="S91" i="48" s="1"/>
  <c r="AA89" i="48"/>
  <c r="AA91" i="48" s="1"/>
  <c r="D235" i="48"/>
  <c r="E229" i="48"/>
  <c r="D110" i="48"/>
  <c r="AI50" i="48"/>
  <c r="AH84" i="48"/>
  <c r="C5" i="48"/>
  <c r="K5" i="48"/>
  <c r="S5" i="48"/>
  <c r="AA5" i="48"/>
  <c r="AF89" i="47"/>
  <c r="AF91" i="47" s="1"/>
  <c r="AF92" i="47" s="1"/>
  <c r="AE89" i="47"/>
  <c r="AE91" i="47" s="1"/>
  <c r="AE92" i="47" s="1"/>
  <c r="R92" i="48" l="1"/>
  <c r="N7" i="48"/>
  <c r="R7" i="48"/>
  <c r="N92" i="48"/>
  <c r="G92" i="48"/>
  <c r="AI249" i="48"/>
  <c r="Q92" i="48"/>
  <c r="AE92" i="48"/>
  <c r="AE7" i="48"/>
  <c r="AD7" i="48"/>
  <c r="AD92" i="48"/>
  <c r="AC7" i="48"/>
  <c r="AU249" i="48"/>
  <c r="AB7" i="48"/>
  <c r="AT249" i="48"/>
  <c r="AR249" i="48"/>
  <c r="Z92" i="48"/>
  <c r="AQ249" i="48"/>
  <c r="Y92" i="48"/>
  <c r="T7" i="48"/>
  <c r="AL249" i="48"/>
  <c r="U7" i="48"/>
  <c r="AM249" i="48"/>
  <c r="D7" i="48"/>
  <c r="V249" i="48"/>
  <c r="M7" i="48"/>
  <c r="L92" i="48"/>
  <c r="K92" i="48"/>
  <c r="K7" i="48"/>
  <c r="AD249" i="48"/>
  <c r="AA249" i="48"/>
  <c r="I92" i="48"/>
  <c r="H92" i="48"/>
  <c r="Z249" i="48"/>
  <c r="E92" i="48"/>
  <c r="B244" i="48"/>
  <c r="C244" i="48"/>
  <c r="Y249" i="48"/>
  <c r="F92" i="48"/>
  <c r="X249" i="48"/>
  <c r="E7" i="48"/>
  <c r="AI100" i="48"/>
  <c r="C92" i="48"/>
  <c r="U249" i="48"/>
  <c r="AH100" i="48"/>
  <c r="AA7" i="48"/>
  <c r="AA92" i="48"/>
  <c r="AS249" i="48"/>
  <c r="AF7" i="48"/>
  <c r="AX249" i="48"/>
  <c r="AF92" i="48"/>
  <c r="S7" i="48"/>
  <c r="AK249" i="48"/>
  <c r="S92" i="48"/>
  <c r="X7" i="48"/>
  <c r="AP249" i="48"/>
  <c r="X92" i="48"/>
  <c r="P7" i="48"/>
  <c r="AH249" i="48"/>
  <c r="P92" i="48"/>
  <c r="E270" i="48"/>
  <c r="G234" i="48"/>
  <c r="F229" i="48"/>
  <c r="E235" i="48"/>
  <c r="E110" i="48"/>
  <c r="AI89" i="48"/>
  <c r="AH89" i="48"/>
  <c r="K6" i="48" l="1"/>
  <c r="F270" i="48"/>
  <c r="H234" i="48"/>
  <c r="G229" i="48"/>
  <c r="F110" i="48"/>
  <c r="F235" i="48"/>
  <c r="B7" i="48"/>
  <c r="A7" i="48" s="1"/>
  <c r="T249" i="48"/>
  <c r="AI91" i="48"/>
  <c r="AH91" i="48"/>
  <c r="G270" i="48" l="1"/>
  <c r="I234" i="48"/>
  <c r="H229" i="48"/>
  <c r="G110" i="48"/>
  <c r="G235" i="48"/>
  <c r="AI92" i="48"/>
  <c r="AH92" i="48"/>
  <c r="H270" i="48" l="1"/>
  <c r="J234" i="48"/>
  <c r="I229" i="48"/>
  <c r="H110" i="48"/>
  <c r="H235" i="48"/>
  <c r="I110" i="48" l="1"/>
  <c r="J229" i="48"/>
  <c r="K234" i="48"/>
  <c r="I270" i="48"/>
  <c r="L234" i="48" l="1"/>
  <c r="J270" i="48"/>
  <c r="J110" i="48"/>
  <c r="K229" i="48"/>
  <c r="K110" i="48" l="1"/>
  <c r="L229" i="48"/>
  <c r="K270" i="48"/>
  <c r="M234" i="48"/>
  <c r="L270" i="48" l="1"/>
  <c r="N234" i="48"/>
  <c r="M229" i="48"/>
  <c r="L110" i="48"/>
  <c r="N229" i="48" l="1"/>
  <c r="M110" i="48"/>
  <c r="O234" i="48"/>
  <c r="M270" i="48"/>
  <c r="N270" i="48" l="1"/>
  <c r="P234" i="48"/>
  <c r="O270" i="48" s="1"/>
  <c r="O229" i="48"/>
  <c r="N110" i="48"/>
  <c r="P229" i="48" l="1"/>
  <c r="O110" i="48"/>
  <c r="AI110" i="48" l="1"/>
  <c r="AH110" i="48"/>
  <c r="L113" i="47" l="1"/>
  <c r="K113" i="47"/>
  <c r="J113" i="47"/>
  <c r="I113" i="47"/>
  <c r="H113" i="47"/>
  <c r="F113" i="47"/>
  <c r="AI113" i="47" s="1"/>
  <c r="G113" i="47"/>
  <c r="E113" i="47"/>
  <c r="AF274" i="47"/>
  <c r="AE274" i="47"/>
  <c r="AD274" i="47"/>
  <c r="AC274" i="47"/>
  <c r="AB274" i="47"/>
  <c r="AA274" i="47"/>
  <c r="Z274" i="47"/>
  <c r="Y274" i="47"/>
  <c r="X274" i="47"/>
  <c r="W274" i="47"/>
  <c r="V274" i="47"/>
  <c r="U274" i="47"/>
  <c r="T274" i="47"/>
  <c r="S274" i="47"/>
  <c r="R274" i="47"/>
  <c r="Q274" i="47"/>
  <c r="P274" i="47"/>
  <c r="O274" i="47"/>
  <c r="N274" i="47"/>
  <c r="M274" i="47"/>
  <c r="L274" i="47"/>
  <c r="K274" i="47"/>
  <c r="J274" i="47"/>
  <c r="I274" i="47"/>
  <c r="H274" i="47"/>
  <c r="G274" i="47"/>
  <c r="F274" i="47"/>
  <c r="E274" i="47"/>
  <c r="D274" i="47"/>
  <c r="C274" i="47"/>
  <c r="B274" i="47"/>
  <c r="A274" i="47"/>
  <c r="AF273" i="47"/>
  <c r="AE273" i="47"/>
  <c r="AD273" i="47"/>
  <c r="AC273" i="47"/>
  <c r="AB273" i="47"/>
  <c r="AA273" i="47"/>
  <c r="Z273" i="47"/>
  <c r="Y273" i="47"/>
  <c r="X273" i="47"/>
  <c r="W273" i="47"/>
  <c r="V273" i="47"/>
  <c r="U273" i="47"/>
  <c r="T273" i="47"/>
  <c r="S273" i="47"/>
  <c r="R273" i="47"/>
  <c r="Q273" i="47"/>
  <c r="P273" i="47"/>
  <c r="O273" i="47"/>
  <c r="N273" i="47"/>
  <c r="M273" i="47"/>
  <c r="L273" i="47"/>
  <c r="K273" i="47"/>
  <c r="J273" i="47"/>
  <c r="I273" i="47"/>
  <c r="H273" i="47"/>
  <c r="G273" i="47"/>
  <c r="F273" i="47"/>
  <c r="E273" i="47"/>
  <c r="D273" i="47"/>
  <c r="C273" i="47"/>
  <c r="B273" i="47"/>
  <c r="A273" i="47"/>
  <c r="AF272" i="47"/>
  <c r="AE272" i="47"/>
  <c r="AD272" i="47"/>
  <c r="AC272" i="47"/>
  <c r="AB272" i="47"/>
  <c r="AA272" i="47"/>
  <c r="Z272" i="47"/>
  <c r="Y272" i="47"/>
  <c r="X272" i="47"/>
  <c r="W272" i="47"/>
  <c r="V272" i="47"/>
  <c r="U272" i="47"/>
  <c r="T272" i="47"/>
  <c r="S272" i="47"/>
  <c r="R272" i="47"/>
  <c r="Q272" i="47"/>
  <c r="P272" i="47"/>
  <c r="O272" i="47"/>
  <c r="N272" i="47"/>
  <c r="M272" i="47"/>
  <c r="L272" i="47"/>
  <c r="K272" i="47"/>
  <c r="J272" i="47"/>
  <c r="I272" i="47"/>
  <c r="H272" i="47"/>
  <c r="G272" i="47"/>
  <c r="F272" i="47"/>
  <c r="E272" i="47"/>
  <c r="D272" i="47"/>
  <c r="C272" i="47"/>
  <c r="B272" i="47"/>
  <c r="A272" i="47"/>
  <c r="AF271" i="47"/>
  <c r="AE271" i="47"/>
  <c r="AD271" i="47"/>
  <c r="AC271" i="47"/>
  <c r="AB271" i="47"/>
  <c r="AA271" i="47"/>
  <c r="Z271" i="47"/>
  <c r="Y271" i="47"/>
  <c r="X271" i="47"/>
  <c r="W271" i="47"/>
  <c r="V271" i="47"/>
  <c r="U271" i="47"/>
  <c r="T271" i="47"/>
  <c r="S271" i="47"/>
  <c r="R271" i="47"/>
  <c r="Q271" i="47"/>
  <c r="P271" i="47"/>
  <c r="O271" i="47"/>
  <c r="N271" i="47"/>
  <c r="M271" i="47"/>
  <c r="L271" i="47"/>
  <c r="K271" i="47"/>
  <c r="J271" i="47"/>
  <c r="I271" i="47"/>
  <c r="H271" i="47"/>
  <c r="G271" i="47"/>
  <c r="F271" i="47"/>
  <c r="E271" i="47"/>
  <c r="D271" i="47"/>
  <c r="C271" i="47"/>
  <c r="B271" i="47"/>
  <c r="A271" i="47"/>
  <c r="AE270" i="47"/>
  <c r="AD270" i="47"/>
  <c r="AC270" i="47"/>
  <c r="AB270" i="47"/>
  <c r="AA270" i="47"/>
  <c r="Z270" i="47"/>
  <c r="Y270" i="47"/>
  <c r="X270" i="47"/>
  <c r="W270" i="47"/>
  <c r="V270" i="47"/>
  <c r="U270" i="47"/>
  <c r="T270" i="47"/>
  <c r="S270" i="47"/>
  <c r="R270" i="47"/>
  <c r="Q270" i="47"/>
  <c r="P270" i="47"/>
  <c r="B270" i="47"/>
  <c r="S245" i="47"/>
  <c r="AG235" i="47"/>
  <c r="AF235" i="47"/>
  <c r="AE235" i="47"/>
  <c r="AD235" i="47"/>
  <c r="AC235" i="47"/>
  <c r="AB235" i="47"/>
  <c r="AA235" i="47"/>
  <c r="Z235" i="47"/>
  <c r="Y235" i="47"/>
  <c r="X235" i="47"/>
  <c r="W235" i="47"/>
  <c r="V235" i="47"/>
  <c r="U235" i="47"/>
  <c r="T235" i="47"/>
  <c r="S235" i="47"/>
  <c r="R235" i="47"/>
  <c r="Q235" i="47"/>
  <c r="C235" i="47"/>
  <c r="D234" i="47"/>
  <c r="C270" i="47" s="1"/>
  <c r="B234" i="47"/>
  <c r="AF270" i="47" s="1"/>
  <c r="E233" i="47"/>
  <c r="F233" i="47" s="1"/>
  <c r="G233" i="47" s="1"/>
  <c r="H233" i="47" s="1"/>
  <c r="I233" i="47" s="1"/>
  <c r="J233" i="47" s="1"/>
  <c r="K233" i="47" s="1"/>
  <c r="L233" i="47" s="1"/>
  <c r="M233" i="47" s="1"/>
  <c r="N233" i="47" s="1"/>
  <c r="O233" i="47" s="1"/>
  <c r="P233" i="47" s="1"/>
  <c r="D233" i="47"/>
  <c r="B233" i="47"/>
  <c r="D232" i="47"/>
  <c r="B232" i="47"/>
  <c r="D231" i="47"/>
  <c r="E231" i="47" s="1"/>
  <c r="F231" i="47" s="1"/>
  <c r="G231" i="47" s="1"/>
  <c r="H231" i="47" s="1"/>
  <c r="B231" i="47"/>
  <c r="D230" i="47"/>
  <c r="E230" i="47" s="1"/>
  <c r="F230" i="47" s="1"/>
  <c r="G230" i="47" s="1"/>
  <c r="H230" i="47" s="1"/>
  <c r="I230" i="47" s="1"/>
  <c r="J230" i="47" s="1"/>
  <c r="K230" i="47" s="1"/>
  <c r="L230" i="47" s="1"/>
  <c r="M230" i="47" s="1"/>
  <c r="N230" i="47" s="1"/>
  <c r="O230" i="47" s="1"/>
  <c r="P230" i="47" s="1"/>
  <c r="B230" i="47"/>
  <c r="D229" i="47"/>
  <c r="D110" i="47" s="1"/>
  <c r="B229" i="47"/>
  <c r="AG227" i="47"/>
  <c r="AF227" i="47"/>
  <c r="AE227" i="47"/>
  <c r="AD227" i="47"/>
  <c r="AC227" i="47"/>
  <c r="AB227" i="47"/>
  <c r="AA227" i="47"/>
  <c r="Z227" i="47"/>
  <c r="Y227" i="47"/>
  <c r="X227" i="47"/>
  <c r="W227" i="47"/>
  <c r="V227" i="47"/>
  <c r="U227" i="47"/>
  <c r="T227" i="47"/>
  <c r="S227" i="47"/>
  <c r="R227" i="47"/>
  <c r="Q227" i="47"/>
  <c r="P227" i="47"/>
  <c r="O227" i="47"/>
  <c r="N227" i="47"/>
  <c r="M227" i="47"/>
  <c r="L227" i="47"/>
  <c r="K227" i="47"/>
  <c r="J227" i="47"/>
  <c r="I227" i="47"/>
  <c r="H227" i="47"/>
  <c r="G227" i="47"/>
  <c r="F227" i="47"/>
  <c r="E227" i="47"/>
  <c r="D227" i="47"/>
  <c r="C227" i="47"/>
  <c r="B227" i="47"/>
  <c r="AI120" i="47"/>
  <c r="AH120" i="47"/>
  <c r="AI119" i="47"/>
  <c r="AH119" i="47"/>
  <c r="AI118" i="47"/>
  <c r="AH118" i="47"/>
  <c r="AI117" i="47"/>
  <c r="AH117" i="47"/>
  <c r="AI116" i="47"/>
  <c r="AH116" i="47"/>
  <c r="AI115" i="47"/>
  <c r="AH115" i="47"/>
  <c r="AI114" i="47"/>
  <c r="AH114" i="47"/>
  <c r="AI112" i="47"/>
  <c r="AH112" i="47"/>
  <c r="AI111" i="47"/>
  <c r="AH111" i="47"/>
  <c r="AC110" i="47"/>
  <c r="AB110" i="47"/>
  <c r="AA110" i="47"/>
  <c r="Z110" i="47"/>
  <c r="Y110" i="47"/>
  <c r="X110" i="47"/>
  <c r="W110" i="47"/>
  <c r="V110" i="47"/>
  <c r="U110" i="47"/>
  <c r="T110" i="47"/>
  <c r="S110" i="47"/>
  <c r="R110" i="47"/>
  <c r="Q110" i="47"/>
  <c r="C110" i="47"/>
  <c r="AI109" i="47"/>
  <c r="AH109" i="47"/>
  <c r="AI108" i="47"/>
  <c r="AH108" i="47"/>
  <c r="AI107" i="47"/>
  <c r="AH107" i="47"/>
  <c r="AI106" i="47"/>
  <c r="AH106" i="47"/>
  <c r="AI105" i="47"/>
  <c r="AH105" i="47"/>
  <c r="AI104" i="47"/>
  <c r="AH104" i="47"/>
  <c r="AI103" i="47"/>
  <c r="AH103" i="47"/>
  <c r="AI102" i="47"/>
  <c r="AH102" i="47"/>
  <c r="AI101" i="47"/>
  <c r="AH101" i="47"/>
  <c r="AI99" i="47"/>
  <c r="AH99" i="47"/>
  <c r="AI98" i="47"/>
  <c r="AH98" i="47"/>
  <c r="AI97" i="47"/>
  <c r="AH97" i="47"/>
  <c r="AI96" i="47"/>
  <c r="AH96" i="47"/>
  <c r="AI95" i="47"/>
  <c r="AH95" i="47"/>
  <c r="AI94" i="47"/>
  <c r="AH94" i="47"/>
  <c r="AI93" i="47"/>
  <c r="AH93" i="47"/>
  <c r="AI90" i="47"/>
  <c r="AH90" i="47"/>
  <c r="AI88" i="47"/>
  <c r="AH88" i="47"/>
  <c r="AI87" i="47"/>
  <c r="AH87" i="47"/>
  <c r="AI86" i="47"/>
  <c r="AH86" i="47"/>
  <c r="AI85" i="47"/>
  <c r="AH85" i="47"/>
  <c r="AN84" i="47"/>
  <c r="AD84" i="47"/>
  <c r="AC5" i="47" s="1"/>
  <c r="AC84" i="47"/>
  <c r="AC100" i="47" s="1"/>
  <c r="AB84" i="47"/>
  <c r="AB100" i="47" s="1"/>
  <c r="AA84" i="47"/>
  <c r="AA100" i="47" s="1"/>
  <c r="Z84" i="47"/>
  <c r="Z100" i="47" s="1"/>
  <c r="Y84" i="47"/>
  <c r="Y100" i="47" s="1"/>
  <c r="X84" i="47"/>
  <c r="X100" i="47" s="1"/>
  <c r="W84" i="47"/>
  <c r="W100" i="47" s="1"/>
  <c r="V84" i="47"/>
  <c r="V100" i="47" s="1"/>
  <c r="U84" i="47"/>
  <c r="U100" i="47" s="1"/>
  <c r="T100" i="47"/>
  <c r="S84" i="47"/>
  <c r="S100" i="47" s="1"/>
  <c r="R84" i="47"/>
  <c r="R100" i="47" s="1"/>
  <c r="Q84" i="47"/>
  <c r="Q100" i="47" s="1"/>
  <c r="P84" i="47"/>
  <c r="P100" i="47" s="1"/>
  <c r="O84" i="47"/>
  <c r="O100" i="47" s="1"/>
  <c r="N84" i="47"/>
  <c r="N100" i="47" s="1"/>
  <c r="M84" i="47"/>
  <c r="M100" i="47" s="1"/>
  <c r="L84" i="47"/>
  <c r="L100" i="47" s="1"/>
  <c r="K84" i="47"/>
  <c r="J5" i="47" s="1"/>
  <c r="J84" i="47"/>
  <c r="J100" i="47" s="1"/>
  <c r="I84" i="47"/>
  <c r="I100" i="47" s="1"/>
  <c r="H84" i="47"/>
  <c r="H100" i="47" s="1"/>
  <c r="G84" i="47"/>
  <c r="G100" i="47" s="1"/>
  <c r="F84" i="47"/>
  <c r="E5" i="47" s="1"/>
  <c r="E84" i="47"/>
  <c r="E100" i="47" s="1"/>
  <c r="D84" i="47"/>
  <c r="D100" i="47" s="1"/>
  <c r="C84" i="47"/>
  <c r="C100" i="47" s="1"/>
  <c r="AI83" i="47"/>
  <c r="AH83" i="47"/>
  <c r="AN82" i="47"/>
  <c r="AI82" i="47"/>
  <c r="AH82" i="47"/>
  <c r="AN81" i="47"/>
  <c r="AN83" i="47" s="1"/>
  <c r="AI81" i="47"/>
  <c r="AH81" i="47"/>
  <c r="AI80" i="47"/>
  <c r="AH80" i="47"/>
  <c r="AI79" i="47"/>
  <c r="AH79" i="47"/>
  <c r="AI78" i="47"/>
  <c r="AH78" i="47"/>
  <c r="AI77" i="47"/>
  <c r="AH77" i="47"/>
  <c r="AI76" i="47"/>
  <c r="AH76" i="47"/>
  <c r="AI75" i="47"/>
  <c r="AH75" i="47"/>
  <c r="AI74" i="47"/>
  <c r="AH74" i="47"/>
  <c r="AI73" i="47"/>
  <c r="AH73" i="47"/>
  <c r="AD72" i="47"/>
  <c r="AC72" i="47"/>
  <c r="AB72" i="47"/>
  <c r="AA72" i="47"/>
  <c r="Z72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AI71" i="47"/>
  <c r="AH71" i="47"/>
  <c r="AI70" i="47"/>
  <c r="AH70" i="47"/>
  <c r="AI69" i="47"/>
  <c r="AH69" i="47"/>
  <c r="AD68" i="47"/>
  <c r="AC68" i="47"/>
  <c r="AB68" i="47"/>
  <c r="AA68" i="47"/>
  <c r="Z68" i="47"/>
  <c r="Y68" i="47"/>
  <c r="X68" i="47"/>
  <c r="W68" i="47"/>
  <c r="V68" i="47"/>
  <c r="U68" i="47"/>
  <c r="T68" i="47"/>
  <c r="S68" i="47"/>
  <c r="R68" i="47"/>
  <c r="Q68" i="47"/>
  <c r="P68" i="47"/>
  <c r="O68" i="47"/>
  <c r="N68" i="47"/>
  <c r="M68" i="47"/>
  <c r="L68" i="47"/>
  <c r="K68" i="47"/>
  <c r="J68" i="47"/>
  <c r="I68" i="47"/>
  <c r="H68" i="47"/>
  <c r="G68" i="47"/>
  <c r="F68" i="47"/>
  <c r="E68" i="47"/>
  <c r="D68" i="47"/>
  <c r="C68" i="47"/>
  <c r="AI67" i="47"/>
  <c r="AH67" i="47"/>
  <c r="AI66" i="47"/>
  <c r="AH66" i="47"/>
  <c r="AI65" i="47"/>
  <c r="AH65" i="47"/>
  <c r="AI64" i="47"/>
  <c r="AH64" i="47"/>
  <c r="AI63" i="47"/>
  <c r="AH63" i="47"/>
  <c r="AI62" i="47"/>
  <c r="AH62" i="47"/>
  <c r="AI61" i="47"/>
  <c r="AH61" i="47"/>
  <c r="AI60" i="47"/>
  <c r="AH60" i="47"/>
  <c r="AI59" i="47"/>
  <c r="AH59" i="47"/>
  <c r="AI58" i="47"/>
  <c r="AH58" i="47"/>
  <c r="AI57" i="47"/>
  <c r="AH57" i="47"/>
  <c r="AI56" i="47"/>
  <c r="AH56" i="47"/>
  <c r="AI55" i="47"/>
  <c r="AH55" i="47"/>
  <c r="AD54" i="47"/>
  <c r="AC54" i="47"/>
  <c r="AB54" i="47"/>
  <c r="AA54" i="47"/>
  <c r="Z54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AI53" i="47"/>
  <c r="AH53" i="47"/>
  <c r="AI52" i="47"/>
  <c r="AH52" i="47"/>
  <c r="AI51" i="47"/>
  <c r="AH51" i="47"/>
  <c r="AD50" i="47"/>
  <c r="AC50" i="47"/>
  <c r="AB50" i="47"/>
  <c r="AA50" i="47"/>
  <c r="Z50" i="47"/>
  <c r="Y50" i="47"/>
  <c r="Y89" i="47" s="1"/>
  <c r="Y91" i="47" s="1"/>
  <c r="X50" i="47"/>
  <c r="W50" i="47"/>
  <c r="V50" i="47"/>
  <c r="U50" i="47"/>
  <c r="T50" i="47"/>
  <c r="S50" i="47"/>
  <c r="R50" i="47"/>
  <c r="Q50" i="47"/>
  <c r="P50" i="47"/>
  <c r="O50" i="47"/>
  <c r="N50" i="47"/>
  <c r="M50" i="47"/>
  <c r="L50" i="47"/>
  <c r="K50" i="47"/>
  <c r="J50" i="47"/>
  <c r="I50" i="47"/>
  <c r="H50" i="47"/>
  <c r="G50" i="47"/>
  <c r="F50" i="47"/>
  <c r="E50" i="47"/>
  <c r="D50" i="47"/>
  <c r="C50" i="47"/>
  <c r="AI49" i="47"/>
  <c r="AH49" i="47"/>
  <c r="AI48" i="47"/>
  <c r="AH48" i="47"/>
  <c r="AI47" i="47"/>
  <c r="AH47" i="47"/>
  <c r="AI46" i="47"/>
  <c r="AH46" i="47"/>
  <c r="AI45" i="47"/>
  <c r="AH45" i="47"/>
  <c r="AI44" i="47"/>
  <c r="AH44" i="47"/>
  <c r="AI43" i="47"/>
  <c r="AH43" i="47"/>
  <c r="AI42" i="47"/>
  <c r="AH42" i="47"/>
  <c r="AI41" i="47"/>
  <c r="AH41" i="47"/>
  <c r="AI40" i="47"/>
  <c r="AH40" i="47"/>
  <c r="AI39" i="47"/>
  <c r="AH39" i="47"/>
  <c r="AI38" i="47"/>
  <c r="AH38" i="47"/>
  <c r="AI37" i="47"/>
  <c r="AH37" i="47"/>
  <c r="AI36" i="47"/>
  <c r="AH36" i="47"/>
  <c r="AI35" i="47"/>
  <c r="AH35" i="47"/>
  <c r="AI34" i="47"/>
  <c r="AH34" i="47"/>
  <c r="AI33" i="47"/>
  <c r="AH33" i="47"/>
  <c r="AI32" i="47"/>
  <c r="AH32" i="47"/>
  <c r="AI31" i="47"/>
  <c r="AH31" i="47"/>
  <c r="AI30" i="47"/>
  <c r="AH30" i="47"/>
  <c r="AI29" i="47"/>
  <c r="AH29" i="47"/>
  <c r="AI28" i="47"/>
  <c r="AH28" i="47"/>
  <c r="AI27" i="47"/>
  <c r="AH27" i="47"/>
  <c r="AI26" i="47"/>
  <c r="AH26" i="47"/>
  <c r="AI25" i="47"/>
  <c r="AH25" i="47"/>
  <c r="AI24" i="47"/>
  <c r="AH24" i="47"/>
  <c r="AI23" i="47"/>
  <c r="AH23" i="47"/>
  <c r="AI22" i="47"/>
  <c r="AH22" i="47"/>
  <c r="AI21" i="47"/>
  <c r="AH21" i="47"/>
  <c r="AI20" i="47"/>
  <c r="AH20" i="47"/>
  <c r="AI19" i="47"/>
  <c r="AH19" i="47"/>
  <c r="AI18" i="47"/>
  <c r="AH18" i="47"/>
  <c r="AI17" i="47"/>
  <c r="AH17" i="47"/>
  <c r="AI16" i="47"/>
  <c r="AH16" i="47"/>
  <c r="AI15" i="47"/>
  <c r="AH15" i="47"/>
  <c r="AI14" i="47"/>
  <c r="AH14" i="47"/>
  <c r="AI13" i="47"/>
  <c r="AH13" i="47"/>
  <c r="AI12" i="47"/>
  <c r="AH12" i="47"/>
  <c r="AI11" i="47"/>
  <c r="AH11" i="47"/>
  <c r="AF5" i="47"/>
  <c r="AE5" i="47"/>
  <c r="AD5" i="47"/>
  <c r="Y5" i="47"/>
  <c r="T5" i="47"/>
  <c r="AG4" i="47"/>
  <c r="K4" i="47"/>
  <c r="E4" i="47"/>
  <c r="H4" i="47" s="1"/>
  <c r="B4" i="47"/>
  <c r="S246" i="47" s="1"/>
  <c r="AB113" i="45"/>
  <c r="AF274" i="46"/>
  <c r="AE274" i="46"/>
  <c r="AD274" i="46"/>
  <c r="AC274" i="46"/>
  <c r="AB274" i="46"/>
  <c r="AA274" i="46"/>
  <c r="Z274" i="46"/>
  <c r="Y274" i="46"/>
  <c r="X274" i="46"/>
  <c r="W274" i="46"/>
  <c r="V274" i="46"/>
  <c r="U274" i="46"/>
  <c r="T274" i="46"/>
  <c r="S274" i="46"/>
  <c r="R274" i="46"/>
  <c r="Q274" i="46"/>
  <c r="P274" i="46"/>
  <c r="O274" i="46"/>
  <c r="N274" i="46"/>
  <c r="M274" i="46"/>
  <c r="L274" i="46"/>
  <c r="K274" i="46"/>
  <c r="J274" i="46"/>
  <c r="I274" i="46"/>
  <c r="H274" i="46"/>
  <c r="G274" i="46"/>
  <c r="F274" i="46"/>
  <c r="E274" i="46"/>
  <c r="D274" i="46"/>
  <c r="C274" i="46"/>
  <c r="B274" i="46"/>
  <c r="A274" i="46"/>
  <c r="AF273" i="46"/>
  <c r="AE273" i="46"/>
  <c r="AD273" i="46"/>
  <c r="AC273" i="46"/>
  <c r="AB273" i="46"/>
  <c r="AA273" i="46"/>
  <c r="Z273" i="46"/>
  <c r="Y273" i="46"/>
  <c r="X273" i="46"/>
  <c r="W273" i="46"/>
  <c r="V273" i="46"/>
  <c r="U273" i="46"/>
  <c r="T273" i="46"/>
  <c r="S273" i="46"/>
  <c r="R273" i="46"/>
  <c r="Q273" i="46"/>
  <c r="P273" i="46"/>
  <c r="O273" i="46"/>
  <c r="N273" i="46"/>
  <c r="M273" i="46"/>
  <c r="L273" i="46"/>
  <c r="K273" i="46"/>
  <c r="J273" i="46"/>
  <c r="I273" i="46"/>
  <c r="H273" i="46"/>
  <c r="G273" i="46"/>
  <c r="F273" i="46"/>
  <c r="E273" i="46"/>
  <c r="D273" i="46"/>
  <c r="C273" i="46"/>
  <c r="B273" i="46"/>
  <c r="A273" i="46"/>
  <c r="AF272" i="46"/>
  <c r="AE272" i="46"/>
  <c r="AD272" i="46"/>
  <c r="AC272" i="46"/>
  <c r="AB272" i="46"/>
  <c r="AA272" i="46"/>
  <c r="Z272" i="46"/>
  <c r="Y272" i="46"/>
  <c r="X272" i="46"/>
  <c r="W272" i="46"/>
  <c r="V272" i="46"/>
  <c r="U272" i="46"/>
  <c r="T272" i="46"/>
  <c r="S272" i="46"/>
  <c r="R272" i="46"/>
  <c r="Q272" i="46"/>
  <c r="P272" i="46"/>
  <c r="O272" i="46"/>
  <c r="N272" i="46"/>
  <c r="M272" i="46"/>
  <c r="L272" i="46"/>
  <c r="K272" i="46"/>
  <c r="J272" i="46"/>
  <c r="I272" i="46"/>
  <c r="H272" i="46"/>
  <c r="G272" i="46"/>
  <c r="F272" i="46"/>
  <c r="E272" i="46"/>
  <c r="D272" i="46"/>
  <c r="C272" i="46"/>
  <c r="B272" i="46"/>
  <c r="A272" i="46"/>
  <c r="AF271" i="46"/>
  <c r="AE271" i="46"/>
  <c r="AD271" i="46"/>
  <c r="AC271" i="46"/>
  <c r="AB271" i="46"/>
  <c r="AA271" i="46"/>
  <c r="Z271" i="46"/>
  <c r="Y271" i="46"/>
  <c r="X271" i="46"/>
  <c r="W271" i="46"/>
  <c r="V271" i="46"/>
  <c r="U271" i="46"/>
  <c r="T271" i="46"/>
  <c r="S271" i="46"/>
  <c r="R271" i="46"/>
  <c r="Q271" i="46"/>
  <c r="P271" i="46"/>
  <c r="O271" i="46"/>
  <c r="N271" i="46"/>
  <c r="M271" i="46"/>
  <c r="L271" i="46"/>
  <c r="K271" i="46"/>
  <c r="J271" i="46"/>
  <c r="I271" i="46"/>
  <c r="H271" i="46"/>
  <c r="G271" i="46"/>
  <c r="F271" i="46"/>
  <c r="E271" i="46"/>
  <c r="D271" i="46"/>
  <c r="C271" i="46"/>
  <c r="B271" i="46"/>
  <c r="A271" i="46"/>
  <c r="AE270" i="46"/>
  <c r="AD270" i="46"/>
  <c r="AC270" i="46"/>
  <c r="AB270" i="46"/>
  <c r="AA270" i="46"/>
  <c r="Z270" i="46"/>
  <c r="Y270" i="46"/>
  <c r="X270" i="46"/>
  <c r="W270" i="46"/>
  <c r="V270" i="46"/>
  <c r="U270" i="46"/>
  <c r="T270" i="46"/>
  <c r="S270" i="46"/>
  <c r="R270" i="46"/>
  <c r="Q270" i="46"/>
  <c r="P270" i="46"/>
  <c r="C270" i="46"/>
  <c r="B270" i="46"/>
  <c r="S245" i="46"/>
  <c r="AG235" i="46"/>
  <c r="AG67" i="46" s="1"/>
  <c r="AG68" i="46" s="1"/>
  <c r="AG3" i="46" s="1"/>
  <c r="AF235" i="46"/>
  <c r="AE235" i="46"/>
  <c r="AD235" i="46"/>
  <c r="AC235" i="46"/>
  <c r="AB235" i="46"/>
  <c r="AA235" i="46"/>
  <c r="Z235" i="46"/>
  <c r="Y235" i="46"/>
  <c r="X235" i="46"/>
  <c r="W235" i="46"/>
  <c r="V235" i="46"/>
  <c r="U235" i="46"/>
  <c r="T235" i="46"/>
  <c r="S235" i="46"/>
  <c r="R235" i="46"/>
  <c r="Q235" i="46"/>
  <c r="C235" i="46"/>
  <c r="E234" i="46"/>
  <c r="F234" i="46" s="1"/>
  <c r="G234" i="46" s="1"/>
  <c r="D234" i="46"/>
  <c r="B234" i="46"/>
  <c r="AF270" i="46" s="1"/>
  <c r="D233" i="46"/>
  <c r="E233" i="46" s="1"/>
  <c r="F233" i="46" s="1"/>
  <c r="G233" i="46" s="1"/>
  <c r="H233" i="46" s="1"/>
  <c r="I233" i="46" s="1"/>
  <c r="J233" i="46" s="1"/>
  <c r="K233" i="46" s="1"/>
  <c r="L233" i="46" s="1"/>
  <c r="M233" i="46" s="1"/>
  <c r="N233" i="46" s="1"/>
  <c r="O233" i="46" s="1"/>
  <c r="P233" i="46" s="1"/>
  <c r="B233" i="46"/>
  <c r="D232" i="46"/>
  <c r="E232" i="46" s="1"/>
  <c r="F232" i="46" s="1"/>
  <c r="G232" i="46" s="1"/>
  <c r="H232" i="46" s="1"/>
  <c r="I232" i="46" s="1"/>
  <c r="B232" i="46"/>
  <c r="D231" i="46"/>
  <c r="E231" i="46" s="1"/>
  <c r="F231" i="46" s="1"/>
  <c r="G231" i="46" s="1"/>
  <c r="H231" i="46" s="1"/>
  <c r="B231" i="46"/>
  <c r="D230" i="46"/>
  <c r="E230" i="46" s="1"/>
  <c r="F230" i="46" s="1"/>
  <c r="G230" i="46" s="1"/>
  <c r="H230" i="46" s="1"/>
  <c r="I230" i="46" s="1"/>
  <c r="J230" i="46" s="1"/>
  <c r="K230" i="46" s="1"/>
  <c r="L230" i="46" s="1"/>
  <c r="M230" i="46" s="1"/>
  <c r="N230" i="46" s="1"/>
  <c r="O230" i="46" s="1"/>
  <c r="P230" i="46" s="1"/>
  <c r="B230" i="46"/>
  <c r="D229" i="46"/>
  <c r="B229" i="46"/>
  <c r="B110" i="46" s="1"/>
  <c r="AG227" i="46"/>
  <c r="AF227" i="46"/>
  <c r="AE227" i="46"/>
  <c r="AD227" i="46"/>
  <c r="AC227" i="46"/>
  <c r="AB227" i="46"/>
  <c r="AA227" i="46"/>
  <c r="Z227" i="46"/>
  <c r="Y227" i="46"/>
  <c r="X227" i="46"/>
  <c r="W227" i="46"/>
  <c r="V227" i="46"/>
  <c r="U227" i="46"/>
  <c r="T227" i="46"/>
  <c r="S227" i="46"/>
  <c r="R227" i="46"/>
  <c r="Q227" i="46"/>
  <c r="P227" i="46"/>
  <c r="O227" i="46"/>
  <c r="N227" i="46"/>
  <c r="M227" i="46"/>
  <c r="L227" i="46"/>
  <c r="K227" i="46"/>
  <c r="J227" i="46"/>
  <c r="I227" i="46"/>
  <c r="H227" i="46"/>
  <c r="G227" i="46"/>
  <c r="F227" i="46"/>
  <c r="E227" i="46"/>
  <c r="D227" i="46"/>
  <c r="C227" i="46"/>
  <c r="B227" i="46"/>
  <c r="AI120" i="46"/>
  <c r="AH120" i="46"/>
  <c r="AI119" i="46"/>
  <c r="AH119" i="46"/>
  <c r="AI118" i="46"/>
  <c r="AH118" i="46"/>
  <c r="AI117" i="46"/>
  <c r="AH117" i="46"/>
  <c r="AI116" i="46"/>
  <c r="AH116" i="46"/>
  <c r="AI115" i="46"/>
  <c r="AH115" i="46"/>
  <c r="AI114" i="46"/>
  <c r="AH114" i="46"/>
  <c r="AI113" i="46"/>
  <c r="AH113" i="46"/>
  <c r="AI112" i="46"/>
  <c r="AH112" i="46"/>
  <c r="AI111" i="46"/>
  <c r="AH111" i="46"/>
  <c r="AF110" i="46"/>
  <c r="AE110" i="46"/>
  <c r="AC110" i="46"/>
  <c r="AB110" i="46"/>
  <c r="AA110" i="46"/>
  <c r="Z110" i="46"/>
  <c r="Y110" i="46"/>
  <c r="X110" i="46"/>
  <c r="W110" i="46"/>
  <c r="V110" i="46"/>
  <c r="U110" i="46"/>
  <c r="T110" i="46"/>
  <c r="S110" i="46"/>
  <c r="R110" i="46"/>
  <c r="Q110" i="46"/>
  <c r="C110" i="46"/>
  <c r="AI109" i="46"/>
  <c r="AH109" i="46"/>
  <c r="AI108" i="46"/>
  <c r="AH108" i="46"/>
  <c r="AI107" i="46"/>
  <c r="AH107" i="46"/>
  <c r="AI106" i="46"/>
  <c r="AH106" i="46"/>
  <c r="AI105" i="46"/>
  <c r="AH105" i="46"/>
  <c r="AI104" i="46"/>
  <c r="AH104" i="46"/>
  <c r="AI103" i="46"/>
  <c r="AH103" i="46"/>
  <c r="AI102" i="46"/>
  <c r="AH102" i="46"/>
  <c r="AI101" i="46"/>
  <c r="AH101" i="46"/>
  <c r="AD100" i="46"/>
  <c r="AC100" i="46"/>
  <c r="U100" i="46"/>
  <c r="N100" i="46"/>
  <c r="M100" i="46"/>
  <c r="E100" i="46"/>
  <c r="AI99" i="46"/>
  <c r="AH99" i="46"/>
  <c r="AI98" i="46"/>
  <c r="AH98" i="46"/>
  <c r="AI97" i="46"/>
  <c r="AH97" i="46"/>
  <c r="AI96" i="46"/>
  <c r="AH96" i="46"/>
  <c r="AI95" i="46"/>
  <c r="AH95" i="46"/>
  <c r="AI94" i="46"/>
  <c r="AH94" i="46"/>
  <c r="AI93" i="46"/>
  <c r="AH93" i="46"/>
  <c r="AI90" i="46"/>
  <c r="AH90" i="46"/>
  <c r="AI88" i="46"/>
  <c r="AH88" i="46"/>
  <c r="AG88" i="46"/>
  <c r="AI87" i="46"/>
  <c r="AH87" i="46"/>
  <c r="AI86" i="46"/>
  <c r="AH86" i="46"/>
  <c r="AI85" i="46"/>
  <c r="AH85" i="46"/>
  <c r="AN84" i="46"/>
  <c r="AG84" i="46"/>
  <c r="AF84" i="46"/>
  <c r="AE5" i="46" s="1"/>
  <c r="AE84" i="46"/>
  <c r="AE100" i="46" s="1"/>
  <c r="AD84" i="46"/>
  <c r="AC84" i="46"/>
  <c r="AB84" i="46"/>
  <c r="AB100" i="46" s="1"/>
  <c r="AA84" i="46"/>
  <c r="AA100" i="46" s="1"/>
  <c r="Z84" i="46"/>
  <c r="Z100" i="46" s="1"/>
  <c r="Y84" i="46"/>
  <c r="Y100" i="46" s="1"/>
  <c r="X84" i="46"/>
  <c r="X100" i="46" s="1"/>
  <c r="W84" i="46"/>
  <c r="W100" i="46" s="1"/>
  <c r="V84" i="46"/>
  <c r="U5" i="46" s="1"/>
  <c r="U84" i="46"/>
  <c r="T84" i="46"/>
  <c r="T100" i="46" s="1"/>
  <c r="S84" i="46"/>
  <c r="S100" i="46" s="1"/>
  <c r="R84" i="46"/>
  <c r="R100" i="46" s="1"/>
  <c r="Q84" i="46"/>
  <c r="P5" i="46" s="1"/>
  <c r="P84" i="46"/>
  <c r="O5" i="46" s="1"/>
  <c r="O84" i="46"/>
  <c r="O100" i="46" s="1"/>
  <c r="N84" i="46"/>
  <c r="M84" i="46"/>
  <c r="L84" i="46"/>
  <c r="L100" i="46" s="1"/>
  <c r="K84" i="46"/>
  <c r="K100" i="46" s="1"/>
  <c r="J84" i="46"/>
  <c r="I5" i="46" s="1"/>
  <c r="I84" i="46"/>
  <c r="I100" i="46" s="1"/>
  <c r="H84" i="46"/>
  <c r="G5" i="46" s="1"/>
  <c r="G84" i="46"/>
  <c r="G100" i="46" s="1"/>
  <c r="F84" i="46"/>
  <c r="F100" i="46" s="1"/>
  <c r="E84" i="46"/>
  <c r="D84" i="46"/>
  <c r="D100" i="46" s="1"/>
  <c r="C84" i="46"/>
  <c r="C100" i="46" s="1"/>
  <c r="B84" i="46"/>
  <c r="B100" i="46" s="1"/>
  <c r="AI83" i="46"/>
  <c r="AH83" i="46"/>
  <c r="AN82" i="46"/>
  <c r="AI82" i="46"/>
  <c r="AH82" i="46"/>
  <c r="AN81" i="46"/>
  <c r="AN83" i="46" s="1"/>
  <c r="AI81" i="46"/>
  <c r="AH81" i="46"/>
  <c r="AI80" i="46"/>
  <c r="AH80" i="46"/>
  <c r="AI79" i="46"/>
  <c r="AH79" i="46"/>
  <c r="AI78" i="46"/>
  <c r="AH78" i="46"/>
  <c r="AI77" i="46"/>
  <c r="AH77" i="46"/>
  <c r="AI76" i="46"/>
  <c r="AH76" i="46"/>
  <c r="AI75" i="46"/>
  <c r="AH75" i="46"/>
  <c r="AI74" i="46"/>
  <c r="AH74" i="46"/>
  <c r="AI73" i="46"/>
  <c r="AH73" i="46"/>
  <c r="AG72" i="46"/>
  <c r="AG4" i="46" s="1"/>
  <c r="AF72" i="46"/>
  <c r="AE72" i="46"/>
  <c r="AD72" i="46"/>
  <c r="AC72" i="46"/>
  <c r="AB72" i="46"/>
  <c r="AA72" i="46"/>
  <c r="Z72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B72" i="46"/>
  <c r="AI71" i="46"/>
  <c r="AH71" i="46"/>
  <c r="AI70" i="46"/>
  <c r="AH70" i="46"/>
  <c r="AI69" i="46"/>
  <c r="AH69" i="46"/>
  <c r="AF68" i="46"/>
  <c r="AE68" i="46"/>
  <c r="AD68" i="46"/>
  <c r="AC68" i="46"/>
  <c r="AB68" i="46"/>
  <c r="AA68" i="46"/>
  <c r="Z68" i="46"/>
  <c r="Y68" i="46"/>
  <c r="X68" i="46"/>
  <c r="W68" i="46"/>
  <c r="V68" i="46"/>
  <c r="U68" i="46"/>
  <c r="T68" i="46"/>
  <c r="S68" i="46"/>
  <c r="R68" i="46"/>
  <c r="Q68" i="46"/>
  <c r="P68" i="46"/>
  <c r="O68" i="46"/>
  <c r="N68" i="46"/>
  <c r="M68" i="46"/>
  <c r="L68" i="46"/>
  <c r="K68" i="46"/>
  <c r="J68" i="46"/>
  <c r="I68" i="46"/>
  <c r="H68" i="46"/>
  <c r="G68" i="46"/>
  <c r="F68" i="46"/>
  <c r="E68" i="46"/>
  <c r="E89" i="46" s="1"/>
  <c r="E91" i="46" s="1"/>
  <c r="D68" i="46"/>
  <c r="C68" i="46"/>
  <c r="B68" i="46"/>
  <c r="AI67" i="46"/>
  <c r="AH67" i="46"/>
  <c r="AI66" i="46"/>
  <c r="AH66" i="46"/>
  <c r="AI65" i="46"/>
  <c r="AH65" i="46"/>
  <c r="AI64" i="46"/>
  <c r="AH64" i="46"/>
  <c r="AI63" i="46"/>
  <c r="AH63" i="46"/>
  <c r="AI62" i="46"/>
  <c r="AH62" i="46"/>
  <c r="AI61" i="46"/>
  <c r="AH61" i="46"/>
  <c r="AI60" i="46"/>
  <c r="AH60" i="46"/>
  <c r="AI59" i="46"/>
  <c r="AH59" i="46"/>
  <c r="AI58" i="46"/>
  <c r="AH58" i="46"/>
  <c r="AI57" i="46"/>
  <c r="AH57" i="46"/>
  <c r="AI56" i="46"/>
  <c r="AH56" i="46"/>
  <c r="AI55" i="46"/>
  <c r="AH55" i="46"/>
  <c r="AG54" i="46"/>
  <c r="AF54" i="46"/>
  <c r="AE54" i="46"/>
  <c r="AD54" i="46"/>
  <c r="AC54" i="46"/>
  <c r="AB54" i="46"/>
  <c r="AA54" i="46"/>
  <c r="Z54" i="46"/>
  <c r="Y54" i="46"/>
  <c r="X54" i="46"/>
  <c r="W54" i="46"/>
  <c r="W89" i="46" s="1"/>
  <c r="W91" i="46" s="1"/>
  <c r="V54" i="46"/>
  <c r="V89" i="46" s="1"/>
  <c r="V91" i="46" s="1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AI53" i="46"/>
  <c r="AH53" i="46"/>
  <c r="AI52" i="46"/>
  <c r="AH52" i="46"/>
  <c r="AI51" i="46"/>
  <c r="AH51" i="46"/>
  <c r="AG50" i="46"/>
  <c r="AF50" i="46"/>
  <c r="AE50" i="46"/>
  <c r="AE89" i="46" s="1"/>
  <c r="AE91" i="46" s="1"/>
  <c r="AD50" i="46"/>
  <c r="AD89" i="46" s="1"/>
  <c r="AD91" i="46" s="1"/>
  <c r="AC50" i="46"/>
  <c r="AB50" i="46"/>
  <c r="AA50" i="46"/>
  <c r="Z50" i="46"/>
  <c r="Y50" i="46"/>
  <c r="X50" i="46"/>
  <c r="W50" i="46"/>
  <c r="V50" i="46"/>
  <c r="U50" i="46"/>
  <c r="T50" i="46"/>
  <c r="S50" i="46"/>
  <c r="R50" i="46"/>
  <c r="Q50" i="46"/>
  <c r="P50" i="46"/>
  <c r="O50" i="46"/>
  <c r="O89" i="46" s="1"/>
  <c r="O91" i="46" s="1"/>
  <c r="N50" i="46"/>
  <c r="N89" i="46" s="1"/>
  <c r="N91" i="46" s="1"/>
  <c r="M50" i="46"/>
  <c r="L50" i="46"/>
  <c r="K50" i="46"/>
  <c r="J50" i="46"/>
  <c r="I50" i="46"/>
  <c r="H50" i="46"/>
  <c r="G50" i="46"/>
  <c r="G89" i="46" s="1"/>
  <c r="G91" i="46" s="1"/>
  <c r="F50" i="46"/>
  <c r="F89" i="46" s="1"/>
  <c r="F91" i="46" s="1"/>
  <c r="E50" i="46"/>
  <c r="D50" i="46"/>
  <c r="C50" i="46"/>
  <c r="B50" i="46"/>
  <c r="AI49" i="46"/>
  <c r="AH49" i="46"/>
  <c r="AI48" i="46"/>
  <c r="AH48" i="46"/>
  <c r="AI47" i="46"/>
  <c r="AH47" i="46"/>
  <c r="AI46" i="46"/>
  <c r="AH46" i="46"/>
  <c r="AI45" i="46"/>
  <c r="AH45" i="46"/>
  <c r="AI44" i="46"/>
  <c r="AH44" i="46"/>
  <c r="AI43" i="46"/>
  <c r="AH43" i="46"/>
  <c r="AI42" i="46"/>
  <c r="AH42" i="46"/>
  <c r="AI41" i="46"/>
  <c r="AH41" i="46"/>
  <c r="AI40" i="46"/>
  <c r="AH40" i="46"/>
  <c r="AI39" i="46"/>
  <c r="AH39" i="46"/>
  <c r="AI38" i="46"/>
  <c r="AH38" i="46"/>
  <c r="AI37" i="46"/>
  <c r="AH37" i="46"/>
  <c r="AI36" i="46"/>
  <c r="AH36" i="46"/>
  <c r="AI35" i="46"/>
  <c r="AH35" i="46"/>
  <c r="AI34" i="46"/>
  <c r="AH34" i="46"/>
  <c r="AI33" i="46"/>
  <c r="AH33" i="46"/>
  <c r="AI32" i="46"/>
  <c r="AH32" i="46"/>
  <c r="AI31" i="46"/>
  <c r="AH31" i="46"/>
  <c r="AI30" i="46"/>
  <c r="AH30" i="46"/>
  <c r="AI29" i="46"/>
  <c r="AH29" i="46"/>
  <c r="AI28" i="46"/>
  <c r="AH28" i="46"/>
  <c r="AI27" i="46"/>
  <c r="AH27" i="46"/>
  <c r="AI26" i="46"/>
  <c r="AH26" i="46"/>
  <c r="AI25" i="46"/>
  <c r="AH25" i="46"/>
  <c r="AI24" i="46"/>
  <c r="AH24" i="46"/>
  <c r="AI23" i="46"/>
  <c r="AH23" i="46"/>
  <c r="AI22" i="46"/>
  <c r="AH22" i="46"/>
  <c r="AI21" i="46"/>
  <c r="AH21" i="46"/>
  <c r="AI20" i="46"/>
  <c r="AH20" i="46"/>
  <c r="AI19" i="46"/>
  <c r="AH19" i="46"/>
  <c r="AI18" i="46"/>
  <c r="AH18" i="46"/>
  <c r="AI17" i="46"/>
  <c r="AH17" i="46"/>
  <c r="AI16" i="46"/>
  <c r="AH16" i="46"/>
  <c r="AI15" i="46"/>
  <c r="AH15" i="46"/>
  <c r="AI14" i="46"/>
  <c r="AH14" i="46"/>
  <c r="AI13" i="46"/>
  <c r="AH13" i="46"/>
  <c r="AI12" i="46"/>
  <c r="AH12" i="46"/>
  <c r="AI11" i="46"/>
  <c r="AH11" i="46"/>
  <c r="AD5" i="46"/>
  <c r="AC5" i="46"/>
  <c r="AB5" i="46"/>
  <c r="V5" i="46"/>
  <c r="T5" i="46"/>
  <c r="N5" i="46"/>
  <c r="M5" i="46"/>
  <c r="L5" i="46"/>
  <c r="H5" i="46"/>
  <c r="F5" i="46"/>
  <c r="D5" i="46"/>
  <c r="K4" i="46"/>
  <c r="E4" i="46"/>
  <c r="H4" i="46" s="1"/>
  <c r="B4" i="46"/>
  <c r="S246" i="46" s="1"/>
  <c r="R113" i="45"/>
  <c r="R50" i="45"/>
  <c r="R54" i="45"/>
  <c r="R68" i="45"/>
  <c r="R72" i="45"/>
  <c r="E229" i="47" l="1"/>
  <c r="P100" i="46"/>
  <c r="AF100" i="46"/>
  <c r="D235" i="46"/>
  <c r="D270" i="46"/>
  <c r="S89" i="47"/>
  <c r="S91" i="47" s="1"/>
  <c r="S7" i="47" s="1"/>
  <c r="W5" i="46"/>
  <c r="AH54" i="46"/>
  <c r="T89" i="47"/>
  <c r="E234" i="47"/>
  <c r="D89" i="46"/>
  <c r="D91" i="46" s="1"/>
  <c r="Q100" i="46"/>
  <c r="H89" i="46"/>
  <c r="H91" i="46" s="1"/>
  <c r="B244" i="46" s="1"/>
  <c r="K6" i="46" s="1"/>
  <c r="P89" i="46"/>
  <c r="P91" i="46" s="1"/>
  <c r="X89" i="46"/>
  <c r="X91" i="46" s="1"/>
  <c r="AP249" i="46" s="1"/>
  <c r="AF89" i="46"/>
  <c r="AF91" i="46" s="1"/>
  <c r="L89" i="46"/>
  <c r="L91" i="46" s="1"/>
  <c r="T89" i="46"/>
  <c r="T91" i="46" s="1"/>
  <c r="AB89" i="46"/>
  <c r="AB91" i="46" s="1"/>
  <c r="AB7" i="46" s="1"/>
  <c r="E5" i="46"/>
  <c r="I89" i="46"/>
  <c r="I91" i="46" s="1"/>
  <c r="AA249" i="46" s="1"/>
  <c r="Q89" i="46"/>
  <c r="Q91" i="46" s="1"/>
  <c r="Y89" i="46"/>
  <c r="Y91" i="46" s="1"/>
  <c r="Y92" i="46" s="1"/>
  <c r="AG89" i="46"/>
  <c r="M89" i="46"/>
  <c r="M91" i="46" s="1"/>
  <c r="U89" i="46"/>
  <c r="U91" i="46" s="1"/>
  <c r="AC89" i="46"/>
  <c r="AC91" i="46" s="1"/>
  <c r="V100" i="46"/>
  <c r="M89" i="47"/>
  <c r="M91" i="47" s="1"/>
  <c r="D235" i="47"/>
  <c r="Z89" i="46"/>
  <c r="Z91" i="46" s="1"/>
  <c r="Z92" i="46" s="1"/>
  <c r="AG3" i="47"/>
  <c r="AG67" i="47"/>
  <c r="AG68" i="47" s="1"/>
  <c r="X5" i="46"/>
  <c r="AH72" i="46"/>
  <c r="B89" i="46"/>
  <c r="J89" i="46"/>
  <c r="J91" i="46" s="1"/>
  <c r="R89" i="46"/>
  <c r="R91" i="46" s="1"/>
  <c r="AH68" i="46"/>
  <c r="H100" i="46"/>
  <c r="AF5" i="46"/>
  <c r="C89" i="46"/>
  <c r="C91" i="46" s="1"/>
  <c r="K89" i="46"/>
  <c r="K91" i="46" s="1"/>
  <c r="S89" i="46"/>
  <c r="S91" i="46" s="1"/>
  <c r="S7" i="46" s="1"/>
  <c r="AA89" i="46"/>
  <c r="AA91" i="46" s="1"/>
  <c r="AI68" i="46"/>
  <c r="B235" i="47"/>
  <c r="AD100" i="47"/>
  <c r="AD89" i="47"/>
  <c r="AD91" i="47" s="1"/>
  <c r="AD92" i="47" s="1"/>
  <c r="AB5" i="47"/>
  <c r="AC89" i="47"/>
  <c r="AC91" i="47" s="1"/>
  <c r="AB89" i="47"/>
  <c r="AB91" i="47" s="1"/>
  <c r="Z5" i="47"/>
  <c r="AA89" i="47"/>
  <c r="AA91" i="47" s="1"/>
  <c r="AA7" i="47" s="1"/>
  <c r="Z89" i="47"/>
  <c r="Z91" i="47" s="1"/>
  <c r="Z7" i="47" s="1"/>
  <c r="X5" i="47"/>
  <c r="X89" i="47"/>
  <c r="X91" i="47" s="1"/>
  <c r="W5" i="47"/>
  <c r="V5" i="47"/>
  <c r="W89" i="47"/>
  <c r="W91" i="47" s="1"/>
  <c r="U5" i="47"/>
  <c r="V89" i="47"/>
  <c r="V91" i="47" s="1"/>
  <c r="U89" i="47"/>
  <c r="U91" i="47" s="1"/>
  <c r="U7" i="47" s="1"/>
  <c r="T91" i="47"/>
  <c r="T92" i="47" s="1"/>
  <c r="R5" i="47"/>
  <c r="Q5" i="47"/>
  <c r="AI72" i="47"/>
  <c r="R89" i="47"/>
  <c r="R91" i="47" s="1"/>
  <c r="N5" i="47"/>
  <c r="O89" i="47"/>
  <c r="O91" i="47" s="1"/>
  <c r="O7" i="47" s="1"/>
  <c r="O5" i="47"/>
  <c r="P89" i="47"/>
  <c r="P91" i="47" s="1"/>
  <c r="P7" i="47" s="1"/>
  <c r="P5" i="47"/>
  <c r="Q89" i="47"/>
  <c r="Q91" i="47" s="1"/>
  <c r="AI249" i="47" s="1"/>
  <c r="M5" i="47"/>
  <c r="N89" i="47"/>
  <c r="N91" i="47" s="1"/>
  <c r="AF249" i="47" s="1"/>
  <c r="AH54" i="47"/>
  <c r="L5" i="47"/>
  <c r="AH72" i="47"/>
  <c r="L89" i="47"/>
  <c r="L91" i="47" s="1"/>
  <c r="L7" i="47" s="1"/>
  <c r="K89" i="47"/>
  <c r="K91" i="47" s="1"/>
  <c r="K7" i="47" s="1"/>
  <c r="K100" i="47"/>
  <c r="J89" i="47"/>
  <c r="J91" i="47" s="1"/>
  <c r="J7" i="47" s="1"/>
  <c r="I5" i="47"/>
  <c r="AH113" i="47"/>
  <c r="I89" i="47"/>
  <c r="I91" i="47" s="1"/>
  <c r="I7" i="47" s="1"/>
  <c r="H5" i="47"/>
  <c r="G5" i="47"/>
  <c r="H89" i="47"/>
  <c r="H91" i="47" s="1"/>
  <c r="H7" i="47" s="1"/>
  <c r="F100" i="47"/>
  <c r="F5" i="47"/>
  <c r="G89" i="47"/>
  <c r="G91" i="47" s="1"/>
  <c r="F89" i="47"/>
  <c r="F91" i="47" s="1"/>
  <c r="F7" i="47" s="1"/>
  <c r="D5" i="47"/>
  <c r="AI54" i="47"/>
  <c r="E89" i="47"/>
  <c r="E91" i="47" s="1"/>
  <c r="E7" i="47" s="1"/>
  <c r="AI68" i="47"/>
  <c r="D89" i="47"/>
  <c r="D91" i="47" s="1"/>
  <c r="B5" i="47"/>
  <c r="C89" i="47"/>
  <c r="C91" i="47" s="1"/>
  <c r="C92" i="47" s="1"/>
  <c r="AT249" i="47"/>
  <c r="AB92" i="47"/>
  <c r="AB7" i="47"/>
  <c r="AF7" i="47"/>
  <c r="AX249" i="47"/>
  <c r="AN249" i="47"/>
  <c r="V7" i="47"/>
  <c r="V92" i="47"/>
  <c r="AV249" i="47"/>
  <c r="AD7" i="47"/>
  <c r="T7" i="47"/>
  <c r="AC92" i="47"/>
  <c r="AU249" i="47"/>
  <c r="AC7" i="47"/>
  <c r="AG249" i="47"/>
  <c r="AO249" i="47"/>
  <c r="W7" i="47"/>
  <c r="W92" i="47"/>
  <c r="AW249" i="47"/>
  <c r="AE7" i="47"/>
  <c r="AI100" i="47"/>
  <c r="D92" i="47"/>
  <c r="V249" i="47"/>
  <c r="D7" i="47"/>
  <c r="U92" i="47"/>
  <c r="AM249" i="47"/>
  <c r="Y7" i="47"/>
  <c r="Y92" i="47"/>
  <c r="AQ249" i="47"/>
  <c r="R7" i="47"/>
  <c r="R92" i="47"/>
  <c r="AJ249" i="47"/>
  <c r="M92" i="47"/>
  <c r="AE249" i="47"/>
  <c r="M7" i="47"/>
  <c r="N92" i="47"/>
  <c r="C7" i="47"/>
  <c r="AA92" i="47"/>
  <c r="AS249" i="47"/>
  <c r="X92" i="47"/>
  <c r="X7" i="47"/>
  <c r="AP249" i="47"/>
  <c r="AH68" i="47"/>
  <c r="E235" i="47"/>
  <c r="D246" i="47"/>
  <c r="AH84" i="47"/>
  <c r="AH50" i="47"/>
  <c r="AI84" i="47"/>
  <c r="AG2" i="47"/>
  <c r="AG6" i="47" s="1"/>
  <c r="C5" i="47"/>
  <c r="K5" i="47"/>
  <c r="S5" i="47"/>
  <c r="AA5" i="47"/>
  <c r="E232" i="47"/>
  <c r="F232" i="47" s="1"/>
  <c r="G232" i="47" s="1"/>
  <c r="H232" i="47" s="1"/>
  <c r="I232" i="47" s="1"/>
  <c r="AI50" i="47"/>
  <c r="H7" i="46"/>
  <c r="H92" i="46"/>
  <c r="Z249" i="46"/>
  <c r="L92" i="46"/>
  <c r="AD249" i="46"/>
  <c r="L7" i="46"/>
  <c r="T92" i="46"/>
  <c r="AL249" i="46"/>
  <c r="T7" i="46"/>
  <c r="AB92" i="46"/>
  <c r="AT249" i="46"/>
  <c r="X249" i="46"/>
  <c r="F7" i="46"/>
  <c r="F92" i="46"/>
  <c r="F270" i="46"/>
  <c r="H234" i="46"/>
  <c r="AW249" i="46"/>
  <c r="AE7" i="46"/>
  <c r="AE92" i="46"/>
  <c r="Y7" i="46"/>
  <c r="AQ249" i="46"/>
  <c r="M92" i="46"/>
  <c r="AE249" i="46"/>
  <c r="M7" i="46"/>
  <c r="U92" i="46"/>
  <c r="AM249" i="46"/>
  <c r="U7" i="46"/>
  <c r="AC92" i="46"/>
  <c r="AU249" i="46"/>
  <c r="AC7" i="46"/>
  <c r="Y249" i="46"/>
  <c r="G7" i="46"/>
  <c r="C244" i="46"/>
  <c r="G92" i="46"/>
  <c r="X7" i="46"/>
  <c r="X92" i="46"/>
  <c r="AI89" i="46"/>
  <c r="AH89" i="46"/>
  <c r="B91" i="46"/>
  <c r="N7" i="46"/>
  <c r="AF249" i="46"/>
  <c r="N92" i="46"/>
  <c r="J232" i="46"/>
  <c r="K232" i="46" s="1"/>
  <c r="L232" i="46" s="1"/>
  <c r="M232" i="46" s="1"/>
  <c r="N232" i="46" s="1"/>
  <c r="O232" i="46" s="1"/>
  <c r="P232" i="46" s="1"/>
  <c r="Q92" i="46"/>
  <c r="Q7" i="46"/>
  <c r="AI249" i="46"/>
  <c r="Z7" i="46"/>
  <c r="C7" i="46"/>
  <c r="U249" i="46"/>
  <c r="C92" i="46"/>
  <c r="K7" i="46"/>
  <c r="AC249" i="46"/>
  <c r="K92" i="46"/>
  <c r="AK249" i="46"/>
  <c r="S92" i="46"/>
  <c r="AA7" i="46"/>
  <c r="AS249" i="46"/>
  <c r="AA92" i="46"/>
  <c r="AG249" i="46"/>
  <c r="O7" i="46"/>
  <c r="O92" i="46"/>
  <c r="AF7" i="46"/>
  <c r="AF92" i="46"/>
  <c r="AX249" i="46"/>
  <c r="D92" i="46"/>
  <c r="V249" i="46"/>
  <c r="D7" i="46"/>
  <c r="AN249" i="46"/>
  <c r="V7" i="46"/>
  <c r="V92" i="46"/>
  <c r="P7" i="46"/>
  <c r="P92" i="46"/>
  <c r="AH249" i="46"/>
  <c r="R7" i="46"/>
  <c r="R92" i="46"/>
  <c r="AJ249" i="46"/>
  <c r="E92" i="46"/>
  <c r="W249" i="46"/>
  <c r="E7" i="46"/>
  <c r="AO249" i="46"/>
  <c r="W92" i="46"/>
  <c r="W7" i="46"/>
  <c r="I92" i="46"/>
  <c r="I7" i="46"/>
  <c r="J7" i="46"/>
  <c r="J92" i="46"/>
  <c r="AB249" i="46"/>
  <c r="AG91" i="46"/>
  <c r="AV249" i="46"/>
  <c r="AD7" i="46"/>
  <c r="AD92" i="46"/>
  <c r="AI72" i="46"/>
  <c r="D110" i="46"/>
  <c r="D246" i="46"/>
  <c r="AH84" i="46"/>
  <c r="Y5" i="46"/>
  <c r="Q5" i="46"/>
  <c r="B5" i="46"/>
  <c r="J5" i="46"/>
  <c r="R5" i="46"/>
  <c r="Z5" i="46"/>
  <c r="AI54" i="46"/>
  <c r="E270" i="46"/>
  <c r="AG2" i="46"/>
  <c r="AG6" i="46" s="1"/>
  <c r="C5" i="46"/>
  <c r="K5" i="46"/>
  <c r="S5" i="46"/>
  <c r="AA5" i="46"/>
  <c r="B235" i="46"/>
  <c r="AH50" i="46"/>
  <c r="J100" i="46"/>
  <c r="AI100" i="46" s="1"/>
  <c r="E229" i="46"/>
  <c r="AI50" i="46"/>
  <c r="AI84" i="46"/>
  <c r="N113" i="45"/>
  <c r="AR249" i="47" l="1"/>
  <c r="AL249" i="47"/>
  <c r="W249" i="47"/>
  <c r="AH100" i="47"/>
  <c r="AR249" i="46"/>
  <c r="Z92" i="47"/>
  <c r="AA249" i="47"/>
  <c r="O92" i="47"/>
  <c r="E92" i="47"/>
  <c r="D270" i="47"/>
  <c r="F234" i="47"/>
  <c r="AG89" i="47"/>
  <c r="AG91" i="47"/>
  <c r="E110" i="47"/>
  <c r="F229" i="47"/>
  <c r="AK249" i="47"/>
  <c r="S92" i="47"/>
  <c r="Q92" i="47"/>
  <c r="P92" i="47"/>
  <c r="AH249" i="47"/>
  <c r="Q7" i="47"/>
  <c r="N7" i="47"/>
  <c r="J92" i="47"/>
  <c r="AB249" i="47"/>
  <c r="I92" i="47"/>
  <c r="AD249" i="47"/>
  <c r="L92" i="47"/>
  <c r="K92" i="47"/>
  <c r="AC249" i="47"/>
  <c r="B244" i="47"/>
  <c r="Z249" i="47"/>
  <c r="H92" i="47"/>
  <c r="Y249" i="47"/>
  <c r="G92" i="47"/>
  <c r="X249" i="47"/>
  <c r="G7" i="47"/>
  <c r="C244" i="47"/>
  <c r="F92" i="47"/>
  <c r="AI89" i="47"/>
  <c r="AH89" i="47"/>
  <c r="U249" i="47"/>
  <c r="B7" i="47"/>
  <c r="AI91" i="47"/>
  <c r="T249" i="47"/>
  <c r="AH91" i="47"/>
  <c r="J232" i="47"/>
  <c r="K232" i="47" s="1"/>
  <c r="L232" i="47" s="1"/>
  <c r="M232" i="47" s="1"/>
  <c r="N232" i="47" s="1"/>
  <c r="O232" i="47" s="1"/>
  <c r="P232" i="47" s="1"/>
  <c r="F229" i="46"/>
  <c r="E110" i="46"/>
  <c r="E235" i="46"/>
  <c r="AH100" i="46"/>
  <c r="AI91" i="46"/>
  <c r="B7" i="46"/>
  <c r="A7" i="46" s="1"/>
  <c r="B92" i="46"/>
  <c r="T249" i="46"/>
  <c r="AH91" i="46"/>
  <c r="G270" i="46"/>
  <c r="I234" i="46"/>
  <c r="I68" i="45"/>
  <c r="AF274" i="45"/>
  <c r="AE274" i="45"/>
  <c r="AD274" i="45"/>
  <c r="AC274" i="45"/>
  <c r="AB274" i="45"/>
  <c r="AA274" i="45"/>
  <c r="Z274" i="45"/>
  <c r="Y274" i="45"/>
  <c r="X274" i="45"/>
  <c r="W274" i="45"/>
  <c r="V274" i="45"/>
  <c r="U274" i="45"/>
  <c r="T274" i="45"/>
  <c r="S274" i="45"/>
  <c r="R274" i="45"/>
  <c r="Q274" i="45"/>
  <c r="P274" i="45"/>
  <c r="O274" i="45"/>
  <c r="N274" i="45"/>
  <c r="M274" i="45"/>
  <c r="L274" i="45"/>
  <c r="K274" i="45"/>
  <c r="J274" i="45"/>
  <c r="I274" i="45"/>
  <c r="H274" i="45"/>
  <c r="G274" i="45"/>
  <c r="F274" i="45"/>
  <c r="E274" i="45"/>
  <c r="D274" i="45"/>
  <c r="C274" i="45"/>
  <c r="B274" i="45"/>
  <c r="A274" i="45"/>
  <c r="AF273" i="45"/>
  <c r="AE273" i="45"/>
  <c r="AD273" i="45"/>
  <c r="AC273" i="45"/>
  <c r="AB273" i="45"/>
  <c r="AA273" i="45"/>
  <c r="Z273" i="45"/>
  <c r="Y273" i="45"/>
  <c r="X273" i="45"/>
  <c r="W273" i="45"/>
  <c r="V273" i="45"/>
  <c r="U273" i="45"/>
  <c r="T273" i="45"/>
  <c r="S273" i="45"/>
  <c r="R273" i="45"/>
  <c r="Q273" i="45"/>
  <c r="P273" i="45"/>
  <c r="O273" i="45"/>
  <c r="N273" i="45"/>
  <c r="M273" i="45"/>
  <c r="L273" i="45"/>
  <c r="K273" i="45"/>
  <c r="J273" i="45"/>
  <c r="I273" i="45"/>
  <c r="H273" i="45"/>
  <c r="G273" i="45"/>
  <c r="F273" i="45"/>
  <c r="E273" i="45"/>
  <c r="D273" i="45"/>
  <c r="C273" i="45"/>
  <c r="B273" i="45"/>
  <c r="A273" i="45"/>
  <c r="AF272" i="45"/>
  <c r="AE272" i="45"/>
  <c r="AD272" i="45"/>
  <c r="AC272" i="45"/>
  <c r="AB272" i="45"/>
  <c r="AA272" i="45"/>
  <c r="Z272" i="45"/>
  <c r="Y272" i="45"/>
  <c r="X272" i="45"/>
  <c r="W272" i="45"/>
  <c r="V272" i="45"/>
  <c r="U272" i="45"/>
  <c r="T272" i="45"/>
  <c r="S272" i="45"/>
  <c r="R272" i="45"/>
  <c r="Q272" i="45"/>
  <c r="P272" i="45"/>
  <c r="O272" i="45"/>
  <c r="N272" i="45"/>
  <c r="M272" i="45"/>
  <c r="L272" i="45"/>
  <c r="K272" i="45"/>
  <c r="J272" i="45"/>
  <c r="I272" i="45"/>
  <c r="H272" i="45"/>
  <c r="G272" i="45"/>
  <c r="F272" i="45"/>
  <c r="E272" i="45"/>
  <c r="D272" i="45"/>
  <c r="C272" i="45"/>
  <c r="B272" i="45"/>
  <c r="A272" i="45"/>
  <c r="AF271" i="45"/>
  <c r="AE271" i="45"/>
  <c r="AD271" i="45"/>
  <c r="AC271" i="45"/>
  <c r="AB271" i="45"/>
  <c r="AA271" i="45"/>
  <c r="Z271" i="45"/>
  <c r="Y271" i="45"/>
  <c r="X271" i="45"/>
  <c r="W271" i="45"/>
  <c r="V271" i="45"/>
  <c r="U271" i="45"/>
  <c r="T271" i="45"/>
  <c r="S271" i="45"/>
  <c r="R271" i="45"/>
  <c r="Q271" i="45"/>
  <c r="P271" i="45"/>
  <c r="O271" i="45"/>
  <c r="N271" i="45"/>
  <c r="M271" i="45"/>
  <c r="L271" i="45"/>
  <c r="K271" i="45"/>
  <c r="J271" i="45"/>
  <c r="I271" i="45"/>
  <c r="H271" i="45"/>
  <c r="G271" i="45"/>
  <c r="F271" i="45"/>
  <c r="E271" i="45"/>
  <c r="D271" i="45"/>
  <c r="C271" i="45"/>
  <c r="B271" i="45"/>
  <c r="A271" i="45"/>
  <c r="AE270" i="45"/>
  <c r="AD270" i="45"/>
  <c r="AC270" i="45"/>
  <c r="AB270" i="45"/>
  <c r="AA270" i="45"/>
  <c r="Z270" i="45"/>
  <c r="Y270" i="45"/>
  <c r="X270" i="45"/>
  <c r="W270" i="45"/>
  <c r="V270" i="45"/>
  <c r="U270" i="45"/>
  <c r="T270" i="45"/>
  <c r="S270" i="45"/>
  <c r="R270" i="45"/>
  <c r="Q270" i="45"/>
  <c r="P270" i="45"/>
  <c r="B270" i="45"/>
  <c r="S245" i="45"/>
  <c r="AG235" i="45"/>
  <c r="AG67" i="45" s="1"/>
  <c r="AG68" i="45" s="1"/>
  <c r="AG3" i="45" s="1"/>
  <c r="AF235" i="45"/>
  <c r="AE235" i="45"/>
  <c r="AD235" i="45"/>
  <c r="AC235" i="45"/>
  <c r="AB235" i="45"/>
  <c r="AA235" i="45"/>
  <c r="Z235" i="45"/>
  <c r="Y235" i="45"/>
  <c r="X235" i="45"/>
  <c r="W235" i="45"/>
  <c r="V235" i="45"/>
  <c r="U235" i="45"/>
  <c r="T235" i="45"/>
  <c r="S235" i="45"/>
  <c r="R235" i="45"/>
  <c r="Q235" i="45"/>
  <c r="C235" i="45"/>
  <c r="D234" i="45"/>
  <c r="E234" i="45" s="1"/>
  <c r="B234" i="45"/>
  <c r="AF270" i="45" s="1"/>
  <c r="E233" i="45"/>
  <c r="F233" i="45" s="1"/>
  <c r="G233" i="45" s="1"/>
  <c r="H233" i="45" s="1"/>
  <c r="I233" i="45" s="1"/>
  <c r="J233" i="45" s="1"/>
  <c r="K233" i="45" s="1"/>
  <c r="L233" i="45" s="1"/>
  <c r="M233" i="45" s="1"/>
  <c r="N233" i="45" s="1"/>
  <c r="O233" i="45" s="1"/>
  <c r="P233" i="45" s="1"/>
  <c r="D233" i="45"/>
  <c r="B233" i="45"/>
  <c r="D232" i="45"/>
  <c r="E232" i="45" s="1"/>
  <c r="F232" i="45" s="1"/>
  <c r="G232" i="45" s="1"/>
  <c r="H232" i="45" s="1"/>
  <c r="I232" i="45" s="1"/>
  <c r="B232" i="45"/>
  <c r="E231" i="45"/>
  <c r="F231" i="45" s="1"/>
  <c r="G231" i="45" s="1"/>
  <c r="H231" i="45" s="1"/>
  <c r="D231" i="45"/>
  <c r="B231" i="45"/>
  <c r="D230" i="45"/>
  <c r="E230" i="45" s="1"/>
  <c r="F230" i="45" s="1"/>
  <c r="G230" i="45" s="1"/>
  <c r="H230" i="45" s="1"/>
  <c r="I230" i="45" s="1"/>
  <c r="J230" i="45" s="1"/>
  <c r="K230" i="45" s="1"/>
  <c r="L230" i="45" s="1"/>
  <c r="M230" i="45" s="1"/>
  <c r="N230" i="45" s="1"/>
  <c r="O230" i="45" s="1"/>
  <c r="P230" i="45" s="1"/>
  <c r="B230" i="45"/>
  <c r="E229" i="45"/>
  <c r="F229" i="45" s="1"/>
  <c r="D229" i="45"/>
  <c r="B229" i="45"/>
  <c r="B110" i="45" s="1"/>
  <c r="AG227" i="45"/>
  <c r="AF227" i="45"/>
  <c r="AE227" i="45"/>
  <c r="AD227" i="45"/>
  <c r="AC227" i="45"/>
  <c r="AB227" i="45"/>
  <c r="AA227" i="45"/>
  <c r="Z227" i="45"/>
  <c r="Y227" i="45"/>
  <c r="X227" i="45"/>
  <c r="W227" i="45"/>
  <c r="V227" i="45"/>
  <c r="U227" i="45"/>
  <c r="T227" i="45"/>
  <c r="S227" i="45"/>
  <c r="R227" i="45"/>
  <c r="Q227" i="45"/>
  <c r="P227" i="45"/>
  <c r="O227" i="45"/>
  <c r="N227" i="45"/>
  <c r="M227" i="45"/>
  <c r="L227" i="45"/>
  <c r="K227" i="45"/>
  <c r="J227" i="45"/>
  <c r="I227" i="45"/>
  <c r="H227" i="45"/>
  <c r="G227" i="45"/>
  <c r="F227" i="45"/>
  <c r="E227" i="45"/>
  <c r="D227" i="45"/>
  <c r="C227" i="45"/>
  <c r="B227" i="45"/>
  <c r="AI120" i="45"/>
  <c r="AH120" i="45"/>
  <c r="AI119" i="45"/>
  <c r="AH119" i="45"/>
  <c r="AI118" i="45"/>
  <c r="AH118" i="45"/>
  <c r="AI117" i="45"/>
  <c r="AH117" i="45"/>
  <c r="AI116" i="45"/>
  <c r="AH116" i="45"/>
  <c r="AI115" i="45"/>
  <c r="AH115" i="45"/>
  <c r="AI114" i="45"/>
  <c r="AH114" i="45"/>
  <c r="AI113" i="45"/>
  <c r="AH113" i="45"/>
  <c r="AI112" i="45"/>
  <c r="AH112" i="45"/>
  <c r="AI111" i="45"/>
  <c r="AH111" i="45"/>
  <c r="AF110" i="45"/>
  <c r="AE110" i="45"/>
  <c r="AC110" i="45"/>
  <c r="AB110" i="45"/>
  <c r="AA110" i="45"/>
  <c r="Z110" i="45"/>
  <c r="Y110" i="45"/>
  <c r="X110" i="45"/>
  <c r="W110" i="45"/>
  <c r="V110" i="45"/>
  <c r="U110" i="45"/>
  <c r="T110" i="45"/>
  <c r="S110" i="45"/>
  <c r="R110" i="45"/>
  <c r="Q110" i="45"/>
  <c r="C110" i="45"/>
  <c r="AI109" i="45"/>
  <c r="AH109" i="45"/>
  <c r="AI108" i="45"/>
  <c r="AH108" i="45"/>
  <c r="AI107" i="45"/>
  <c r="AH107" i="45"/>
  <c r="AI106" i="45"/>
  <c r="AH106" i="45"/>
  <c r="AI105" i="45"/>
  <c r="AH105" i="45"/>
  <c r="AI104" i="45"/>
  <c r="AH104" i="45"/>
  <c r="AI103" i="45"/>
  <c r="AH103" i="45"/>
  <c r="AI102" i="45"/>
  <c r="AH102" i="45"/>
  <c r="AI101" i="45"/>
  <c r="AH101" i="45"/>
  <c r="AI99" i="45"/>
  <c r="AH99" i="45"/>
  <c r="AI98" i="45"/>
  <c r="AH98" i="45"/>
  <c r="AI97" i="45"/>
  <c r="AH97" i="45"/>
  <c r="AI96" i="45"/>
  <c r="AH96" i="45"/>
  <c r="AI95" i="45"/>
  <c r="AH95" i="45"/>
  <c r="AI94" i="45"/>
  <c r="AH94" i="45"/>
  <c r="AI93" i="45"/>
  <c r="AH93" i="45"/>
  <c r="AI90" i="45"/>
  <c r="AH90" i="45"/>
  <c r="AI88" i="45"/>
  <c r="AH88" i="45"/>
  <c r="AG88" i="45"/>
  <c r="AI87" i="45"/>
  <c r="AH87" i="45"/>
  <c r="AI86" i="45"/>
  <c r="AH86" i="45"/>
  <c r="AI85" i="45"/>
  <c r="AH85" i="45"/>
  <c r="AN84" i="45"/>
  <c r="AG84" i="45"/>
  <c r="AF84" i="45"/>
  <c r="AF100" i="45" s="1"/>
  <c r="AE84" i="45"/>
  <c r="AE100" i="45" s="1"/>
  <c r="AD84" i="45"/>
  <c r="AD100" i="45" s="1"/>
  <c r="AC84" i="45"/>
  <c r="AB5" i="45" s="1"/>
  <c r="AB84" i="45"/>
  <c r="AB100" i="45" s="1"/>
  <c r="AA84" i="45"/>
  <c r="AA100" i="45" s="1"/>
  <c r="Z84" i="45"/>
  <c r="Z100" i="45" s="1"/>
  <c r="Y84" i="45"/>
  <c r="X5" i="45" s="1"/>
  <c r="X84" i="45"/>
  <c r="X100" i="45" s="1"/>
  <c r="W84" i="45"/>
  <c r="W100" i="45" s="1"/>
  <c r="V84" i="45"/>
  <c r="V100" i="45" s="1"/>
  <c r="U84" i="45"/>
  <c r="T5" i="45" s="1"/>
  <c r="T84" i="45"/>
  <c r="T100" i="45" s="1"/>
  <c r="S84" i="45"/>
  <c r="R5" i="45" s="1"/>
  <c r="R84" i="45"/>
  <c r="R100" i="45" s="1"/>
  <c r="Q84" i="45"/>
  <c r="P5" i="45" s="1"/>
  <c r="P84" i="45"/>
  <c r="P100" i="45" s="1"/>
  <c r="O84" i="45"/>
  <c r="N5" i="45" s="1"/>
  <c r="N84" i="45"/>
  <c r="N100" i="45" s="1"/>
  <c r="M84" i="45"/>
  <c r="M100" i="45" s="1"/>
  <c r="L84" i="45"/>
  <c r="L100" i="45" s="1"/>
  <c r="K84" i="45"/>
  <c r="J5" i="45" s="1"/>
  <c r="J84" i="45"/>
  <c r="J100" i="45" s="1"/>
  <c r="I84" i="45"/>
  <c r="I100" i="45" s="1"/>
  <c r="H84" i="45"/>
  <c r="H100" i="45" s="1"/>
  <c r="G84" i="45"/>
  <c r="F5" i="45" s="1"/>
  <c r="F84" i="45"/>
  <c r="F100" i="45" s="1"/>
  <c r="E84" i="45"/>
  <c r="E100" i="45" s="1"/>
  <c r="D84" i="45"/>
  <c r="D100" i="45" s="1"/>
  <c r="C84" i="45"/>
  <c r="C100" i="45" s="1"/>
  <c r="B84" i="45"/>
  <c r="AI83" i="45"/>
  <c r="AH83" i="45"/>
  <c r="AN82" i="45"/>
  <c r="AI82" i="45"/>
  <c r="AH82" i="45"/>
  <c r="AN81" i="45"/>
  <c r="AN83" i="45" s="1"/>
  <c r="AI81" i="45"/>
  <c r="AH81" i="45"/>
  <c r="AI80" i="45"/>
  <c r="AH80" i="45"/>
  <c r="AI79" i="45"/>
  <c r="AH79" i="45"/>
  <c r="AI78" i="45"/>
  <c r="AH78" i="45"/>
  <c r="AI77" i="45"/>
  <c r="AH77" i="45"/>
  <c r="AI76" i="45"/>
  <c r="AH76" i="45"/>
  <c r="AI75" i="45"/>
  <c r="AH75" i="45"/>
  <c r="AI74" i="45"/>
  <c r="AH74" i="45"/>
  <c r="AI73" i="45"/>
  <c r="AH73" i="45"/>
  <c r="AG72" i="45"/>
  <c r="AF72" i="45"/>
  <c r="AE72" i="45"/>
  <c r="AD72" i="45"/>
  <c r="AC72" i="45"/>
  <c r="AB72" i="45"/>
  <c r="AA72" i="45"/>
  <c r="Z72" i="45"/>
  <c r="Y72" i="45"/>
  <c r="X72" i="45"/>
  <c r="W72" i="45"/>
  <c r="V72" i="45"/>
  <c r="U72" i="45"/>
  <c r="T72" i="45"/>
  <c r="S72" i="45"/>
  <c r="Q72" i="45"/>
  <c r="P72" i="45"/>
  <c r="O72" i="45"/>
  <c r="N72" i="45"/>
  <c r="M72" i="45"/>
  <c r="L72" i="45"/>
  <c r="B72" i="45"/>
  <c r="AI71" i="45"/>
  <c r="AH71" i="45"/>
  <c r="AI70" i="45"/>
  <c r="AH70" i="45"/>
  <c r="AI69" i="45"/>
  <c r="AH69" i="45"/>
  <c r="AF68" i="45"/>
  <c r="AE68" i="45"/>
  <c r="AD68" i="45"/>
  <c r="AC68" i="45"/>
  <c r="AB68" i="45"/>
  <c r="AA68" i="45"/>
  <c r="Z68" i="45"/>
  <c r="Y68" i="45"/>
  <c r="X68" i="45"/>
  <c r="W68" i="45"/>
  <c r="V68" i="45"/>
  <c r="U68" i="45"/>
  <c r="T68" i="45"/>
  <c r="S68" i="45"/>
  <c r="Q68" i="45"/>
  <c r="P68" i="45"/>
  <c r="O68" i="45"/>
  <c r="N68" i="45"/>
  <c r="M68" i="45"/>
  <c r="L68" i="45"/>
  <c r="K68" i="45"/>
  <c r="J68" i="45"/>
  <c r="H68" i="45"/>
  <c r="G68" i="45"/>
  <c r="F68" i="45"/>
  <c r="E68" i="45"/>
  <c r="D68" i="45"/>
  <c r="C68" i="45"/>
  <c r="B68" i="45"/>
  <c r="AI67" i="45"/>
  <c r="AH67" i="45"/>
  <c r="AI66" i="45"/>
  <c r="AH66" i="45"/>
  <c r="AI65" i="45"/>
  <c r="AH65" i="45"/>
  <c r="AI64" i="45"/>
  <c r="AH64" i="45"/>
  <c r="AI63" i="45"/>
  <c r="AH63" i="45"/>
  <c r="AI62" i="45"/>
  <c r="AH62" i="45"/>
  <c r="AI61" i="45"/>
  <c r="AH61" i="45"/>
  <c r="AI60" i="45"/>
  <c r="AH60" i="45"/>
  <c r="AI59" i="45"/>
  <c r="AH59" i="45"/>
  <c r="AI58" i="45"/>
  <c r="AH58" i="45"/>
  <c r="AI57" i="45"/>
  <c r="AH57" i="45"/>
  <c r="AI56" i="45"/>
  <c r="AH56" i="45"/>
  <c r="AI55" i="45"/>
  <c r="AH55" i="45"/>
  <c r="AG54" i="45"/>
  <c r="AF54" i="45"/>
  <c r="AE54" i="45"/>
  <c r="AD54" i="45"/>
  <c r="AC54" i="45"/>
  <c r="AB54" i="45"/>
  <c r="AA54" i="45"/>
  <c r="Z54" i="45"/>
  <c r="Y54" i="45"/>
  <c r="X54" i="45"/>
  <c r="W54" i="45"/>
  <c r="V54" i="45"/>
  <c r="U54" i="45"/>
  <c r="T54" i="45"/>
  <c r="S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AI53" i="45"/>
  <c r="AH53" i="45"/>
  <c r="AI52" i="45"/>
  <c r="AH52" i="45"/>
  <c r="AI51" i="45"/>
  <c r="AH51" i="45"/>
  <c r="AG50" i="45"/>
  <c r="AF50" i="45"/>
  <c r="AE50" i="45"/>
  <c r="AD50" i="45"/>
  <c r="AC50" i="45"/>
  <c r="AB50" i="45"/>
  <c r="AA50" i="45"/>
  <c r="Z50" i="45"/>
  <c r="Y50" i="45"/>
  <c r="X50" i="45"/>
  <c r="W50" i="45"/>
  <c r="V50" i="45"/>
  <c r="U50" i="45"/>
  <c r="T50" i="45"/>
  <c r="S50" i="45"/>
  <c r="Q50" i="45"/>
  <c r="P50" i="45"/>
  <c r="O50" i="45"/>
  <c r="N50" i="45"/>
  <c r="M50" i="45"/>
  <c r="L50" i="45"/>
  <c r="K50" i="45"/>
  <c r="J50" i="45"/>
  <c r="I50" i="45"/>
  <c r="H50" i="45"/>
  <c r="G50" i="45"/>
  <c r="F50" i="45"/>
  <c r="E50" i="45"/>
  <c r="D50" i="45"/>
  <c r="C50" i="45"/>
  <c r="B50" i="45"/>
  <c r="AI49" i="45"/>
  <c r="AH49" i="45"/>
  <c r="AI48" i="45"/>
  <c r="AH48" i="45"/>
  <c r="AI47" i="45"/>
  <c r="AH47" i="45"/>
  <c r="AI46" i="45"/>
  <c r="AH46" i="45"/>
  <c r="AI45" i="45"/>
  <c r="AH45" i="45"/>
  <c r="AI44" i="45"/>
  <c r="AH44" i="45"/>
  <c r="AI43" i="45"/>
  <c r="AH43" i="45"/>
  <c r="AI42" i="45"/>
  <c r="AH42" i="45"/>
  <c r="AI41" i="45"/>
  <c r="AH41" i="45"/>
  <c r="AI40" i="45"/>
  <c r="AH40" i="45"/>
  <c r="AI39" i="45"/>
  <c r="AH39" i="45"/>
  <c r="AI38" i="45"/>
  <c r="AH38" i="45"/>
  <c r="AI37" i="45"/>
  <c r="AH37" i="45"/>
  <c r="AI36" i="45"/>
  <c r="AH36" i="45"/>
  <c r="AI35" i="45"/>
  <c r="AH35" i="45"/>
  <c r="AI34" i="45"/>
  <c r="AH34" i="45"/>
  <c r="AI33" i="45"/>
  <c r="AH33" i="45"/>
  <c r="AI32" i="45"/>
  <c r="AH32" i="45"/>
  <c r="AI31" i="45"/>
  <c r="AH31" i="45"/>
  <c r="AI30" i="45"/>
  <c r="AH30" i="45"/>
  <c r="AI29" i="45"/>
  <c r="AH29" i="45"/>
  <c r="AI28" i="45"/>
  <c r="AH28" i="45"/>
  <c r="AI27" i="45"/>
  <c r="AH27" i="45"/>
  <c r="AI26" i="45"/>
  <c r="AH26" i="45"/>
  <c r="AI25" i="45"/>
  <c r="AH25" i="45"/>
  <c r="AI24" i="45"/>
  <c r="AH24" i="45"/>
  <c r="AI23" i="45"/>
  <c r="AH23" i="45"/>
  <c r="AI22" i="45"/>
  <c r="AH22" i="45"/>
  <c r="AI21" i="45"/>
  <c r="AH21" i="45"/>
  <c r="AI20" i="45"/>
  <c r="AH20" i="45"/>
  <c r="AI19" i="45"/>
  <c r="AH19" i="45"/>
  <c r="AI18" i="45"/>
  <c r="AH18" i="45"/>
  <c r="AI17" i="45"/>
  <c r="AH17" i="45"/>
  <c r="AI16" i="45"/>
  <c r="AH16" i="45"/>
  <c r="AI15" i="45"/>
  <c r="AH15" i="45"/>
  <c r="AI14" i="45"/>
  <c r="AH14" i="45"/>
  <c r="AI13" i="45"/>
  <c r="AH13" i="45"/>
  <c r="AI12" i="45"/>
  <c r="AH12" i="45"/>
  <c r="AI11" i="45"/>
  <c r="AH11" i="45"/>
  <c r="AG4" i="45"/>
  <c r="K4" i="45"/>
  <c r="E4" i="45"/>
  <c r="H4" i="45" s="1"/>
  <c r="B4" i="45"/>
  <c r="S246" i="45" s="1"/>
  <c r="Z113" i="44"/>
  <c r="Y113" i="44"/>
  <c r="U113" i="44"/>
  <c r="F234" i="45" l="1"/>
  <c r="D270" i="45"/>
  <c r="AG91" i="45"/>
  <c r="G229" i="47"/>
  <c r="F110" i="47"/>
  <c r="D235" i="45"/>
  <c r="F235" i="47"/>
  <c r="C270" i="45"/>
  <c r="E270" i="47"/>
  <c r="G234" i="47"/>
  <c r="A7" i="47"/>
  <c r="K6" i="47"/>
  <c r="AI92" i="47"/>
  <c r="AH92" i="47"/>
  <c r="AC5" i="45"/>
  <c r="AE5" i="45"/>
  <c r="AF89" i="45"/>
  <c r="AF91" i="45" s="1"/>
  <c r="AF92" i="45" s="1"/>
  <c r="AD5" i="45"/>
  <c r="AE89" i="45"/>
  <c r="AE91" i="45" s="1"/>
  <c r="AW249" i="45" s="1"/>
  <c r="AD89" i="45"/>
  <c r="AD91" i="45" s="1"/>
  <c r="AD7" i="45" s="1"/>
  <c r="AC100" i="45"/>
  <c r="AC89" i="45"/>
  <c r="AC91" i="45" s="1"/>
  <c r="AC92" i="45" s="1"/>
  <c r="AB89" i="45"/>
  <c r="AB91" i="45" s="1"/>
  <c r="AB92" i="45" s="1"/>
  <c r="AH92" i="46"/>
  <c r="AI92" i="46"/>
  <c r="H270" i="46"/>
  <c r="J234" i="46"/>
  <c r="G229" i="46"/>
  <c r="F110" i="46"/>
  <c r="F235" i="46"/>
  <c r="AA89" i="45"/>
  <c r="AA91" i="45" s="1"/>
  <c r="AA7" i="45" s="1"/>
  <c r="Y5" i="45"/>
  <c r="Z89" i="45"/>
  <c r="Z91" i="45" s="1"/>
  <c r="Z92" i="45" s="1"/>
  <c r="Y89" i="45"/>
  <c r="Y91" i="45" s="1"/>
  <c r="Y92" i="45" s="1"/>
  <c r="Y100" i="45"/>
  <c r="W5" i="45"/>
  <c r="X89" i="45"/>
  <c r="X91" i="45" s="1"/>
  <c r="X7" i="45" s="1"/>
  <c r="V5" i="45"/>
  <c r="W89" i="45"/>
  <c r="W91" i="45" s="1"/>
  <c r="U5" i="45"/>
  <c r="V89" i="45"/>
  <c r="V91" i="45" s="1"/>
  <c r="AN249" i="45" s="1"/>
  <c r="U100" i="45"/>
  <c r="U89" i="45"/>
  <c r="U91" i="45" s="1"/>
  <c r="U7" i="45" s="1"/>
  <c r="T89" i="45"/>
  <c r="T91" i="45" s="1"/>
  <c r="AL249" i="45" s="1"/>
  <c r="S89" i="45"/>
  <c r="S91" i="45" s="1"/>
  <c r="Q5" i="45"/>
  <c r="R89" i="45"/>
  <c r="R91" i="45" s="1"/>
  <c r="R92" i="45" s="1"/>
  <c r="Q89" i="45"/>
  <c r="Q91" i="45" s="1"/>
  <c r="AI249" i="45" s="1"/>
  <c r="Q100" i="45"/>
  <c r="O5" i="45"/>
  <c r="AH72" i="45"/>
  <c r="P89" i="45"/>
  <c r="P91" i="45" s="1"/>
  <c r="AH249" i="45" s="1"/>
  <c r="O100" i="45"/>
  <c r="O89" i="45"/>
  <c r="O91" i="45" s="1"/>
  <c r="M5" i="45"/>
  <c r="N89" i="45"/>
  <c r="N91" i="45" s="1"/>
  <c r="L5" i="45"/>
  <c r="M89" i="45"/>
  <c r="M91" i="45" s="1"/>
  <c r="M92" i="45" s="1"/>
  <c r="L89" i="45"/>
  <c r="L91" i="45" s="1"/>
  <c r="L92" i="45" s="1"/>
  <c r="K89" i="45"/>
  <c r="K91" i="45" s="1"/>
  <c r="K7" i="45" s="1"/>
  <c r="I5" i="45"/>
  <c r="J89" i="45"/>
  <c r="J91" i="45" s="1"/>
  <c r="H5" i="45"/>
  <c r="I89" i="45"/>
  <c r="I91" i="45" s="1"/>
  <c r="I7" i="45" s="1"/>
  <c r="G5" i="45"/>
  <c r="H89" i="45"/>
  <c r="H91" i="45" s="1"/>
  <c r="H7" i="45" s="1"/>
  <c r="G100" i="45"/>
  <c r="G89" i="45"/>
  <c r="G91" i="45" s="1"/>
  <c r="G92" i="45" s="1"/>
  <c r="E5" i="45"/>
  <c r="F89" i="45"/>
  <c r="F91" i="45" s="1"/>
  <c r="F7" i="45" s="1"/>
  <c r="D5" i="45"/>
  <c r="E89" i="45"/>
  <c r="E91" i="45" s="1"/>
  <c r="E92" i="45" s="1"/>
  <c r="D89" i="45"/>
  <c r="D91" i="45" s="1"/>
  <c r="V249" i="45" s="1"/>
  <c r="AH84" i="45"/>
  <c r="C89" i="45"/>
  <c r="C91" i="45" s="1"/>
  <c r="C7" i="45" s="1"/>
  <c r="AH68" i="45"/>
  <c r="AI54" i="45"/>
  <c r="B100" i="45"/>
  <c r="AF5" i="45"/>
  <c r="B89" i="45"/>
  <c r="AI68" i="45"/>
  <c r="AO249" i="45"/>
  <c r="W7" i="45"/>
  <c r="W92" i="45"/>
  <c r="AG89" i="45"/>
  <c r="W249" i="45"/>
  <c r="E7" i="45"/>
  <c r="AF7" i="45"/>
  <c r="AX249" i="45"/>
  <c r="R7" i="45"/>
  <c r="AF249" i="45"/>
  <c r="N7" i="45"/>
  <c r="N92" i="45"/>
  <c r="AG249" i="45"/>
  <c r="O7" i="45"/>
  <c r="O92" i="45"/>
  <c r="J232" i="45"/>
  <c r="K232" i="45" s="1"/>
  <c r="L232" i="45" s="1"/>
  <c r="M232" i="45" s="1"/>
  <c r="N232" i="45" s="1"/>
  <c r="O232" i="45" s="1"/>
  <c r="P232" i="45" s="1"/>
  <c r="G229" i="45"/>
  <c r="F110" i="45"/>
  <c r="F235" i="45"/>
  <c r="J7" i="45"/>
  <c r="J92" i="45"/>
  <c r="AB249" i="45"/>
  <c r="S7" i="45"/>
  <c r="AK249" i="45"/>
  <c r="S92" i="45"/>
  <c r="B5" i="45"/>
  <c r="AI72" i="45"/>
  <c r="D110" i="45"/>
  <c r="E235" i="45"/>
  <c r="D246" i="45"/>
  <c r="Z5" i="45"/>
  <c r="AI50" i="45"/>
  <c r="K100" i="45"/>
  <c r="E110" i="45"/>
  <c r="AH50" i="45"/>
  <c r="AH54" i="45"/>
  <c r="AG2" i="45"/>
  <c r="AG6" i="45" s="1"/>
  <c r="C5" i="45"/>
  <c r="K5" i="45"/>
  <c r="S5" i="45"/>
  <c r="AA5" i="45"/>
  <c r="B235" i="45"/>
  <c r="AI84" i="45"/>
  <c r="S100" i="45"/>
  <c r="S113" i="44"/>
  <c r="Q113" i="44"/>
  <c r="AC249" i="45" l="1"/>
  <c r="K92" i="45"/>
  <c r="AE249" i="45"/>
  <c r="AJ249" i="45"/>
  <c r="H92" i="45"/>
  <c r="H229" i="47"/>
  <c r="G110" i="47"/>
  <c r="G235" i="47"/>
  <c r="F270" i="47"/>
  <c r="H234" i="47"/>
  <c r="I92" i="45"/>
  <c r="V92" i="45"/>
  <c r="E270" i="45"/>
  <c r="G234" i="45"/>
  <c r="AE92" i="45"/>
  <c r="AE7" i="45"/>
  <c r="AV249" i="45"/>
  <c r="AD92" i="45"/>
  <c r="AC7" i="45"/>
  <c r="AU249" i="45"/>
  <c r="AB7" i="45"/>
  <c r="AT249" i="45"/>
  <c r="H229" i="46"/>
  <c r="G110" i="46"/>
  <c r="G235" i="46"/>
  <c r="K234" i="46"/>
  <c r="I270" i="46"/>
  <c r="AA92" i="45"/>
  <c r="AS249" i="45"/>
  <c r="AQ249" i="45"/>
  <c r="Y7" i="45"/>
  <c r="AR249" i="45"/>
  <c r="Z7" i="45"/>
  <c r="AP249" i="45"/>
  <c r="X92" i="45"/>
  <c r="V7" i="45"/>
  <c r="AM249" i="45"/>
  <c r="U92" i="45"/>
  <c r="T92" i="45"/>
  <c r="T7" i="45"/>
  <c r="AH100" i="45"/>
  <c r="Q92" i="45"/>
  <c r="Q7" i="45"/>
  <c r="P92" i="45"/>
  <c r="P7" i="45"/>
  <c r="M7" i="45"/>
  <c r="AD249" i="45"/>
  <c r="L7" i="45"/>
  <c r="AI100" i="45"/>
  <c r="AA249" i="45"/>
  <c r="Z249" i="45"/>
  <c r="B244" i="45"/>
  <c r="Y249" i="45"/>
  <c r="C244" i="45"/>
  <c r="G7" i="45"/>
  <c r="X249" i="45"/>
  <c r="F92" i="45"/>
  <c r="D92" i="45"/>
  <c r="D7" i="45"/>
  <c r="U249" i="45"/>
  <c r="C92" i="45"/>
  <c r="AI89" i="45"/>
  <c r="AH89" i="45"/>
  <c r="B91" i="45"/>
  <c r="T249" i="45" s="1"/>
  <c r="AH91" i="45"/>
  <c r="H229" i="45"/>
  <c r="G110" i="45"/>
  <c r="G235" i="45"/>
  <c r="H234" i="45" l="1"/>
  <c r="F270" i="45"/>
  <c r="I229" i="47"/>
  <c r="H110" i="47"/>
  <c r="H235" i="47"/>
  <c r="G270" i="47"/>
  <c r="I234" i="47"/>
  <c r="J270" i="46"/>
  <c r="L234" i="46"/>
  <c r="I229" i="46"/>
  <c r="H110" i="46"/>
  <c r="H235" i="46"/>
  <c r="K6" i="45"/>
  <c r="B92" i="45"/>
  <c r="AI92" i="45" s="1"/>
  <c r="B7" i="45"/>
  <c r="A7" i="45" s="1"/>
  <c r="AI91" i="45"/>
  <c r="I229" i="45"/>
  <c r="H110" i="45"/>
  <c r="H235" i="45"/>
  <c r="H270" i="47" l="1"/>
  <c r="J234" i="47"/>
  <c r="AH92" i="45"/>
  <c r="I110" i="47"/>
  <c r="J229" i="47"/>
  <c r="G270" i="45"/>
  <c r="I234" i="45"/>
  <c r="I110" i="46"/>
  <c r="J229" i="46"/>
  <c r="K270" i="46"/>
  <c r="M234" i="46"/>
  <c r="I110" i="45"/>
  <c r="J229" i="45"/>
  <c r="H270" i="45" l="1"/>
  <c r="J234" i="45"/>
  <c r="K229" i="47"/>
  <c r="J110" i="47"/>
  <c r="K234" i="47"/>
  <c r="I270" i="47"/>
  <c r="L270" i="46"/>
  <c r="N234" i="46"/>
  <c r="J110" i="46"/>
  <c r="K229" i="46"/>
  <c r="J110" i="45"/>
  <c r="K229" i="45"/>
  <c r="J270" i="47" l="1"/>
  <c r="L234" i="47"/>
  <c r="K110" i="47"/>
  <c r="L229" i="47"/>
  <c r="K234" i="45"/>
  <c r="I270" i="45"/>
  <c r="O234" i="46"/>
  <c r="M270" i="46"/>
  <c r="K110" i="46"/>
  <c r="L229" i="46"/>
  <c r="K110" i="45"/>
  <c r="L229" i="45"/>
  <c r="L234" i="45" l="1"/>
  <c r="J270" i="45"/>
  <c r="L110" i="47"/>
  <c r="M229" i="47"/>
  <c r="M234" i="47"/>
  <c r="K270" i="47"/>
  <c r="M229" i="46"/>
  <c r="L110" i="46"/>
  <c r="N270" i="46"/>
  <c r="P234" i="46"/>
  <c r="O270" i="46" s="1"/>
  <c r="M229" i="45"/>
  <c r="L110" i="45"/>
  <c r="L270" i="47" l="1"/>
  <c r="N234" i="47"/>
  <c r="N229" i="47"/>
  <c r="M110" i="47"/>
  <c r="M234" i="45"/>
  <c r="K270" i="45"/>
  <c r="N229" i="46"/>
  <c r="M110" i="46"/>
  <c r="N229" i="45"/>
  <c r="L270" i="45" l="1"/>
  <c r="N234" i="45"/>
  <c r="N110" i="45" s="1"/>
  <c r="M110" i="45"/>
  <c r="O229" i="47"/>
  <c r="N110" i="47"/>
  <c r="M270" i="47"/>
  <c r="O234" i="47"/>
  <c r="O229" i="46"/>
  <c r="N110" i="46"/>
  <c r="O229" i="45"/>
  <c r="N270" i="47" l="1"/>
  <c r="P234" i="47"/>
  <c r="O270" i="47" s="1"/>
  <c r="O110" i="47"/>
  <c r="AH110" i="47" s="1"/>
  <c r="P229" i="47"/>
  <c r="M270" i="45"/>
  <c r="O234" i="45"/>
  <c r="O110" i="46"/>
  <c r="P229" i="46"/>
  <c r="P229" i="45"/>
  <c r="P234" i="45" l="1"/>
  <c r="O270" i="45" s="1"/>
  <c r="N270" i="45"/>
  <c r="AI110" i="47"/>
  <c r="O110" i="45"/>
  <c r="AI110" i="46"/>
  <c r="AH110" i="46"/>
  <c r="AI110" i="45"/>
  <c r="AH110" i="45"/>
  <c r="G68" i="44" l="1"/>
  <c r="H68" i="44"/>
  <c r="E4" i="43" l="1"/>
  <c r="H4" i="43"/>
  <c r="H4" i="44"/>
  <c r="E4" i="44"/>
  <c r="AF274" i="44"/>
  <c r="AE274" i="44"/>
  <c r="AD274" i="44"/>
  <c r="AC274" i="44"/>
  <c r="AB274" i="44"/>
  <c r="AA274" i="44"/>
  <c r="Z274" i="44"/>
  <c r="Y274" i="44"/>
  <c r="X274" i="44"/>
  <c r="W274" i="44"/>
  <c r="V274" i="44"/>
  <c r="U274" i="44"/>
  <c r="T274" i="44"/>
  <c r="S274" i="44"/>
  <c r="R274" i="44"/>
  <c r="Q274" i="44"/>
  <c r="P274" i="44"/>
  <c r="O274" i="44"/>
  <c r="N274" i="44"/>
  <c r="M274" i="44"/>
  <c r="L274" i="44"/>
  <c r="K274" i="44"/>
  <c r="J274" i="44"/>
  <c r="I274" i="44"/>
  <c r="H274" i="44"/>
  <c r="G274" i="44"/>
  <c r="F274" i="44"/>
  <c r="E274" i="44"/>
  <c r="D274" i="44"/>
  <c r="C274" i="44"/>
  <c r="B274" i="44"/>
  <c r="A274" i="44"/>
  <c r="AF273" i="44"/>
  <c r="AE273" i="44"/>
  <c r="AD273" i="44"/>
  <c r="AC273" i="44"/>
  <c r="AB273" i="44"/>
  <c r="AA273" i="44"/>
  <c r="Z273" i="44"/>
  <c r="Y273" i="44"/>
  <c r="X273" i="44"/>
  <c r="W273" i="44"/>
  <c r="V273" i="44"/>
  <c r="U273" i="44"/>
  <c r="T273" i="44"/>
  <c r="S273" i="44"/>
  <c r="R273" i="44"/>
  <c r="Q273" i="44"/>
  <c r="P273" i="44"/>
  <c r="O273" i="44"/>
  <c r="N273" i="44"/>
  <c r="M273" i="44"/>
  <c r="L273" i="44"/>
  <c r="K273" i="44"/>
  <c r="J273" i="44"/>
  <c r="I273" i="44"/>
  <c r="H273" i="44"/>
  <c r="G273" i="44"/>
  <c r="F273" i="44"/>
  <c r="E273" i="44"/>
  <c r="D273" i="44"/>
  <c r="C273" i="44"/>
  <c r="B273" i="44"/>
  <c r="A273" i="44"/>
  <c r="AF272" i="44"/>
  <c r="AE272" i="44"/>
  <c r="AD272" i="44"/>
  <c r="AC272" i="44"/>
  <c r="AB272" i="44"/>
  <c r="AA272" i="44"/>
  <c r="Z272" i="44"/>
  <c r="Y272" i="44"/>
  <c r="X272" i="44"/>
  <c r="W272" i="44"/>
  <c r="V272" i="44"/>
  <c r="U272" i="44"/>
  <c r="T272" i="44"/>
  <c r="S272" i="44"/>
  <c r="R272" i="44"/>
  <c r="Q272" i="44"/>
  <c r="P272" i="44"/>
  <c r="O272" i="44"/>
  <c r="N272" i="44"/>
  <c r="M272" i="44"/>
  <c r="L272" i="44"/>
  <c r="K272" i="44"/>
  <c r="J272" i="44"/>
  <c r="I272" i="44"/>
  <c r="H272" i="44"/>
  <c r="G272" i="44"/>
  <c r="F272" i="44"/>
  <c r="E272" i="44"/>
  <c r="D272" i="44"/>
  <c r="C272" i="44"/>
  <c r="B272" i="44"/>
  <c r="A272" i="44"/>
  <c r="AF271" i="44"/>
  <c r="AE271" i="44"/>
  <c r="AD271" i="44"/>
  <c r="AC271" i="44"/>
  <c r="AB271" i="44"/>
  <c r="AA271" i="44"/>
  <c r="Z271" i="44"/>
  <c r="Y271" i="44"/>
  <c r="X271" i="44"/>
  <c r="W271" i="44"/>
  <c r="V271" i="44"/>
  <c r="U271" i="44"/>
  <c r="T271" i="44"/>
  <c r="S271" i="44"/>
  <c r="R271" i="44"/>
  <c r="Q271" i="44"/>
  <c r="P271" i="44"/>
  <c r="O271" i="44"/>
  <c r="N271" i="44"/>
  <c r="M271" i="44"/>
  <c r="L271" i="44"/>
  <c r="K271" i="44"/>
  <c r="J271" i="44"/>
  <c r="I271" i="44"/>
  <c r="H271" i="44"/>
  <c r="G271" i="44"/>
  <c r="F271" i="44"/>
  <c r="E271" i="44"/>
  <c r="D271" i="44"/>
  <c r="C271" i="44"/>
  <c r="B271" i="44"/>
  <c r="A271" i="44"/>
  <c r="AE270" i="44"/>
  <c r="AD270" i="44"/>
  <c r="AC270" i="44"/>
  <c r="AB270" i="44"/>
  <c r="AA270" i="44"/>
  <c r="Z270" i="44"/>
  <c r="Y270" i="44"/>
  <c r="X270" i="44"/>
  <c r="W270" i="44"/>
  <c r="V270" i="44"/>
  <c r="U270" i="44"/>
  <c r="T270" i="44"/>
  <c r="S270" i="44"/>
  <c r="R270" i="44"/>
  <c r="Q270" i="44"/>
  <c r="P270" i="44"/>
  <c r="C270" i="44"/>
  <c r="B270" i="44"/>
  <c r="S245" i="44"/>
  <c r="AG235" i="44"/>
  <c r="AG67" i="44" s="1"/>
  <c r="AG68" i="44" s="1"/>
  <c r="AG3" i="44" s="1"/>
  <c r="AF235" i="44"/>
  <c r="AE235" i="44"/>
  <c r="AD235" i="44"/>
  <c r="AC235" i="44"/>
  <c r="AB235" i="44"/>
  <c r="AA235" i="44"/>
  <c r="Z235" i="44"/>
  <c r="Y235" i="44"/>
  <c r="X235" i="44"/>
  <c r="W235" i="44"/>
  <c r="V235" i="44"/>
  <c r="U235" i="44"/>
  <c r="T235" i="44"/>
  <c r="S235" i="44"/>
  <c r="R235" i="44"/>
  <c r="Q235" i="44"/>
  <c r="C235" i="44"/>
  <c r="D234" i="44"/>
  <c r="E234" i="44" s="1"/>
  <c r="B234" i="44"/>
  <c r="AF270" i="44" s="1"/>
  <c r="D233" i="44"/>
  <c r="E233" i="44" s="1"/>
  <c r="F233" i="44" s="1"/>
  <c r="G233" i="44" s="1"/>
  <c r="H233" i="44" s="1"/>
  <c r="I233" i="44" s="1"/>
  <c r="J233" i="44" s="1"/>
  <c r="K233" i="44" s="1"/>
  <c r="L233" i="44" s="1"/>
  <c r="M233" i="44" s="1"/>
  <c r="N233" i="44" s="1"/>
  <c r="O233" i="44" s="1"/>
  <c r="P233" i="44" s="1"/>
  <c r="B233" i="44"/>
  <c r="E232" i="44"/>
  <c r="F232" i="44" s="1"/>
  <c r="G232" i="44" s="1"/>
  <c r="H232" i="44" s="1"/>
  <c r="I232" i="44" s="1"/>
  <c r="D232" i="44"/>
  <c r="B232" i="44"/>
  <c r="D231" i="44"/>
  <c r="E231" i="44" s="1"/>
  <c r="F231" i="44" s="1"/>
  <c r="G231" i="44" s="1"/>
  <c r="H231" i="44" s="1"/>
  <c r="B231" i="44"/>
  <c r="D230" i="44"/>
  <c r="E230" i="44" s="1"/>
  <c r="F230" i="44" s="1"/>
  <c r="G230" i="44" s="1"/>
  <c r="H230" i="44" s="1"/>
  <c r="I230" i="44" s="1"/>
  <c r="J230" i="44" s="1"/>
  <c r="K230" i="44" s="1"/>
  <c r="L230" i="44" s="1"/>
  <c r="M230" i="44" s="1"/>
  <c r="N230" i="44" s="1"/>
  <c r="O230" i="44" s="1"/>
  <c r="P230" i="44" s="1"/>
  <c r="B230" i="44"/>
  <c r="D229" i="44"/>
  <c r="D235" i="44" s="1"/>
  <c r="B229" i="44"/>
  <c r="AG227" i="44"/>
  <c r="AF227" i="44"/>
  <c r="AE227" i="44"/>
  <c r="AD227" i="44"/>
  <c r="AC227" i="44"/>
  <c r="AB227" i="44"/>
  <c r="AA227" i="44"/>
  <c r="Z227" i="44"/>
  <c r="Y227" i="44"/>
  <c r="X227" i="44"/>
  <c r="W227" i="44"/>
  <c r="V227" i="44"/>
  <c r="U227" i="44"/>
  <c r="T227" i="44"/>
  <c r="S227" i="44"/>
  <c r="R227" i="44"/>
  <c r="Q227" i="44"/>
  <c r="P227" i="44"/>
  <c r="O227" i="44"/>
  <c r="N227" i="44"/>
  <c r="M227" i="44"/>
  <c r="L227" i="44"/>
  <c r="K227" i="44"/>
  <c r="J227" i="44"/>
  <c r="I227" i="44"/>
  <c r="H227" i="44"/>
  <c r="G227" i="44"/>
  <c r="F227" i="44"/>
  <c r="E227" i="44"/>
  <c r="D227" i="44"/>
  <c r="C227" i="44"/>
  <c r="B227" i="44"/>
  <c r="AI120" i="44"/>
  <c r="AH120" i="44"/>
  <c r="AI119" i="44"/>
  <c r="AH119" i="44"/>
  <c r="AI118" i="44"/>
  <c r="AH118" i="44"/>
  <c r="AI117" i="44"/>
  <c r="AH117" i="44"/>
  <c r="AI116" i="44"/>
  <c r="AH116" i="44"/>
  <c r="AI115" i="44"/>
  <c r="AH115" i="44"/>
  <c r="AI114" i="44"/>
  <c r="AH114" i="44"/>
  <c r="AI113" i="44"/>
  <c r="AH113" i="44"/>
  <c r="AI112" i="44"/>
  <c r="AH112" i="44"/>
  <c r="AI111" i="44"/>
  <c r="AH111" i="44"/>
  <c r="AF110" i="44"/>
  <c r="AE110" i="44"/>
  <c r="AC110" i="44"/>
  <c r="AB110" i="44"/>
  <c r="Z110" i="44"/>
  <c r="Y110" i="44"/>
  <c r="X110" i="44"/>
  <c r="W110" i="44"/>
  <c r="V110" i="44"/>
  <c r="U110" i="44"/>
  <c r="T110" i="44"/>
  <c r="S110" i="44"/>
  <c r="R110" i="44"/>
  <c r="Q110" i="44"/>
  <c r="C110" i="44"/>
  <c r="B110" i="44"/>
  <c r="AI109" i="44"/>
  <c r="AH109" i="44"/>
  <c r="AI108" i="44"/>
  <c r="AH108" i="44"/>
  <c r="AI107" i="44"/>
  <c r="AH107" i="44"/>
  <c r="AI106" i="44"/>
  <c r="AH106" i="44"/>
  <c r="AI105" i="44"/>
  <c r="AH105" i="44"/>
  <c r="AI104" i="44"/>
  <c r="AH104" i="44"/>
  <c r="AI103" i="44"/>
  <c r="AH103" i="44"/>
  <c r="AI102" i="44"/>
  <c r="AH102" i="44"/>
  <c r="AI101" i="44"/>
  <c r="AH101" i="44"/>
  <c r="AI99" i="44"/>
  <c r="AH99" i="44"/>
  <c r="AI98" i="44"/>
  <c r="AH98" i="44"/>
  <c r="AI97" i="44"/>
  <c r="AH97" i="44"/>
  <c r="AI96" i="44"/>
  <c r="AH96" i="44"/>
  <c r="AI95" i="44"/>
  <c r="AH95" i="44"/>
  <c r="AI94" i="44"/>
  <c r="AH94" i="44"/>
  <c r="AI93" i="44"/>
  <c r="AH93" i="44"/>
  <c r="AI90" i="44"/>
  <c r="AH90" i="44"/>
  <c r="AI88" i="44"/>
  <c r="AH88" i="44"/>
  <c r="AG88" i="44"/>
  <c r="AI87" i="44"/>
  <c r="AH87" i="44"/>
  <c r="AI86" i="44"/>
  <c r="AH86" i="44"/>
  <c r="AI85" i="44"/>
  <c r="AH85" i="44"/>
  <c r="AN84" i="44"/>
  <c r="AG84" i="44"/>
  <c r="AF84" i="44"/>
  <c r="AF100" i="44" s="1"/>
  <c r="AE84" i="44"/>
  <c r="AE100" i="44" s="1"/>
  <c r="AD84" i="44"/>
  <c r="AD100" i="44" s="1"/>
  <c r="AC84" i="44"/>
  <c r="AC100" i="44" s="1"/>
  <c r="AB84" i="44"/>
  <c r="AB100" i="44" s="1"/>
  <c r="Z84" i="44"/>
  <c r="Z100" i="44" s="1"/>
  <c r="Y84" i="44"/>
  <c r="Y100" i="44" s="1"/>
  <c r="X84" i="44"/>
  <c r="X100" i="44" s="1"/>
  <c r="W84" i="44"/>
  <c r="W100" i="44" s="1"/>
  <c r="V84" i="44"/>
  <c r="V100" i="44" s="1"/>
  <c r="U84" i="44"/>
  <c r="U100" i="44" s="1"/>
  <c r="T84" i="44"/>
  <c r="T100" i="44" s="1"/>
  <c r="S84" i="44"/>
  <c r="S100" i="44" s="1"/>
  <c r="R84" i="44"/>
  <c r="R100" i="44" s="1"/>
  <c r="Q84" i="44"/>
  <c r="Q100" i="44" s="1"/>
  <c r="P84" i="44"/>
  <c r="P100" i="44" s="1"/>
  <c r="O84" i="44"/>
  <c r="O100" i="44" s="1"/>
  <c r="N84" i="44"/>
  <c r="N100" i="44" s="1"/>
  <c r="M84" i="44"/>
  <c r="M100" i="44" s="1"/>
  <c r="L84" i="44"/>
  <c r="L100" i="44" s="1"/>
  <c r="K84" i="44"/>
  <c r="K100" i="44" s="1"/>
  <c r="J84" i="44"/>
  <c r="J100" i="44" s="1"/>
  <c r="I84" i="44"/>
  <c r="I100" i="44" s="1"/>
  <c r="H84" i="44"/>
  <c r="H100" i="44" s="1"/>
  <c r="G84" i="44"/>
  <c r="G100" i="44" s="1"/>
  <c r="F84" i="44"/>
  <c r="F100" i="44" s="1"/>
  <c r="E84" i="44"/>
  <c r="E100" i="44" s="1"/>
  <c r="D84" i="44"/>
  <c r="D100" i="44" s="1"/>
  <c r="C84" i="44"/>
  <c r="C100" i="44" s="1"/>
  <c r="B100" i="44"/>
  <c r="AI83" i="44"/>
  <c r="AH83" i="44"/>
  <c r="AN82" i="44"/>
  <c r="AI82" i="44"/>
  <c r="AH82" i="44"/>
  <c r="AN81" i="44"/>
  <c r="AN83" i="44" s="1"/>
  <c r="AI81" i="44"/>
  <c r="AH81" i="44"/>
  <c r="AI80" i="44"/>
  <c r="AH80" i="44"/>
  <c r="AI79" i="44"/>
  <c r="AH79" i="44"/>
  <c r="AI78" i="44"/>
  <c r="AH78" i="44"/>
  <c r="AI77" i="44"/>
  <c r="AH77" i="44"/>
  <c r="AI76" i="44"/>
  <c r="AH76" i="44"/>
  <c r="AI75" i="44"/>
  <c r="AH75" i="44"/>
  <c r="AI74" i="44"/>
  <c r="AH74" i="44"/>
  <c r="AI73" i="44"/>
  <c r="AH73" i="44"/>
  <c r="AG72" i="44"/>
  <c r="AF72" i="44"/>
  <c r="AE72" i="44"/>
  <c r="AD72" i="44"/>
  <c r="AC72" i="44"/>
  <c r="AB72" i="44"/>
  <c r="Z72" i="44"/>
  <c r="Y72" i="44"/>
  <c r="X72" i="44"/>
  <c r="W72" i="44"/>
  <c r="V72" i="44"/>
  <c r="U72" i="44"/>
  <c r="T72" i="44"/>
  <c r="S72" i="44"/>
  <c r="R72" i="44"/>
  <c r="Q72" i="44"/>
  <c r="P72" i="44"/>
  <c r="O72" i="44"/>
  <c r="N72" i="44"/>
  <c r="M72" i="44"/>
  <c r="L72" i="44"/>
  <c r="B72" i="44"/>
  <c r="AI71" i="44"/>
  <c r="AH71" i="44"/>
  <c r="AI70" i="44"/>
  <c r="AH70" i="44"/>
  <c r="AI69" i="44"/>
  <c r="AH69" i="44"/>
  <c r="AF68" i="44"/>
  <c r="AE68" i="44"/>
  <c r="AD68" i="44"/>
  <c r="AC68" i="44"/>
  <c r="AB68" i="44"/>
  <c r="Z68" i="44"/>
  <c r="Y68" i="44"/>
  <c r="X68" i="44"/>
  <c r="W68" i="44"/>
  <c r="V68" i="44"/>
  <c r="U68" i="44"/>
  <c r="T68" i="44"/>
  <c r="S68" i="44"/>
  <c r="R68" i="44"/>
  <c r="Q68" i="44"/>
  <c r="P68" i="44"/>
  <c r="O68" i="44"/>
  <c r="N68" i="44"/>
  <c r="M68" i="44"/>
  <c r="L68" i="44"/>
  <c r="K68" i="44"/>
  <c r="J68" i="44"/>
  <c r="I68" i="44"/>
  <c r="F68" i="44"/>
  <c r="E68" i="44"/>
  <c r="D68" i="44"/>
  <c r="C68" i="44"/>
  <c r="B68" i="44"/>
  <c r="AI67" i="44"/>
  <c r="AH67" i="44"/>
  <c r="AI66" i="44"/>
  <c r="AH66" i="44"/>
  <c r="AI65" i="44"/>
  <c r="AH65" i="44"/>
  <c r="AI64" i="44"/>
  <c r="AH64" i="44"/>
  <c r="AI63" i="44"/>
  <c r="AH63" i="44"/>
  <c r="AI62" i="44"/>
  <c r="AH62" i="44"/>
  <c r="AI61" i="44"/>
  <c r="AH61" i="44"/>
  <c r="AI60" i="44"/>
  <c r="AH60" i="44"/>
  <c r="AI59" i="44"/>
  <c r="AH59" i="44"/>
  <c r="AI58" i="44"/>
  <c r="AH58" i="44"/>
  <c r="AI57" i="44"/>
  <c r="AH57" i="44"/>
  <c r="AI56" i="44"/>
  <c r="AH56" i="44"/>
  <c r="AI55" i="44"/>
  <c r="AH55" i="44"/>
  <c r="AG54" i="44"/>
  <c r="AF54" i="44"/>
  <c r="AE54" i="44"/>
  <c r="AD54" i="44"/>
  <c r="AC54" i="44"/>
  <c r="AB54" i="44"/>
  <c r="Z54" i="44"/>
  <c r="Y54" i="44"/>
  <c r="X54" i="44"/>
  <c r="W54" i="44"/>
  <c r="V54" i="44"/>
  <c r="U54" i="44"/>
  <c r="T54" i="44"/>
  <c r="S54" i="44"/>
  <c r="R54" i="44"/>
  <c r="Q54" i="44"/>
  <c r="P54" i="44"/>
  <c r="O54" i="44"/>
  <c r="N54" i="44"/>
  <c r="M54" i="44"/>
  <c r="L54" i="44"/>
  <c r="K54" i="44"/>
  <c r="J54" i="44"/>
  <c r="I54" i="44"/>
  <c r="H54" i="44"/>
  <c r="G54" i="44"/>
  <c r="F54" i="44"/>
  <c r="E54" i="44"/>
  <c r="D54" i="44"/>
  <c r="C54" i="44"/>
  <c r="B54" i="44"/>
  <c r="AI53" i="44"/>
  <c r="AH53" i="44"/>
  <c r="AI52" i="44"/>
  <c r="AH52" i="44"/>
  <c r="AI51" i="44"/>
  <c r="AH51" i="44"/>
  <c r="AG50" i="44"/>
  <c r="AF50" i="44"/>
  <c r="AE50" i="44"/>
  <c r="AD50" i="44"/>
  <c r="AC50" i="44"/>
  <c r="AB50" i="44"/>
  <c r="Z50" i="44"/>
  <c r="Y50" i="44"/>
  <c r="X50" i="44"/>
  <c r="W50" i="44"/>
  <c r="V50" i="44"/>
  <c r="U50" i="44"/>
  <c r="T50" i="44"/>
  <c r="S50" i="44"/>
  <c r="R50" i="44"/>
  <c r="Q50" i="44"/>
  <c r="P50" i="44"/>
  <c r="O50" i="44"/>
  <c r="N50" i="44"/>
  <c r="M50" i="44"/>
  <c r="L50" i="44"/>
  <c r="K50" i="44"/>
  <c r="J50" i="44"/>
  <c r="I50" i="44"/>
  <c r="H50" i="44"/>
  <c r="G50" i="44"/>
  <c r="F50" i="44"/>
  <c r="E50" i="44"/>
  <c r="D50" i="44"/>
  <c r="C50" i="44"/>
  <c r="B50" i="44"/>
  <c r="AI49" i="44"/>
  <c r="AH49" i="44"/>
  <c r="AI48" i="44"/>
  <c r="AH48" i="44"/>
  <c r="AI47" i="44"/>
  <c r="AH47" i="44"/>
  <c r="AI46" i="44"/>
  <c r="AH46" i="44"/>
  <c r="AI45" i="44"/>
  <c r="AH45" i="44"/>
  <c r="AI44" i="44"/>
  <c r="AH44" i="44"/>
  <c r="AI43" i="44"/>
  <c r="AH43" i="44"/>
  <c r="AI42" i="44"/>
  <c r="AH42" i="44"/>
  <c r="AI41" i="44"/>
  <c r="AH41" i="44"/>
  <c r="AI40" i="44"/>
  <c r="AH40" i="44"/>
  <c r="AI39" i="44"/>
  <c r="AH39" i="44"/>
  <c r="AI38" i="44"/>
  <c r="AH38" i="44"/>
  <c r="AI37" i="44"/>
  <c r="AH37" i="44"/>
  <c r="AI36" i="44"/>
  <c r="AH36" i="44"/>
  <c r="AI35" i="44"/>
  <c r="AH35" i="44"/>
  <c r="AI34" i="44"/>
  <c r="AH34" i="44"/>
  <c r="AI33" i="44"/>
  <c r="AH33" i="44"/>
  <c r="AI32" i="44"/>
  <c r="AH32" i="44"/>
  <c r="AI31" i="44"/>
  <c r="AH31" i="44"/>
  <c r="AI30" i="44"/>
  <c r="AH30" i="44"/>
  <c r="AI29" i="44"/>
  <c r="AH29" i="44"/>
  <c r="AI28" i="44"/>
  <c r="AH28" i="44"/>
  <c r="AI27" i="44"/>
  <c r="AH27" i="44"/>
  <c r="AI26" i="44"/>
  <c r="AH26" i="44"/>
  <c r="AI25" i="44"/>
  <c r="AH25" i="44"/>
  <c r="AI24" i="44"/>
  <c r="AH24" i="44"/>
  <c r="AI23" i="44"/>
  <c r="AH23" i="44"/>
  <c r="AI22" i="44"/>
  <c r="AH22" i="44"/>
  <c r="AI21" i="44"/>
  <c r="AH21" i="44"/>
  <c r="AI20" i="44"/>
  <c r="AH20" i="44"/>
  <c r="AI19" i="44"/>
  <c r="AH19" i="44"/>
  <c r="AI18" i="44"/>
  <c r="AH18" i="44"/>
  <c r="AI17" i="44"/>
  <c r="AH17" i="44"/>
  <c r="AI16" i="44"/>
  <c r="AH16" i="44"/>
  <c r="AI15" i="44"/>
  <c r="AH15" i="44"/>
  <c r="AI14" i="44"/>
  <c r="AH14" i="44"/>
  <c r="AI13" i="44"/>
  <c r="AH13" i="44"/>
  <c r="AI12" i="44"/>
  <c r="AH12" i="44"/>
  <c r="AI11" i="44"/>
  <c r="AH11" i="44"/>
  <c r="Z5" i="44"/>
  <c r="J5" i="44"/>
  <c r="E5" i="44"/>
  <c r="AG4" i="44"/>
  <c r="K4" i="44"/>
  <c r="B4" i="44"/>
  <c r="S246" i="44" s="1"/>
  <c r="Y84" i="43"/>
  <c r="Z84" i="43"/>
  <c r="AA84" i="43"/>
  <c r="AA100" i="43" s="1"/>
  <c r="AA68" i="43"/>
  <c r="AB68" i="43"/>
  <c r="X89" i="44" l="1"/>
  <c r="X91" i="44" s="1"/>
  <c r="AG91" i="44"/>
  <c r="B235" i="44"/>
  <c r="AE5" i="44"/>
  <c r="AF89" i="44"/>
  <c r="AF91" i="44" s="1"/>
  <c r="AF92" i="44" s="1"/>
  <c r="AD5" i="44"/>
  <c r="AE89" i="44"/>
  <c r="AE91" i="44" s="1"/>
  <c r="AW249" i="44" s="1"/>
  <c r="AC5" i="44"/>
  <c r="AD89" i="44"/>
  <c r="AD91" i="44" s="1"/>
  <c r="AD7" i="44" s="1"/>
  <c r="AB5" i="44"/>
  <c r="AC89" i="44"/>
  <c r="AC91" i="44" s="1"/>
  <c r="AC92" i="44" s="1"/>
  <c r="AB89" i="44"/>
  <c r="AB91" i="44" s="1"/>
  <c r="AB92" i="44" s="1"/>
  <c r="Z89" i="44"/>
  <c r="Z91" i="44" s="1"/>
  <c r="Z7" i="44" s="1"/>
  <c r="W5" i="44"/>
  <c r="V5" i="44"/>
  <c r="X5" i="44"/>
  <c r="Y89" i="44"/>
  <c r="Y91" i="44" s="1"/>
  <c r="AQ249" i="44" s="1"/>
  <c r="W89" i="44"/>
  <c r="W91" i="44" s="1"/>
  <c r="AO249" i="44" s="1"/>
  <c r="U5" i="44"/>
  <c r="V89" i="44"/>
  <c r="V91" i="44" s="1"/>
  <c r="AN249" i="44" s="1"/>
  <c r="T5" i="44"/>
  <c r="U89" i="44"/>
  <c r="U91" i="44" s="1"/>
  <c r="U92" i="44" s="1"/>
  <c r="T89" i="44"/>
  <c r="T91" i="44" s="1"/>
  <c r="AL249" i="44" s="1"/>
  <c r="R5" i="44"/>
  <c r="S89" i="44"/>
  <c r="S91" i="44" s="1"/>
  <c r="AK249" i="44" s="1"/>
  <c r="R89" i="44"/>
  <c r="R91" i="44" s="1"/>
  <c r="AJ249" i="44" s="1"/>
  <c r="P5" i="44"/>
  <c r="O5" i="44"/>
  <c r="P89" i="44"/>
  <c r="P91" i="44" s="1"/>
  <c r="AH249" i="44" s="1"/>
  <c r="N5" i="44"/>
  <c r="O89" i="44"/>
  <c r="O91" i="44" s="1"/>
  <c r="O7" i="44" s="1"/>
  <c r="M5" i="44"/>
  <c r="N89" i="44"/>
  <c r="N91" i="44" s="1"/>
  <c r="N7" i="44" s="1"/>
  <c r="L5" i="44"/>
  <c r="AH72" i="44"/>
  <c r="K89" i="44"/>
  <c r="K91" i="44" s="1"/>
  <c r="J89" i="44"/>
  <c r="J91" i="44" s="1"/>
  <c r="H5" i="44"/>
  <c r="I89" i="44"/>
  <c r="I91" i="44" s="1"/>
  <c r="AA249" i="44" s="1"/>
  <c r="F5" i="44"/>
  <c r="G5" i="44"/>
  <c r="G89" i="44"/>
  <c r="G91" i="44" s="1"/>
  <c r="G92" i="44" s="1"/>
  <c r="H89" i="44"/>
  <c r="H91" i="44" s="1"/>
  <c r="H92" i="44" s="1"/>
  <c r="Q89" i="44"/>
  <c r="Q91" i="44" s="1"/>
  <c r="AI249" i="44" s="1"/>
  <c r="M89" i="44"/>
  <c r="M91" i="44" s="1"/>
  <c r="M92" i="44" s="1"/>
  <c r="D5" i="44"/>
  <c r="F89" i="44"/>
  <c r="F91" i="44" s="1"/>
  <c r="F7" i="44" s="1"/>
  <c r="E89" i="44"/>
  <c r="E91" i="44" s="1"/>
  <c r="E92" i="44" s="1"/>
  <c r="D89" i="44"/>
  <c r="D91" i="44" s="1"/>
  <c r="D92" i="44" s="1"/>
  <c r="L89" i="44"/>
  <c r="L91" i="44" s="1"/>
  <c r="L7" i="44" s="1"/>
  <c r="B5" i="44"/>
  <c r="AI68" i="44"/>
  <c r="AH54" i="44"/>
  <c r="C89" i="44"/>
  <c r="C91" i="44" s="1"/>
  <c r="C7" i="44" s="1"/>
  <c r="AF5" i="44"/>
  <c r="AI54" i="44"/>
  <c r="B89" i="44"/>
  <c r="B91" i="44" s="1"/>
  <c r="T92" i="44"/>
  <c r="T7" i="44"/>
  <c r="AT249" i="44"/>
  <c r="AB7" i="44"/>
  <c r="AV249" i="44"/>
  <c r="AC7" i="44"/>
  <c r="AE7" i="44"/>
  <c r="AE92" i="44"/>
  <c r="D270" i="44"/>
  <c r="F234" i="44"/>
  <c r="AI100" i="44"/>
  <c r="AH100" i="44"/>
  <c r="H7" i="44"/>
  <c r="X7" i="44"/>
  <c r="X92" i="44"/>
  <c r="AP249" i="44"/>
  <c r="I92" i="44"/>
  <c r="AG89" i="44"/>
  <c r="X249" i="44"/>
  <c r="J232" i="44"/>
  <c r="K232" i="44" s="1"/>
  <c r="L232" i="44" s="1"/>
  <c r="M232" i="44" s="1"/>
  <c r="N232" i="44" s="1"/>
  <c r="O232" i="44" s="1"/>
  <c r="P232" i="44" s="1"/>
  <c r="J92" i="44"/>
  <c r="J7" i="44"/>
  <c r="AB249" i="44"/>
  <c r="K7" i="44"/>
  <c r="K92" i="44"/>
  <c r="AC249" i="44"/>
  <c r="AA7" i="44"/>
  <c r="AS249" i="44"/>
  <c r="AH84" i="44"/>
  <c r="AH68" i="44"/>
  <c r="AI72" i="44"/>
  <c r="D110" i="44"/>
  <c r="D246" i="44"/>
  <c r="I5" i="44"/>
  <c r="Q5" i="44"/>
  <c r="Y5" i="44"/>
  <c r="AH50" i="44"/>
  <c r="AI84" i="44"/>
  <c r="E229" i="44"/>
  <c r="AI50" i="44"/>
  <c r="AG2" i="44"/>
  <c r="AG6" i="44" s="1"/>
  <c r="C5" i="44"/>
  <c r="K5" i="44"/>
  <c r="S5" i="44"/>
  <c r="AA5" i="44"/>
  <c r="AA89" i="43"/>
  <c r="R7" i="44" l="1"/>
  <c r="R92" i="44"/>
  <c r="I7" i="44"/>
  <c r="AX249" i="44"/>
  <c r="AF7" i="44"/>
  <c r="AD92" i="44"/>
  <c r="AU249" i="44"/>
  <c r="AR249" i="44"/>
  <c r="Z92" i="44"/>
  <c r="Y92" i="44"/>
  <c r="Y7" i="44"/>
  <c r="W92" i="44"/>
  <c r="W7" i="44"/>
  <c r="V92" i="44"/>
  <c r="V7" i="44"/>
  <c r="U7" i="44"/>
  <c r="AM249" i="44"/>
  <c r="S7" i="44"/>
  <c r="S92" i="44"/>
  <c r="AF249" i="44"/>
  <c r="N92" i="44"/>
  <c r="Q7" i="44"/>
  <c r="Q92" i="44"/>
  <c r="P7" i="44"/>
  <c r="P92" i="44"/>
  <c r="AG249" i="44"/>
  <c r="O92" i="44"/>
  <c r="M7" i="44"/>
  <c r="AE249" i="44"/>
  <c r="L92" i="44"/>
  <c r="AD249" i="44"/>
  <c r="Z249" i="44"/>
  <c r="C244" i="44"/>
  <c r="G7" i="44"/>
  <c r="B244" i="44"/>
  <c r="Y249" i="44"/>
  <c r="E7" i="44"/>
  <c r="F92" i="44"/>
  <c r="W249" i="44"/>
  <c r="V249" i="44"/>
  <c r="D7" i="44"/>
  <c r="C92" i="44"/>
  <c r="U249" i="44"/>
  <c r="AH89" i="44"/>
  <c r="AI89" i="44"/>
  <c r="T249" i="44"/>
  <c r="B92" i="44"/>
  <c r="AI91" i="44"/>
  <c r="AH91" i="44"/>
  <c r="B7" i="44"/>
  <c r="F229" i="44"/>
  <c r="E110" i="44"/>
  <c r="E235" i="44"/>
  <c r="E270" i="44"/>
  <c r="G234" i="44"/>
  <c r="A7" i="44" l="1"/>
  <c r="K6" i="44"/>
  <c r="G229" i="44"/>
  <c r="F235" i="44"/>
  <c r="F110" i="44"/>
  <c r="F270" i="44"/>
  <c r="H234" i="44"/>
  <c r="AI92" i="44"/>
  <c r="AH92" i="44"/>
  <c r="G270" i="44" l="1"/>
  <c r="I234" i="44"/>
  <c r="H229" i="44"/>
  <c r="G110" i="44"/>
  <c r="G235" i="44"/>
  <c r="I229" i="44" l="1"/>
  <c r="H110" i="44"/>
  <c r="H235" i="44"/>
  <c r="H270" i="44"/>
  <c r="J234" i="44"/>
  <c r="K234" i="44" l="1"/>
  <c r="I270" i="44"/>
  <c r="I110" i="44"/>
  <c r="J229" i="44"/>
  <c r="J110" i="44" l="1"/>
  <c r="K229" i="44"/>
  <c r="J270" i="44"/>
  <c r="L234" i="44"/>
  <c r="M234" i="44" l="1"/>
  <c r="K270" i="44"/>
  <c r="K110" i="44"/>
  <c r="L229" i="44"/>
  <c r="M229" i="44" l="1"/>
  <c r="L110" i="44"/>
  <c r="N234" i="44"/>
  <c r="L270" i="44"/>
  <c r="M270" i="44" l="1"/>
  <c r="O234" i="44"/>
  <c r="N229" i="44"/>
  <c r="M110" i="44"/>
  <c r="O229" i="44" l="1"/>
  <c r="N110" i="44"/>
  <c r="N270" i="44"/>
  <c r="P234" i="44"/>
  <c r="O270" i="44" s="1"/>
  <c r="P229" i="44" l="1"/>
  <c r="O110" i="44"/>
  <c r="AI110" i="44" l="1"/>
  <c r="AH110" i="44"/>
  <c r="Z113" i="43" l="1"/>
  <c r="Y113" i="43"/>
  <c r="X113" i="43"/>
  <c r="W113" i="43"/>
  <c r="V113" i="43"/>
  <c r="U113" i="43"/>
  <c r="T113" i="43" l="1"/>
  <c r="S113" i="43"/>
  <c r="N84" i="43" l="1"/>
  <c r="O84" i="43"/>
  <c r="P84" i="43"/>
  <c r="P68" i="43"/>
  <c r="P54" i="43"/>
  <c r="P50" i="43"/>
  <c r="B84" i="43" l="1"/>
  <c r="B100" i="43" s="1"/>
  <c r="B72" i="43"/>
  <c r="B68" i="43"/>
  <c r="B54" i="43"/>
  <c r="B50" i="43"/>
  <c r="AF274" i="43"/>
  <c r="AE274" i="43"/>
  <c r="AD274" i="43"/>
  <c r="AC274" i="43"/>
  <c r="AB274" i="43"/>
  <c r="AA274" i="43"/>
  <c r="Z274" i="43"/>
  <c r="Y274" i="43"/>
  <c r="X274" i="43"/>
  <c r="W274" i="43"/>
  <c r="V274" i="43"/>
  <c r="U274" i="43"/>
  <c r="T274" i="43"/>
  <c r="S274" i="43"/>
  <c r="R274" i="43"/>
  <c r="Q274" i="43"/>
  <c r="P274" i="43"/>
  <c r="O274" i="43"/>
  <c r="N274" i="43"/>
  <c r="M274" i="43"/>
  <c r="L274" i="43"/>
  <c r="K274" i="43"/>
  <c r="J274" i="43"/>
  <c r="I274" i="43"/>
  <c r="H274" i="43"/>
  <c r="G274" i="43"/>
  <c r="F274" i="43"/>
  <c r="E274" i="43"/>
  <c r="D274" i="43"/>
  <c r="C274" i="43"/>
  <c r="B274" i="43"/>
  <c r="A274" i="43"/>
  <c r="AF273" i="43"/>
  <c r="AE273" i="43"/>
  <c r="AD273" i="43"/>
  <c r="AC273" i="43"/>
  <c r="AB273" i="43"/>
  <c r="AA273" i="43"/>
  <c r="Z273" i="43"/>
  <c r="Y273" i="43"/>
  <c r="X273" i="43"/>
  <c r="W273" i="43"/>
  <c r="V273" i="43"/>
  <c r="U273" i="43"/>
  <c r="T273" i="43"/>
  <c r="S273" i="43"/>
  <c r="R273" i="43"/>
  <c r="Q273" i="43"/>
  <c r="P273" i="43"/>
  <c r="O273" i="43"/>
  <c r="N273" i="43"/>
  <c r="M273" i="43"/>
  <c r="L273" i="43"/>
  <c r="K273" i="43"/>
  <c r="J273" i="43"/>
  <c r="I273" i="43"/>
  <c r="H273" i="43"/>
  <c r="G273" i="43"/>
  <c r="F273" i="43"/>
  <c r="E273" i="43"/>
  <c r="D273" i="43"/>
  <c r="C273" i="43"/>
  <c r="B273" i="43"/>
  <c r="A273" i="43"/>
  <c r="AF272" i="43"/>
  <c r="AE272" i="43"/>
  <c r="AD272" i="43"/>
  <c r="AC272" i="43"/>
  <c r="AB272" i="43"/>
  <c r="AA272" i="43"/>
  <c r="Z272" i="43"/>
  <c r="Y272" i="43"/>
  <c r="X272" i="43"/>
  <c r="W272" i="43"/>
  <c r="V272" i="43"/>
  <c r="U272" i="43"/>
  <c r="T272" i="43"/>
  <c r="S272" i="43"/>
  <c r="R272" i="43"/>
  <c r="Q272" i="43"/>
  <c r="P272" i="43"/>
  <c r="O272" i="43"/>
  <c r="N272" i="43"/>
  <c r="M272" i="43"/>
  <c r="L272" i="43"/>
  <c r="K272" i="43"/>
  <c r="J272" i="43"/>
  <c r="I272" i="43"/>
  <c r="H272" i="43"/>
  <c r="G272" i="43"/>
  <c r="F272" i="43"/>
  <c r="E272" i="43"/>
  <c r="D272" i="43"/>
  <c r="C272" i="43"/>
  <c r="B272" i="43"/>
  <c r="A272" i="43"/>
  <c r="AF271" i="43"/>
  <c r="AE271" i="43"/>
  <c r="AD271" i="43"/>
  <c r="AC271" i="43"/>
  <c r="AB271" i="43"/>
  <c r="AA271" i="43"/>
  <c r="Z271" i="43"/>
  <c r="Y271" i="43"/>
  <c r="X271" i="43"/>
  <c r="W271" i="43"/>
  <c r="V271" i="43"/>
  <c r="U271" i="43"/>
  <c r="T271" i="43"/>
  <c r="S271" i="43"/>
  <c r="R271" i="43"/>
  <c r="Q271" i="43"/>
  <c r="P271" i="43"/>
  <c r="O271" i="43"/>
  <c r="N271" i="43"/>
  <c r="M271" i="43"/>
  <c r="L271" i="43"/>
  <c r="K271" i="43"/>
  <c r="J271" i="43"/>
  <c r="I271" i="43"/>
  <c r="H271" i="43"/>
  <c r="G271" i="43"/>
  <c r="F271" i="43"/>
  <c r="E271" i="43"/>
  <c r="D271" i="43"/>
  <c r="C271" i="43"/>
  <c r="B271" i="43"/>
  <c r="A271" i="43"/>
  <c r="AE270" i="43"/>
  <c r="AD270" i="43"/>
  <c r="AC270" i="43"/>
  <c r="AB270" i="43"/>
  <c r="AA270" i="43"/>
  <c r="Z270" i="43"/>
  <c r="Y270" i="43"/>
  <c r="X270" i="43"/>
  <c r="W270" i="43"/>
  <c r="V270" i="43"/>
  <c r="U270" i="43"/>
  <c r="T270" i="43"/>
  <c r="S270" i="43"/>
  <c r="R270" i="43"/>
  <c r="Q270" i="43"/>
  <c r="P270" i="43"/>
  <c r="B270" i="43"/>
  <c r="S245" i="43"/>
  <c r="AG235" i="43"/>
  <c r="AF235" i="43"/>
  <c r="AE235" i="43"/>
  <c r="AD235" i="43"/>
  <c r="AC235" i="43"/>
  <c r="AB235" i="43"/>
  <c r="AA235" i="43"/>
  <c r="Z235" i="43"/>
  <c r="Y235" i="43"/>
  <c r="X235" i="43"/>
  <c r="W235" i="43"/>
  <c r="V235" i="43"/>
  <c r="U235" i="43"/>
  <c r="T235" i="43"/>
  <c r="S235" i="43"/>
  <c r="R235" i="43"/>
  <c r="Q235" i="43"/>
  <c r="C235" i="43"/>
  <c r="D234" i="43"/>
  <c r="C270" i="43" s="1"/>
  <c r="B234" i="43"/>
  <c r="AF270" i="43" s="1"/>
  <c r="D233" i="43"/>
  <c r="E233" i="43" s="1"/>
  <c r="F233" i="43" s="1"/>
  <c r="G233" i="43" s="1"/>
  <c r="H233" i="43" s="1"/>
  <c r="I233" i="43" s="1"/>
  <c r="J233" i="43" s="1"/>
  <c r="K233" i="43" s="1"/>
  <c r="L233" i="43" s="1"/>
  <c r="M233" i="43" s="1"/>
  <c r="N233" i="43" s="1"/>
  <c r="O233" i="43" s="1"/>
  <c r="P233" i="43" s="1"/>
  <c r="B233" i="43"/>
  <c r="D232" i="43"/>
  <c r="E232" i="43" s="1"/>
  <c r="F232" i="43" s="1"/>
  <c r="G232" i="43" s="1"/>
  <c r="H232" i="43" s="1"/>
  <c r="I232" i="43" s="1"/>
  <c r="B232" i="43"/>
  <c r="D231" i="43"/>
  <c r="B231" i="43"/>
  <c r="E230" i="43"/>
  <c r="F230" i="43" s="1"/>
  <c r="G230" i="43" s="1"/>
  <c r="H230" i="43" s="1"/>
  <c r="I230" i="43" s="1"/>
  <c r="J230" i="43" s="1"/>
  <c r="K230" i="43" s="1"/>
  <c r="L230" i="43" s="1"/>
  <c r="M230" i="43" s="1"/>
  <c r="N230" i="43" s="1"/>
  <c r="O230" i="43" s="1"/>
  <c r="P230" i="43" s="1"/>
  <c r="D230" i="43"/>
  <c r="B230" i="43"/>
  <c r="E229" i="43"/>
  <c r="F229" i="43" s="1"/>
  <c r="D229" i="43"/>
  <c r="B229" i="43"/>
  <c r="AG227" i="43"/>
  <c r="AF227" i="43"/>
  <c r="AE227" i="43"/>
  <c r="AD227" i="43"/>
  <c r="AC227" i="43"/>
  <c r="AB227" i="43"/>
  <c r="AA227" i="43"/>
  <c r="Z227" i="43"/>
  <c r="Y227" i="43"/>
  <c r="X227" i="43"/>
  <c r="W227" i="43"/>
  <c r="V227" i="43"/>
  <c r="U227" i="43"/>
  <c r="T227" i="43"/>
  <c r="S227" i="43"/>
  <c r="R227" i="43"/>
  <c r="Q227" i="43"/>
  <c r="P227" i="43"/>
  <c r="O227" i="43"/>
  <c r="N227" i="43"/>
  <c r="M227" i="43"/>
  <c r="L227" i="43"/>
  <c r="K227" i="43"/>
  <c r="J227" i="43"/>
  <c r="I227" i="43"/>
  <c r="H227" i="43"/>
  <c r="G227" i="43"/>
  <c r="F227" i="43"/>
  <c r="E227" i="43"/>
  <c r="D227" i="43"/>
  <c r="C227" i="43"/>
  <c r="B227" i="43"/>
  <c r="AI120" i="43"/>
  <c r="AH120" i="43"/>
  <c r="AI119" i="43"/>
  <c r="AH119" i="43"/>
  <c r="AI118" i="43"/>
  <c r="AH118" i="43"/>
  <c r="AI117" i="43"/>
  <c r="AH117" i="43"/>
  <c r="AI116" i="43"/>
  <c r="AH116" i="43"/>
  <c r="AI115" i="43"/>
  <c r="AH115" i="43"/>
  <c r="AI114" i="43"/>
  <c r="AH114" i="43"/>
  <c r="AI113" i="43"/>
  <c r="AH113" i="43"/>
  <c r="AI112" i="43"/>
  <c r="AH112" i="43"/>
  <c r="AI111" i="43"/>
  <c r="AH111" i="43"/>
  <c r="AF110" i="43"/>
  <c r="AE110" i="43"/>
  <c r="AC110" i="43"/>
  <c r="AB110" i="43"/>
  <c r="Z110" i="43"/>
  <c r="Y110" i="43"/>
  <c r="X110" i="43"/>
  <c r="W110" i="43"/>
  <c r="V110" i="43"/>
  <c r="U110" i="43"/>
  <c r="T110" i="43"/>
  <c r="S110" i="43"/>
  <c r="R110" i="43"/>
  <c r="Q110" i="43"/>
  <c r="D110" i="43"/>
  <c r="C110" i="43"/>
  <c r="AI109" i="43"/>
  <c r="AH109" i="43"/>
  <c r="AI108" i="43"/>
  <c r="AH108" i="43"/>
  <c r="AI107" i="43"/>
  <c r="AH107" i="43"/>
  <c r="AI106" i="43"/>
  <c r="AH106" i="43"/>
  <c r="AI105" i="43"/>
  <c r="AH105" i="43"/>
  <c r="AI104" i="43"/>
  <c r="AH104" i="43"/>
  <c r="AI103" i="43"/>
  <c r="AH103" i="43"/>
  <c r="AI102" i="43"/>
  <c r="AH102" i="43"/>
  <c r="AI101" i="43"/>
  <c r="AH101" i="43"/>
  <c r="AI99" i="43"/>
  <c r="AH99" i="43"/>
  <c r="AI98" i="43"/>
  <c r="AH98" i="43"/>
  <c r="AI97" i="43"/>
  <c r="AH97" i="43"/>
  <c r="AI96" i="43"/>
  <c r="AH96" i="43"/>
  <c r="AI95" i="43"/>
  <c r="AH95" i="43"/>
  <c r="AI94" i="43"/>
  <c r="AH94" i="43"/>
  <c r="AI93" i="43"/>
  <c r="AH93" i="43"/>
  <c r="AI90" i="43"/>
  <c r="AH90" i="43"/>
  <c r="AI88" i="43"/>
  <c r="AH88" i="43"/>
  <c r="AG88" i="43"/>
  <c r="AI87" i="43"/>
  <c r="AH87" i="43"/>
  <c r="AI86" i="43"/>
  <c r="AH86" i="43"/>
  <c r="AI85" i="43"/>
  <c r="AH85" i="43"/>
  <c r="AN84" i="43"/>
  <c r="AG84" i="43"/>
  <c r="AF84" i="43"/>
  <c r="AF100" i="43" s="1"/>
  <c r="AE84" i="43"/>
  <c r="AE100" i="43" s="1"/>
  <c r="AD84" i="43"/>
  <c r="AD100" i="43" s="1"/>
  <c r="AC84" i="43"/>
  <c r="AB5" i="43" s="1"/>
  <c r="AB84" i="43"/>
  <c r="AB100" i="43" s="1"/>
  <c r="Z5" i="43"/>
  <c r="Z100" i="43"/>
  <c r="Y100" i="43"/>
  <c r="X84" i="43"/>
  <c r="W5" i="43" s="1"/>
  <c r="W84" i="43"/>
  <c r="W100" i="43" s="1"/>
  <c r="V84" i="43"/>
  <c r="V100" i="43" s="1"/>
  <c r="U84" i="43"/>
  <c r="T5" i="43" s="1"/>
  <c r="T84" i="43"/>
  <c r="T100" i="43" s="1"/>
  <c r="S84" i="43"/>
  <c r="R5" i="43" s="1"/>
  <c r="R84" i="43"/>
  <c r="Q5" i="43" s="1"/>
  <c r="Q84" i="43"/>
  <c r="Q100" i="43" s="1"/>
  <c r="P100" i="43"/>
  <c r="O100" i="43"/>
  <c r="N100" i="43"/>
  <c r="M84" i="43"/>
  <c r="M100" i="43" s="1"/>
  <c r="L84" i="43"/>
  <c r="L100" i="43" s="1"/>
  <c r="K84" i="43"/>
  <c r="J5" i="43" s="1"/>
  <c r="J84" i="43"/>
  <c r="J100" i="43" s="1"/>
  <c r="I84" i="43"/>
  <c r="I100" i="43" s="1"/>
  <c r="H84" i="43"/>
  <c r="H100" i="43" s="1"/>
  <c r="G84" i="43"/>
  <c r="G100" i="43" s="1"/>
  <c r="F84" i="43"/>
  <c r="F100" i="43" s="1"/>
  <c r="E84" i="43"/>
  <c r="E100" i="43" s="1"/>
  <c r="D84" i="43"/>
  <c r="D100" i="43" s="1"/>
  <c r="C84" i="43"/>
  <c r="B5" i="43" s="1"/>
  <c r="AI83" i="43"/>
  <c r="AH83" i="43"/>
  <c r="AN82" i="43"/>
  <c r="AI82" i="43"/>
  <c r="AH82" i="43"/>
  <c r="AN81" i="43"/>
  <c r="AN83" i="43" s="1"/>
  <c r="AI81" i="43"/>
  <c r="AH81" i="43"/>
  <c r="AI80" i="43"/>
  <c r="AH80" i="43"/>
  <c r="AI79" i="43"/>
  <c r="AH79" i="43"/>
  <c r="AI78" i="43"/>
  <c r="AH78" i="43"/>
  <c r="AI77" i="43"/>
  <c r="AH77" i="43"/>
  <c r="AI76" i="43"/>
  <c r="AH76" i="43"/>
  <c r="AI75" i="43"/>
  <c r="AH75" i="43"/>
  <c r="AI74" i="43"/>
  <c r="AH74" i="43"/>
  <c r="AI73" i="43"/>
  <c r="AH73" i="43"/>
  <c r="AG72" i="43"/>
  <c r="AF72" i="43"/>
  <c r="AE72" i="43"/>
  <c r="AD72" i="43"/>
  <c r="AC72" i="43"/>
  <c r="AB72" i="43"/>
  <c r="Z72" i="43"/>
  <c r="Y72" i="43"/>
  <c r="X72" i="43"/>
  <c r="W72" i="43"/>
  <c r="V72" i="43"/>
  <c r="U72" i="43"/>
  <c r="T72" i="43"/>
  <c r="S72" i="43"/>
  <c r="R72" i="43"/>
  <c r="Q72" i="43"/>
  <c r="P72" i="43"/>
  <c r="O72" i="43"/>
  <c r="N72" i="43"/>
  <c r="M72" i="43"/>
  <c r="L72" i="43"/>
  <c r="AI71" i="43"/>
  <c r="AH71" i="43"/>
  <c r="AI70" i="43"/>
  <c r="AH70" i="43"/>
  <c r="AI69" i="43"/>
  <c r="AH69" i="43"/>
  <c r="AG68" i="43"/>
  <c r="AG3" i="43" s="1"/>
  <c r="AG6" i="43" s="1"/>
  <c r="AF68" i="43"/>
  <c r="AE68" i="43"/>
  <c r="AD68" i="43"/>
  <c r="AC68" i="43"/>
  <c r="Z68" i="43"/>
  <c r="Y68" i="43"/>
  <c r="X68" i="43"/>
  <c r="W68" i="43"/>
  <c r="V68" i="43"/>
  <c r="U68" i="43"/>
  <c r="T68" i="43"/>
  <c r="S68" i="43"/>
  <c r="R68" i="43"/>
  <c r="Q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AI67" i="43"/>
  <c r="AH67" i="43"/>
  <c r="AG67" i="43"/>
  <c r="AI66" i="43"/>
  <c r="AH66" i="43"/>
  <c r="AI65" i="43"/>
  <c r="AH65" i="43"/>
  <c r="AI64" i="43"/>
  <c r="AH64" i="43"/>
  <c r="AI63" i="43"/>
  <c r="AH63" i="43"/>
  <c r="AI62" i="43"/>
  <c r="AH62" i="43"/>
  <c r="AI61" i="43"/>
  <c r="AH61" i="43"/>
  <c r="AI60" i="43"/>
  <c r="AH60" i="43"/>
  <c r="AI59" i="43"/>
  <c r="AH59" i="43"/>
  <c r="AI58" i="43"/>
  <c r="AH58" i="43"/>
  <c r="AI57" i="43"/>
  <c r="AH57" i="43"/>
  <c r="AI56" i="43"/>
  <c r="AH56" i="43"/>
  <c r="AI55" i="43"/>
  <c r="AH55" i="43"/>
  <c r="AG54" i="43"/>
  <c r="AF54" i="43"/>
  <c r="AE54" i="43"/>
  <c r="AD54" i="43"/>
  <c r="AC54" i="43"/>
  <c r="AB54" i="43"/>
  <c r="Z54" i="43"/>
  <c r="Y54" i="43"/>
  <c r="X54" i="43"/>
  <c r="W54" i="43"/>
  <c r="V54" i="43"/>
  <c r="U54" i="43"/>
  <c r="T54" i="43"/>
  <c r="S54" i="43"/>
  <c r="R54" i="43"/>
  <c r="Q54" i="43"/>
  <c r="O54" i="43"/>
  <c r="N54" i="43"/>
  <c r="M54" i="43"/>
  <c r="L54" i="43"/>
  <c r="K54" i="43"/>
  <c r="J54" i="43"/>
  <c r="I54" i="43"/>
  <c r="H54" i="43"/>
  <c r="G54" i="43"/>
  <c r="F54" i="43"/>
  <c r="E54" i="43"/>
  <c r="D54" i="43"/>
  <c r="C54" i="43"/>
  <c r="AI53" i="43"/>
  <c r="AH53" i="43"/>
  <c r="AI52" i="43"/>
  <c r="AH52" i="43"/>
  <c r="AI51" i="43"/>
  <c r="AH51" i="43"/>
  <c r="AG50" i="43"/>
  <c r="AF50" i="43"/>
  <c r="AE50" i="43"/>
  <c r="AD50" i="43"/>
  <c r="AC50" i="43"/>
  <c r="AB50" i="43"/>
  <c r="Z50" i="43"/>
  <c r="Y50" i="43"/>
  <c r="X50" i="43"/>
  <c r="W50" i="43"/>
  <c r="V50" i="43"/>
  <c r="U50" i="43"/>
  <c r="T50" i="43"/>
  <c r="S50" i="43"/>
  <c r="R50" i="43"/>
  <c r="Q50" i="43"/>
  <c r="O50" i="43"/>
  <c r="N50" i="43"/>
  <c r="M50" i="43"/>
  <c r="L50" i="43"/>
  <c r="K50" i="43"/>
  <c r="J50" i="43"/>
  <c r="I50" i="43"/>
  <c r="H50" i="43"/>
  <c r="H89" i="43" s="1"/>
  <c r="H91" i="43" s="1"/>
  <c r="G50" i="43"/>
  <c r="F50" i="43"/>
  <c r="E50" i="43"/>
  <c r="D50" i="43"/>
  <c r="C50" i="43"/>
  <c r="AI49" i="43"/>
  <c r="AH49" i="43"/>
  <c r="AI48" i="43"/>
  <c r="AH48" i="43"/>
  <c r="AI47" i="43"/>
  <c r="AH47" i="43"/>
  <c r="AI46" i="43"/>
  <c r="AH46" i="43"/>
  <c r="AI45" i="43"/>
  <c r="AH45" i="43"/>
  <c r="AI44" i="43"/>
  <c r="AH44" i="43"/>
  <c r="AI43" i="43"/>
  <c r="AH43" i="43"/>
  <c r="AI42" i="43"/>
  <c r="AH42" i="43"/>
  <c r="AI41" i="43"/>
  <c r="AH41" i="43"/>
  <c r="AI40" i="43"/>
  <c r="AH40" i="43"/>
  <c r="AI39" i="43"/>
  <c r="AH39" i="43"/>
  <c r="AI38" i="43"/>
  <c r="AH38" i="43"/>
  <c r="AI37" i="43"/>
  <c r="AH37" i="43"/>
  <c r="AI36" i="43"/>
  <c r="AH36" i="43"/>
  <c r="AI35" i="43"/>
  <c r="AH35" i="43"/>
  <c r="AI34" i="43"/>
  <c r="AH34" i="43"/>
  <c r="AI33" i="43"/>
  <c r="AH33" i="43"/>
  <c r="AI32" i="43"/>
  <c r="AH32" i="43"/>
  <c r="AI31" i="43"/>
  <c r="AH31" i="43"/>
  <c r="AI30" i="43"/>
  <c r="AH30" i="43"/>
  <c r="AI29" i="43"/>
  <c r="AH29" i="43"/>
  <c r="AI28" i="43"/>
  <c r="AH28" i="43"/>
  <c r="AI27" i="43"/>
  <c r="AH27" i="43"/>
  <c r="AI26" i="43"/>
  <c r="AH26" i="43"/>
  <c r="AI25" i="43"/>
  <c r="AH25" i="43"/>
  <c r="AI24" i="43"/>
  <c r="AH24" i="43"/>
  <c r="AI23" i="43"/>
  <c r="AH23" i="43"/>
  <c r="AI22" i="43"/>
  <c r="AH22" i="43"/>
  <c r="AI21" i="43"/>
  <c r="AH21" i="43"/>
  <c r="AI20" i="43"/>
  <c r="AH20" i="43"/>
  <c r="AI19" i="43"/>
  <c r="AH19" i="43"/>
  <c r="AI18" i="43"/>
  <c r="AH18" i="43"/>
  <c r="AI17" i="43"/>
  <c r="AH17" i="43"/>
  <c r="AI16" i="43"/>
  <c r="AH16" i="43"/>
  <c r="AI15" i="43"/>
  <c r="AH15" i="43"/>
  <c r="AI14" i="43"/>
  <c r="AH14" i="43"/>
  <c r="AI13" i="43"/>
  <c r="AH13" i="43"/>
  <c r="AI12" i="43"/>
  <c r="AH12" i="43"/>
  <c r="AI11" i="43"/>
  <c r="AH11" i="43"/>
  <c r="Y5" i="43"/>
  <c r="I5" i="43"/>
  <c r="G5" i="43"/>
  <c r="AG4" i="43"/>
  <c r="K4" i="43"/>
  <c r="B4" i="43"/>
  <c r="S246" i="43" s="1"/>
  <c r="AG2" i="43"/>
  <c r="AF274" i="42"/>
  <c r="AE274" i="42"/>
  <c r="AD274" i="42"/>
  <c r="AC274" i="42"/>
  <c r="AB274" i="42"/>
  <c r="AA274" i="42"/>
  <c r="Z274" i="42"/>
  <c r="Y274" i="42"/>
  <c r="X274" i="42"/>
  <c r="W274" i="42"/>
  <c r="V274" i="42"/>
  <c r="U274" i="42"/>
  <c r="T274" i="42"/>
  <c r="S274" i="42"/>
  <c r="R274" i="42"/>
  <c r="Q274" i="42"/>
  <c r="P274" i="42"/>
  <c r="O274" i="42"/>
  <c r="N274" i="42"/>
  <c r="M274" i="42"/>
  <c r="L274" i="42"/>
  <c r="K274" i="42"/>
  <c r="J274" i="42"/>
  <c r="I274" i="42"/>
  <c r="H274" i="42"/>
  <c r="G274" i="42"/>
  <c r="F274" i="42"/>
  <c r="E274" i="42"/>
  <c r="D274" i="42"/>
  <c r="C274" i="42"/>
  <c r="B274" i="42"/>
  <c r="A274" i="42"/>
  <c r="AF273" i="42"/>
  <c r="AE273" i="42"/>
  <c r="AD273" i="42"/>
  <c r="AC273" i="42"/>
  <c r="AB273" i="42"/>
  <c r="AA273" i="42"/>
  <c r="Z273" i="42"/>
  <c r="Y273" i="42"/>
  <c r="X273" i="42"/>
  <c r="W273" i="42"/>
  <c r="V273" i="42"/>
  <c r="U273" i="42"/>
  <c r="T273" i="42"/>
  <c r="S273" i="42"/>
  <c r="R273" i="42"/>
  <c r="Q273" i="42"/>
  <c r="P273" i="42"/>
  <c r="O273" i="42"/>
  <c r="N273" i="42"/>
  <c r="M273" i="42"/>
  <c r="L273" i="42"/>
  <c r="K273" i="42"/>
  <c r="J273" i="42"/>
  <c r="I273" i="42"/>
  <c r="H273" i="42"/>
  <c r="G273" i="42"/>
  <c r="F273" i="42"/>
  <c r="E273" i="42"/>
  <c r="D273" i="42"/>
  <c r="C273" i="42"/>
  <c r="B273" i="42"/>
  <c r="A273" i="42"/>
  <c r="AF272" i="42"/>
  <c r="AE272" i="42"/>
  <c r="AD272" i="42"/>
  <c r="AC272" i="42"/>
  <c r="AB272" i="42"/>
  <c r="AA272" i="42"/>
  <c r="Z272" i="42"/>
  <c r="Y272" i="42"/>
  <c r="X272" i="42"/>
  <c r="W272" i="42"/>
  <c r="V272" i="42"/>
  <c r="U272" i="42"/>
  <c r="T272" i="42"/>
  <c r="S272" i="42"/>
  <c r="R272" i="42"/>
  <c r="Q272" i="42"/>
  <c r="P272" i="42"/>
  <c r="O272" i="42"/>
  <c r="N272" i="42"/>
  <c r="M272" i="42"/>
  <c r="L272" i="42"/>
  <c r="K272" i="42"/>
  <c r="J272" i="42"/>
  <c r="I272" i="42"/>
  <c r="H272" i="42"/>
  <c r="G272" i="42"/>
  <c r="F272" i="42"/>
  <c r="E272" i="42"/>
  <c r="D272" i="42"/>
  <c r="C272" i="42"/>
  <c r="B272" i="42"/>
  <c r="A272" i="42"/>
  <c r="AF271" i="42"/>
  <c r="AE271" i="42"/>
  <c r="AD271" i="42"/>
  <c r="AC271" i="42"/>
  <c r="AB271" i="42"/>
  <c r="AA271" i="42"/>
  <c r="Z271" i="42"/>
  <c r="Y271" i="42"/>
  <c r="X271" i="42"/>
  <c r="W271" i="42"/>
  <c r="V271" i="42"/>
  <c r="U271" i="42"/>
  <c r="T271" i="42"/>
  <c r="S271" i="42"/>
  <c r="R271" i="42"/>
  <c r="Q271" i="42"/>
  <c r="P271" i="42"/>
  <c r="O271" i="42"/>
  <c r="N271" i="42"/>
  <c r="M271" i="42"/>
  <c r="L271" i="42"/>
  <c r="K271" i="42"/>
  <c r="J271" i="42"/>
  <c r="I271" i="42"/>
  <c r="H271" i="42"/>
  <c r="G271" i="42"/>
  <c r="F271" i="42"/>
  <c r="E271" i="42"/>
  <c r="D271" i="42"/>
  <c r="C271" i="42"/>
  <c r="B271" i="42"/>
  <c r="A271" i="42"/>
  <c r="AE270" i="42"/>
  <c r="AD270" i="42"/>
  <c r="AC270" i="42"/>
  <c r="AB270" i="42"/>
  <c r="AA270" i="42"/>
  <c r="Z270" i="42"/>
  <c r="Y270" i="42"/>
  <c r="X270" i="42"/>
  <c r="W270" i="42"/>
  <c r="V270" i="42"/>
  <c r="U270" i="42"/>
  <c r="T270" i="42"/>
  <c r="S270" i="42"/>
  <c r="R270" i="42"/>
  <c r="Q270" i="42"/>
  <c r="P270" i="42"/>
  <c r="B270" i="42"/>
  <c r="S245" i="42"/>
  <c r="AG235" i="42"/>
  <c r="AF235" i="42"/>
  <c r="AE235" i="42"/>
  <c r="AD235" i="42"/>
  <c r="AC235" i="42"/>
  <c r="AB235" i="42"/>
  <c r="AA235" i="42"/>
  <c r="Z235" i="42"/>
  <c r="Y235" i="42"/>
  <c r="X235" i="42"/>
  <c r="W235" i="42"/>
  <c r="V235" i="42"/>
  <c r="U235" i="42"/>
  <c r="T235" i="42"/>
  <c r="S235" i="42"/>
  <c r="R235" i="42"/>
  <c r="Q235" i="42"/>
  <c r="C235" i="42"/>
  <c r="E234" i="42"/>
  <c r="D270" i="42" s="1"/>
  <c r="D234" i="42"/>
  <c r="C270" i="42" s="1"/>
  <c r="B234" i="42"/>
  <c r="AF270" i="42" s="1"/>
  <c r="D233" i="42"/>
  <c r="E233" i="42" s="1"/>
  <c r="F233" i="42" s="1"/>
  <c r="G233" i="42" s="1"/>
  <c r="H233" i="42" s="1"/>
  <c r="I233" i="42" s="1"/>
  <c r="J233" i="42" s="1"/>
  <c r="K233" i="42" s="1"/>
  <c r="L233" i="42" s="1"/>
  <c r="M233" i="42" s="1"/>
  <c r="N233" i="42" s="1"/>
  <c r="O233" i="42" s="1"/>
  <c r="P233" i="42" s="1"/>
  <c r="B233" i="42"/>
  <c r="D232" i="42"/>
  <c r="E232" i="42" s="1"/>
  <c r="F232" i="42" s="1"/>
  <c r="G232" i="42" s="1"/>
  <c r="H232" i="42" s="1"/>
  <c r="I232" i="42" s="1"/>
  <c r="B232" i="42"/>
  <c r="E231" i="42"/>
  <c r="F231" i="42" s="1"/>
  <c r="G231" i="42" s="1"/>
  <c r="H231" i="42" s="1"/>
  <c r="D231" i="42"/>
  <c r="B231" i="42"/>
  <c r="E230" i="42"/>
  <c r="F230" i="42" s="1"/>
  <c r="G230" i="42" s="1"/>
  <c r="H230" i="42" s="1"/>
  <c r="I230" i="42" s="1"/>
  <c r="J230" i="42" s="1"/>
  <c r="K230" i="42" s="1"/>
  <c r="L230" i="42" s="1"/>
  <c r="M230" i="42" s="1"/>
  <c r="N230" i="42" s="1"/>
  <c r="O230" i="42" s="1"/>
  <c r="P230" i="42" s="1"/>
  <c r="D230" i="42"/>
  <c r="B230" i="42"/>
  <c r="D229" i="42"/>
  <c r="E229" i="42" s="1"/>
  <c r="B229" i="42"/>
  <c r="AG227" i="42"/>
  <c r="AF227" i="42"/>
  <c r="AE227" i="42"/>
  <c r="AD227" i="42"/>
  <c r="AC227" i="42"/>
  <c r="AB227" i="42"/>
  <c r="AA227" i="42"/>
  <c r="Z227" i="42"/>
  <c r="Y227" i="42"/>
  <c r="X227" i="42"/>
  <c r="W227" i="42"/>
  <c r="V227" i="42"/>
  <c r="U227" i="42"/>
  <c r="T227" i="42"/>
  <c r="S227" i="42"/>
  <c r="R227" i="42"/>
  <c r="Q227" i="42"/>
  <c r="P227" i="42"/>
  <c r="O227" i="42"/>
  <c r="N227" i="42"/>
  <c r="M227" i="42"/>
  <c r="L227" i="42"/>
  <c r="K227" i="42"/>
  <c r="J227" i="42"/>
  <c r="I227" i="42"/>
  <c r="H227" i="42"/>
  <c r="G227" i="42"/>
  <c r="F227" i="42"/>
  <c r="E227" i="42"/>
  <c r="D227" i="42"/>
  <c r="C227" i="42"/>
  <c r="B227" i="42"/>
  <c r="AI120" i="42"/>
  <c r="AH120" i="42"/>
  <c r="AI119" i="42"/>
  <c r="AH119" i="42"/>
  <c r="AI118" i="42"/>
  <c r="AH118" i="42"/>
  <c r="AI117" i="42"/>
  <c r="AH117" i="42"/>
  <c r="AI116" i="42"/>
  <c r="AH116" i="42"/>
  <c r="AI115" i="42"/>
  <c r="AH115" i="42"/>
  <c r="AI114" i="42"/>
  <c r="AH114" i="42"/>
  <c r="AH113" i="42"/>
  <c r="AI113" i="42"/>
  <c r="AI112" i="42"/>
  <c r="AH112" i="42"/>
  <c r="AI111" i="42"/>
  <c r="AH111" i="42"/>
  <c r="AF110" i="42"/>
  <c r="AE110" i="42"/>
  <c r="AC110" i="42"/>
  <c r="AB110" i="42"/>
  <c r="AA110" i="42"/>
  <c r="Z110" i="42"/>
  <c r="Y110" i="42"/>
  <c r="X110" i="42"/>
  <c r="W110" i="42"/>
  <c r="V110" i="42"/>
  <c r="U110" i="42"/>
  <c r="T110" i="42"/>
  <c r="S110" i="42"/>
  <c r="R110" i="42"/>
  <c r="Q110" i="42"/>
  <c r="C110" i="42"/>
  <c r="AI109" i="42"/>
  <c r="AH109" i="42"/>
  <c r="AI108" i="42"/>
  <c r="AH108" i="42"/>
  <c r="AI107" i="42"/>
  <c r="AH107" i="42"/>
  <c r="AI106" i="42"/>
  <c r="AH106" i="42"/>
  <c r="AI105" i="42"/>
  <c r="AH105" i="42"/>
  <c r="AI104" i="42"/>
  <c r="AH104" i="42"/>
  <c r="AI103" i="42"/>
  <c r="AH103" i="42"/>
  <c r="AI102" i="42"/>
  <c r="AH102" i="42"/>
  <c r="AI101" i="42"/>
  <c r="AH101" i="42"/>
  <c r="AA100" i="42"/>
  <c r="AI99" i="42"/>
  <c r="AH99" i="42"/>
  <c r="AI98" i="42"/>
  <c r="AH98" i="42"/>
  <c r="AI97" i="42"/>
  <c r="AH97" i="42"/>
  <c r="AI96" i="42"/>
  <c r="AH96" i="42"/>
  <c r="AI95" i="42"/>
  <c r="AH95" i="42"/>
  <c r="AI94" i="42"/>
  <c r="AH94" i="42"/>
  <c r="AI93" i="42"/>
  <c r="AH93" i="42"/>
  <c r="AI90" i="42"/>
  <c r="AH90" i="42"/>
  <c r="AI88" i="42"/>
  <c r="AH88" i="42"/>
  <c r="AG88" i="42"/>
  <c r="AI87" i="42"/>
  <c r="AH87" i="42"/>
  <c r="AI86" i="42"/>
  <c r="AH86" i="42"/>
  <c r="AI85" i="42"/>
  <c r="AH85" i="42"/>
  <c r="AN84" i="42"/>
  <c r="AG84" i="42"/>
  <c r="AF84" i="42"/>
  <c r="AF100" i="42" s="1"/>
  <c r="AE84" i="42"/>
  <c r="AE100" i="42" s="1"/>
  <c r="AD84" i="42"/>
  <c r="AD100" i="42" s="1"/>
  <c r="AC84" i="42"/>
  <c r="AC100" i="42" s="1"/>
  <c r="AB84" i="42"/>
  <c r="AB100" i="42" s="1"/>
  <c r="AA84" i="42"/>
  <c r="Z84" i="42"/>
  <c r="Z100" i="42" s="1"/>
  <c r="Y84" i="42"/>
  <c r="Y100" i="42" s="1"/>
  <c r="X84" i="42"/>
  <c r="X100" i="42" s="1"/>
  <c r="W84" i="42"/>
  <c r="W100" i="42" s="1"/>
  <c r="V84" i="42"/>
  <c r="V100" i="42" s="1"/>
  <c r="U84" i="42"/>
  <c r="U100" i="42" s="1"/>
  <c r="T84" i="42"/>
  <c r="T100" i="42" s="1"/>
  <c r="S84" i="42"/>
  <c r="S100" i="42" s="1"/>
  <c r="R84" i="42"/>
  <c r="R100" i="42" s="1"/>
  <c r="Q84" i="42"/>
  <c r="Q100" i="42" s="1"/>
  <c r="P84" i="42"/>
  <c r="P100" i="42" s="1"/>
  <c r="O84" i="42"/>
  <c r="O100" i="42" s="1"/>
  <c r="N84" i="42"/>
  <c r="N100" i="42" s="1"/>
  <c r="M84" i="42"/>
  <c r="M100" i="42" s="1"/>
  <c r="L84" i="42"/>
  <c r="L100" i="42" s="1"/>
  <c r="K84" i="42"/>
  <c r="K100" i="42" s="1"/>
  <c r="J84" i="42"/>
  <c r="J100" i="42" s="1"/>
  <c r="I84" i="42"/>
  <c r="I100" i="42" s="1"/>
  <c r="H84" i="42"/>
  <c r="H100" i="42" s="1"/>
  <c r="G84" i="42"/>
  <c r="G100" i="42" s="1"/>
  <c r="F84" i="42"/>
  <c r="F100" i="42" s="1"/>
  <c r="E84" i="42"/>
  <c r="E100" i="42" s="1"/>
  <c r="D84" i="42"/>
  <c r="D100" i="42" s="1"/>
  <c r="C84" i="42"/>
  <c r="C100" i="42" s="1"/>
  <c r="AF5" i="42"/>
  <c r="AI83" i="42"/>
  <c r="AH83" i="42"/>
  <c r="AN82" i="42"/>
  <c r="AI82" i="42"/>
  <c r="AH82" i="42"/>
  <c r="AN81" i="42"/>
  <c r="AN83" i="42" s="1"/>
  <c r="AI81" i="42"/>
  <c r="AH81" i="42"/>
  <c r="AI80" i="42"/>
  <c r="AH80" i="42"/>
  <c r="AI79" i="42"/>
  <c r="AH79" i="42"/>
  <c r="AI78" i="42"/>
  <c r="AH78" i="42"/>
  <c r="AI77" i="42"/>
  <c r="AH77" i="42"/>
  <c r="AI76" i="42"/>
  <c r="AH76" i="42"/>
  <c r="AI75" i="42"/>
  <c r="AH75" i="42"/>
  <c r="AI74" i="42"/>
  <c r="AH74" i="42"/>
  <c r="AI73" i="42"/>
  <c r="AH73" i="42"/>
  <c r="AG72" i="42"/>
  <c r="AF72" i="42"/>
  <c r="AE72" i="42"/>
  <c r="AD72" i="42"/>
  <c r="AC72" i="42"/>
  <c r="AB72" i="42"/>
  <c r="AA72" i="42"/>
  <c r="Z72" i="42"/>
  <c r="Y72" i="42"/>
  <c r="X72" i="42"/>
  <c r="W72" i="42"/>
  <c r="V72" i="42"/>
  <c r="U72" i="42"/>
  <c r="T72" i="42"/>
  <c r="S72" i="42"/>
  <c r="R72" i="42"/>
  <c r="Q72" i="42"/>
  <c r="P72" i="42"/>
  <c r="O72" i="42"/>
  <c r="N72" i="42"/>
  <c r="M72" i="42"/>
  <c r="L72" i="42"/>
  <c r="AI71" i="42"/>
  <c r="AH71" i="42"/>
  <c r="AI70" i="42"/>
  <c r="AH70" i="42"/>
  <c r="AI69" i="42"/>
  <c r="AH69" i="42"/>
  <c r="AF68" i="42"/>
  <c r="AE68" i="42"/>
  <c r="AD68" i="42"/>
  <c r="AC68" i="42"/>
  <c r="AB68" i="42"/>
  <c r="AA68" i="42"/>
  <c r="Z68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AI67" i="42"/>
  <c r="AH67" i="42"/>
  <c r="AG67" i="42"/>
  <c r="AG68" i="42" s="1"/>
  <c r="AG3" i="42" s="1"/>
  <c r="AI66" i="42"/>
  <c r="AH66" i="42"/>
  <c r="AI65" i="42"/>
  <c r="AH65" i="42"/>
  <c r="AI64" i="42"/>
  <c r="AH64" i="42"/>
  <c r="AI63" i="42"/>
  <c r="AH63" i="42"/>
  <c r="AI62" i="42"/>
  <c r="AH62" i="42"/>
  <c r="AI61" i="42"/>
  <c r="AH61" i="42"/>
  <c r="AI60" i="42"/>
  <c r="AH60" i="42"/>
  <c r="AI59" i="42"/>
  <c r="AH59" i="42"/>
  <c r="AI58" i="42"/>
  <c r="AH58" i="42"/>
  <c r="AI57" i="42"/>
  <c r="AH57" i="42"/>
  <c r="AI56" i="42"/>
  <c r="AH56" i="42"/>
  <c r="AI55" i="42"/>
  <c r="AH55" i="42"/>
  <c r="AG54" i="42"/>
  <c r="AF54" i="42"/>
  <c r="AE54" i="42"/>
  <c r="AD54" i="42"/>
  <c r="AC54" i="42"/>
  <c r="AB54" i="42"/>
  <c r="AA54" i="42"/>
  <c r="Z54" i="42"/>
  <c r="Y54" i="42"/>
  <c r="X54" i="42"/>
  <c r="W54" i="42"/>
  <c r="V54" i="42"/>
  <c r="U54" i="42"/>
  <c r="T54" i="42"/>
  <c r="S54" i="42"/>
  <c r="R54" i="42"/>
  <c r="Q54" i="42"/>
  <c r="P54" i="42"/>
  <c r="O54" i="42"/>
  <c r="N54" i="42"/>
  <c r="M54" i="42"/>
  <c r="L54" i="42"/>
  <c r="K54" i="42"/>
  <c r="J54" i="42"/>
  <c r="I54" i="42"/>
  <c r="H54" i="42"/>
  <c r="G54" i="42"/>
  <c r="F54" i="42"/>
  <c r="E54" i="42"/>
  <c r="D54" i="42"/>
  <c r="C54" i="42"/>
  <c r="AI53" i="42"/>
  <c r="AH53" i="42"/>
  <c r="AI52" i="42"/>
  <c r="AH52" i="42"/>
  <c r="AI51" i="42"/>
  <c r="AH51" i="42"/>
  <c r="AG50" i="42"/>
  <c r="AF50" i="42"/>
  <c r="AE50" i="42"/>
  <c r="AD50" i="42"/>
  <c r="AC50" i="42"/>
  <c r="AC89" i="42" s="1"/>
  <c r="AC91" i="42" s="1"/>
  <c r="AB50" i="42"/>
  <c r="AA50" i="42"/>
  <c r="Z50" i="42"/>
  <c r="Y50" i="42"/>
  <c r="X50" i="42"/>
  <c r="W50" i="42"/>
  <c r="V50" i="42"/>
  <c r="U50" i="42"/>
  <c r="U89" i="42" s="1"/>
  <c r="U91" i="42" s="1"/>
  <c r="T50" i="42"/>
  <c r="S50" i="42"/>
  <c r="R50" i="42"/>
  <c r="Q50" i="42"/>
  <c r="P50" i="42"/>
  <c r="O50" i="42"/>
  <c r="N50" i="42"/>
  <c r="M50" i="42"/>
  <c r="M89" i="42" s="1"/>
  <c r="M91" i="42" s="1"/>
  <c r="L50" i="42"/>
  <c r="K50" i="42"/>
  <c r="J50" i="42"/>
  <c r="I50" i="42"/>
  <c r="H50" i="42"/>
  <c r="G50" i="42"/>
  <c r="F50" i="42"/>
  <c r="F89" i="42" s="1"/>
  <c r="F91" i="42" s="1"/>
  <c r="E50" i="42"/>
  <c r="E89" i="42" s="1"/>
  <c r="E91" i="42" s="1"/>
  <c r="D50" i="42"/>
  <c r="C50" i="42"/>
  <c r="AI49" i="42"/>
  <c r="AH49" i="42"/>
  <c r="AI48" i="42"/>
  <c r="AH48" i="42"/>
  <c r="AI47" i="42"/>
  <c r="AH47" i="42"/>
  <c r="AI46" i="42"/>
  <c r="AH46" i="42"/>
  <c r="AI45" i="42"/>
  <c r="AH45" i="42"/>
  <c r="AI44" i="42"/>
  <c r="AH44" i="42"/>
  <c r="AI43" i="42"/>
  <c r="AH43" i="42"/>
  <c r="AI42" i="42"/>
  <c r="AH42" i="42"/>
  <c r="AI41" i="42"/>
  <c r="AH41" i="42"/>
  <c r="AI40" i="42"/>
  <c r="AH40" i="42"/>
  <c r="AI39" i="42"/>
  <c r="AH39" i="42"/>
  <c r="AI38" i="42"/>
  <c r="AH38" i="42"/>
  <c r="AI37" i="42"/>
  <c r="AH37" i="42"/>
  <c r="AI36" i="42"/>
  <c r="AH36" i="42"/>
  <c r="AI35" i="42"/>
  <c r="AH35" i="42"/>
  <c r="AI34" i="42"/>
  <c r="AH34" i="42"/>
  <c r="AI33" i="42"/>
  <c r="AH33" i="42"/>
  <c r="AI32" i="42"/>
  <c r="AH32" i="42"/>
  <c r="AI31" i="42"/>
  <c r="AH31" i="42"/>
  <c r="AI30" i="42"/>
  <c r="AH30" i="42"/>
  <c r="AI29" i="42"/>
  <c r="AH29" i="42"/>
  <c r="AI28" i="42"/>
  <c r="AH28" i="42"/>
  <c r="AI27" i="42"/>
  <c r="AH27" i="42"/>
  <c r="AI26" i="42"/>
  <c r="AH26" i="42"/>
  <c r="AI25" i="42"/>
  <c r="AH25" i="42"/>
  <c r="AI24" i="42"/>
  <c r="AH24" i="42"/>
  <c r="AI23" i="42"/>
  <c r="AH23" i="42"/>
  <c r="AI22" i="42"/>
  <c r="AH22" i="42"/>
  <c r="AI21" i="42"/>
  <c r="AH21" i="42"/>
  <c r="AI20" i="42"/>
  <c r="AH20" i="42"/>
  <c r="AI19" i="42"/>
  <c r="AH19" i="42"/>
  <c r="AI18" i="42"/>
  <c r="AH18" i="42"/>
  <c r="AI17" i="42"/>
  <c r="AH17" i="42"/>
  <c r="AI16" i="42"/>
  <c r="AH16" i="42"/>
  <c r="AI15" i="42"/>
  <c r="AH15" i="42"/>
  <c r="AI14" i="42"/>
  <c r="AH14" i="42"/>
  <c r="AI13" i="42"/>
  <c r="AH13" i="42"/>
  <c r="AI12" i="42"/>
  <c r="AH12" i="42"/>
  <c r="AI11" i="42"/>
  <c r="AH11" i="42"/>
  <c r="AC5" i="42"/>
  <c r="Z5" i="42"/>
  <c r="W5" i="42"/>
  <c r="U5" i="42"/>
  <c r="T5" i="42"/>
  <c r="P5" i="42"/>
  <c r="O5" i="42"/>
  <c r="M5" i="42"/>
  <c r="J5" i="42"/>
  <c r="I5" i="42"/>
  <c r="H5" i="42"/>
  <c r="E5" i="42"/>
  <c r="D5" i="42"/>
  <c r="AG4" i="42"/>
  <c r="K4" i="42"/>
  <c r="E4" i="42"/>
  <c r="H4" i="42" s="1"/>
  <c r="B4" i="42"/>
  <c r="S246" i="42" s="1"/>
  <c r="AH16" i="41"/>
  <c r="AI16" i="41"/>
  <c r="AH13" i="41"/>
  <c r="AI13" i="41"/>
  <c r="AH14" i="41"/>
  <c r="AI14" i="41"/>
  <c r="AH15" i="41"/>
  <c r="AI15" i="41"/>
  <c r="AH17" i="41"/>
  <c r="AI17" i="41"/>
  <c r="AH18" i="41"/>
  <c r="AI18" i="41"/>
  <c r="AH19" i="41"/>
  <c r="AI19" i="41"/>
  <c r="AH20" i="41"/>
  <c r="AI20" i="41"/>
  <c r="AH21" i="41"/>
  <c r="AI21" i="41"/>
  <c r="AH22" i="41"/>
  <c r="AI22" i="41"/>
  <c r="AH23" i="41"/>
  <c r="AI23" i="41"/>
  <c r="AH24" i="41"/>
  <c r="AI24" i="41"/>
  <c r="AH25" i="41"/>
  <c r="AI25" i="41"/>
  <c r="AH26" i="41"/>
  <c r="AI26" i="41"/>
  <c r="AH27" i="41"/>
  <c r="AI27" i="41"/>
  <c r="AH28" i="41"/>
  <c r="AI28" i="41"/>
  <c r="AH29" i="41"/>
  <c r="AI29" i="41"/>
  <c r="AH30" i="41"/>
  <c r="AI30" i="41"/>
  <c r="AH31" i="41"/>
  <c r="AI31" i="41"/>
  <c r="AH32" i="41"/>
  <c r="AI32" i="41"/>
  <c r="AH33" i="41"/>
  <c r="AI33" i="41"/>
  <c r="AH34" i="41"/>
  <c r="AI34" i="41"/>
  <c r="AH35" i="41"/>
  <c r="AI35" i="41"/>
  <c r="AH36" i="41"/>
  <c r="AI36" i="41"/>
  <c r="AH37" i="41"/>
  <c r="AI37" i="41"/>
  <c r="AH38" i="41"/>
  <c r="AI38" i="41"/>
  <c r="AH39" i="41"/>
  <c r="AI39" i="41"/>
  <c r="AH40" i="41"/>
  <c r="AI40" i="41"/>
  <c r="AH41" i="41"/>
  <c r="AI41" i="41"/>
  <c r="AH42" i="41"/>
  <c r="AI42" i="41"/>
  <c r="AH43" i="41"/>
  <c r="AI43" i="41"/>
  <c r="AH44" i="41"/>
  <c r="AI44" i="41"/>
  <c r="AH45" i="41"/>
  <c r="AI45" i="41"/>
  <c r="AH46" i="41"/>
  <c r="AI46" i="41"/>
  <c r="AH47" i="41"/>
  <c r="AI47" i="41"/>
  <c r="AH48" i="41"/>
  <c r="AI48" i="41"/>
  <c r="AH49" i="41"/>
  <c r="AI49" i="41"/>
  <c r="AH51" i="41"/>
  <c r="AI51" i="41"/>
  <c r="AH52" i="41"/>
  <c r="AI52" i="41"/>
  <c r="AH53" i="41"/>
  <c r="AI53" i="41"/>
  <c r="AH55" i="41"/>
  <c r="AI55" i="41"/>
  <c r="AH56" i="41"/>
  <c r="AI56" i="41"/>
  <c r="AH57" i="41"/>
  <c r="AI57" i="41"/>
  <c r="AH58" i="41"/>
  <c r="AI58" i="41"/>
  <c r="AH59" i="41"/>
  <c r="AI59" i="41"/>
  <c r="AH60" i="41"/>
  <c r="AI60" i="41"/>
  <c r="AH61" i="41"/>
  <c r="AI61" i="41"/>
  <c r="AH62" i="41"/>
  <c r="AI62" i="41"/>
  <c r="AH63" i="41"/>
  <c r="AI63" i="41"/>
  <c r="AH64" i="41"/>
  <c r="AI64" i="41"/>
  <c r="AH65" i="41"/>
  <c r="AI65" i="41"/>
  <c r="AH66" i="41"/>
  <c r="AI66" i="41"/>
  <c r="AH67" i="41"/>
  <c r="AI67" i="41"/>
  <c r="AH69" i="41"/>
  <c r="AI69" i="41"/>
  <c r="AH70" i="41"/>
  <c r="AI70" i="41"/>
  <c r="AH71" i="41"/>
  <c r="AI71" i="41"/>
  <c r="AH73" i="41"/>
  <c r="AI73" i="41"/>
  <c r="AH74" i="41"/>
  <c r="AI74" i="41"/>
  <c r="AH75" i="41"/>
  <c r="AI75" i="41"/>
  <c r="AH76" i="41"/>
  <c r="AI76" i="41"/>
  <c r="AH77" i="41"/>
  <c r="AI77" i="41"/>
  <c r="AH78" i="41"/>
  <c r="AI78" i="41"/>
  <c r="AH79" i="41"/>
  <c r="AI79" i="41"/>
  <c r="AH80" i="41"/>
  <c r="AI80" i="41"/>
  <c r="AH81" i="41"/>
  <c r="AI81" i="41"/>
  <c r="AH82" i="41"/>
  <c r="AI82" i="41"/>
  <c r="AH83" i="41"/>
  <c r="AI83" i="41"/>
  <c r="AH85" i="41"/>
  <c r="AI85" i="41"/>
  <c r="AH86" i="41"/>
  <c r="AI86" i="41"/>
  <c r="AH87" i="41"/>
  <c r="AI87" i="41"/>
  <c r="AH88" i="41"/>
  <c r="AI88" i="41"/>
  <c r="AH90" i="41"/>
  <c r="AI90" i="41"/>
  <c r="AH93" i="41"/>
  <c r="AI93" i="41"/>
  <c r="AH94" i="41"/>
  <c r="AI94" i="41"/>
  <c r="AH95" i="41"/>
  <c r="AI95" i="41"/>
  <c r="AH96" i="41"/>
  <c r="AI96" i="41"/>
  <c r="AH97" i="41"/>
  <c r="AI97" i="41"/>
  <c r="AH98" i="41"/>
  <c r="AI98" i="41"/>
  <c r="AH99" i="41"/>
  <c r="AI99" i="41"/>
  <c r="AH101" i="41"/>
  <c r="AI101" i="41"/>
  <c r="AH102" i="41"/>
  <c r="AI102" i="41"/>
  <c r="AH103" i="41"/>
  <c r="AI103" i="41"/>
  <c r="AH104" i="41"/>
  <c r="AI104" i="41"/>
  <c r="AH105" i="41"/>
  <c r="AI105" i="41"/>
  <c r="AH106" i="41"/>
  <c r="AI106" i="41"/>
  <c r="AH107" i="41"/>
  <c r="AI107" i="41"/>
  <c r="AH108" i="41"/>
  <c r="AI108" i="41"/>
  <c r="AH109" i="41"/>
  <c r="AI109" i="41"/>
  <c r="AH111" i="41"/>
  <c r="AI111" i="41"/>
  <c r="AH112" i="41"/>
  <c r="AI112" i="41"/>
  <c r="AH114" i="41"/>
  <c r="AI114" i="41"/>
  <c r="AH115" i="41"/>
  <c r="AI115" i="41"/>
  <c r="AH116" i="41"/>
  <c r="AI116" i="41"/>
  <c r="AH117" i="41"/>
  <c r="AI117" i="41"/>
  <c r="AH118" i="41"/>
  <c r="AI118" i="41"/>
  <c r="AH119" i="41"/>
  <c r="AI119" i="41"/>
  <c r="AH120" i="41"/>
  <c r="AI120" i="41"/>
  <c r="AH12" i="41"/>
  <c r="AI12" i="41"/>
  <c r="AA50" i="41"/>
  <c r="D235" i="42" l="1"/>
  <c r="B5" i="42"/>
  <c r="L5" i="42"/>
  <c r="X5" i="42"/>
  <c r="H89" i="42"/>
  <c r="H91" i="42" s="1"/>
  <c r="P89" i="42"/>
  <c r="P91" i="42" s="1"/>
  <c r="X89" i="42"/>
  <c r="X91" i="42" s="1"/>
  <c r="X7" i="42" s="1"/>
  <c r="AF89" i="42"/>
  <c r="AF91" i="42" s="1"/>
  <c r="AF92" i="42" s="1"/>
  <c r="I89" i="42"/>
  <c r="I91" i="42" s="1"/>
  <c r="AG89" i="42"/>
  <c r="AG91" i="43"/>
  <c r="S89" i="42"/>
  <c r="S91" i="42" s="1"/>
  <c r="D235" i="43"/>
  <c r="E234" i="43"/>
  <c r="Q89" i="42"/>
  <c r="Q91" i="42" s="1"/>
  <c r="AI249" i="42" s="1"/>
  <c r="Y89" i="42"/>
  <c r="Y91" i="42" s="1"/>
  <c r="AB5" i="42"/>
  <c r="D110" i="42"/>
  <c r="F5" i="42"/>
  <c r="C89" i="42"/>
  <c r="C91" i="42" s="1"/>
  <c r="U249" i="42" s="1"/>
  <c r="K89" i="42"/>
  <c r="K91" i="42" s="1"/>
  <c r="AA89" i="42"/>
  <c r="AA91" i="42" s="1"/>
  <c r="AA7" i="42" s="1"/>
  <c r="G5" i="42"/>
  <c r="R5" i="42"/>
  <c r="AE5" i="42"/>
  <c r="B235" i="43"/>
  <c r="AG89" i="43"/>
  <c r="R100" i="43"/>
  <c r="B235" i="42"/>
  <c r="B110" i="42"/>
  <c r="B110" i="43"/>
  <c r="AE5" i="43"/>
  <c r="AF89" i="43"/>
  <c r="AF91" i="43" s="1"/>
  <c r="AB89" i="43"/>
  <c r="AE89" i="43"/>
  <c r="AE91" i="43" s="1"/>
  <c r="AE7" i="43" s="1"/>
  <c r="AD89" i="43"/>
  <c r="AD91" i="43" s="1"/>
  <c r="AD7" i="43" s="1"/>
  <c r="AC100" i="43"/>
  <c r="AC89" i="43"/>
  <c r="AC91" i="43" s="1"/>
  <c r="AC7" i="43" s="1"/>
  <c r="AB91" i="43"/>
  <c r="AB7" i="43" s="1"/>
  <c r="Z89" i="43"/>
  <c r="Z91" i="43" s="1"/>
  <c r="AR249" i="43" s="1"/>
  <c r="Y89" i="43"/>
  <c r="Y91" i="43" s="1"/>
  <c r="AQ249" i="43" s="1"/>
  <c r="X100" i="43"/>
  <c r="W89" i="43"/>
  <c r="W91" i="43" s="1"/>
  <c r="AO249" i="43" s="1"/>
  <c r="X89" i="43"/>
  <c r="X91" i="43" s="1"/>
  <c r="X7" i="43" s="1"/>
  <c r="V89" i="43"/>
  <c r="V91" i="43" s="1"/>
  <c r="V7" i="43" s="1"/>
  <c r="U100" i="43"/>
  <c r="U89" i="43"/>
  <c r="U91" i="43" s="1"/>
  <c r="U92" i="43" s="1"/>
  <c r="T89" i="43"/>
  <c r="T91" i="43" s="1"/>
  <c r="T7" i="43" s="1"/>
  <c r="S89" i="43"/>
  <c r="S91" i="43" s="1"/>
  <c r="AK249" i="43" s="1"/>
  <c r="R89" i="43"/>
  <c r="R91" i="43" s="1"/>
  <c r="AJ249" i="43" s="1"/>
  <c r="Q89" i="43"/>
  <c r="Q91" i="43" s="1"/>
  <c r="O5" i="43"/>
  <c r="P89" i="43"/>
  <c r="P91" i="43" s="1"/>
  <c r="AH249" i="43" s="1"/>
  <c r="O89" i="43"/>
  <c r="O91" i="43" s="1"/>
  <c r="O92" i="43" s="1"/>
  <c r="N89" i="43"/>
  <c r="N91" i="43" s="1"/>
  <c r="N7" i="43" s="1"/>
  <c r="L5" i="43"/>
  <c r="M89" i="43"/>
  <c r="M91" i="43" s="1"/>
  <c r="M92" i="43" s="1"/>
  <c r="L89" i="43"/>
  <c r="L91" i="43" s="1"/>
  <c r="AD249" i="43" s="1"/>
  <c r="K89" i="43"/>
  <c r="K91" i="43" s="1"/>
  <c r="K92" i="43" s="1"/>
  <c r="J89" i="43"/>
  <c r="J91" i="43" s="1"/>
  <c r="AB249" i="43" s="1"/>
  <c r="I89" i="43"/>
  <c r="I91" i="43" s="1"/>
  <c r="I7" i="43" s="1"/>
  <c r="G89" i="43"/>
  <c r="G91" i="43" s="1"/>
  <c r="G7" i="43" s="1"/>
  <c r="AI54" i="43"/>
  <c r="F89" i="43"/>
  <c r="F91" i="43" s="1"/>
  <c r="X249" i="43" s="1"/>
  <c r="D5" i="43"/>
  <c r="E89" i="43"/>
  <c r="E91" i="43" s="1"/>
  <c r="AH68" i="43"/>
  <c r="D89" i="43"/>
  <c r="D91" i="43" s="1"/>
  <c r="V249" i="43" s="1"/>
  <c r="C89" i="43"/>
  <c r="C91" i="43" s="1"/>
  <c r="U249" i="43" s="1"/>
  <c r="AH50" i="43"/>
  <c r="AF5" i="43"/>
  <c r="AH84" i="43"/>
  <c r="AI68" i="43"/>
  <c r="B89" i="43"/>
  <c r="B91" i="43" s="1"/>
  <c r="B92" i="43" s="1"/>
  <c r="AG2" i="42"/>
  <c r="AG6" i="42" s="1"/>
  <c r="AI72" i="43"/>
  <c r="AH72" i="43"/>
  <c r="Y7" i="43"/>
  <c r="AF7" i="43"/>
  <c r="AF92" i="43"/>
  <c r="AX249" i="43"/>
  <c r="Q7" i="43"/>
  <c r="Q92" i="43"/>
  <c r="AI249" i="43"/>
  <c r="J92" i="43"/>
  <c r="Z92" i="43"/>
  <c r="H7" i="43"/>
  <c r="H92" i="43"/>
  <c r="Z249" i="43"/>
  <c r="S92" i="43"/>
  <c r="AS249" i="43"/>
  <c r="AA7" i="43"/>
  <c r="O7" i="43"/>
  <c r="J232" i="43"/>
  <c r="K232" i="43" s="1"/>
  <c r="L232" i="43" s="1"/>
  <c r="M232" i="43" s="1"/>
  <c r="N232" i="43" s="1"/>
  <c r="O232" i="43" s="1"/>
  <c r="P232" i="43" s="1"/>
  <c r="D7" i="43"/>
  <c r="L92" i="43"/>
  <c r="AB92" i="43"/>
  <c r="G229" i="43"/>
  <c r="P7" i="43"/>
  <c r="P92" i="43"/>
  <c r="E92" i="43"/>
  <c r="W249" i="43"/>
  <c r="E7" i="43"/>
  <c r="AN249" i="43"/>
  <c r="AD92" i="43"/>
  <c r="E5" i="43"/>
  <c r="M5" i="43"/>
  <c r="U5" i="43"/>
  <c r="AC5" i="43"/>
  <c r="F5" i="43"/>
  <c r="N5" i="43"/>
  <c r="V5" i="43"/>
  <c r="AD5" i="43"/>
  <c r="D246" i="43"/>
  <c r="E110" i="43"/>
  <c r="H5" i="43"/>
  <c r="P5" i="43"/>
  <c r="X5" i="43"/>
  <c r="AH54" i="43"/>
  <c r="AI84" i="43"/>
  <c r="AI50" i="43"/>
  <c r="C100" i="43"/>
  <c r="K100" i="43"/>
  <c r="S100" i="43"/>
  <c r="C5" i="43"/>
  <c r="K5" i="43"/>
  <c r="S5" i="43"/>
  <c r="AA5" i="43"/>
  <c r="E231" i="43"/>
  <c r="F231" i="43" s="1"/>
  <c r="G231" i="43" s="1"/>
  <c r="H231" i="43" s="1"/>
  <c r="AE89" i="42"/>
  <c r="AE91" i="42" s="1"/>
  <c r="AE92" i="42" s="1"/>
  <c r="N5" i="42"/>
  <c r="Y5" i="42"/>
  <c r="Q5" i="42"/>
  <c r="G89" i="42"/>
  <c r="G91" i="42" s="1"/>
  <c r="Y249" i="42" s="1"/>
  <c r="W89" i="42"/>
  <c r="W91" i="42" s="1"/>
  <c r="AO249" i="42" s="1"/>
  <c r="AD5" i="42"/>
  <c r="O89" i="42"/>
  <c r="O91" i="42" s="1"/>
  <c r="O7" i="42" s="1"/>
  <c r="AH84" i="42"/>
  <c r="V5" i="42"/>
  <c r="J89" i="42"/>
  <c r="J91" i="42" s="1"/>
  <c r="R89" i="42"/>
  <c r="R91" i="42" s="1"/>
  <c r="R92" i="42" s="1"/>
  <c r="Z89" i="42"/>
  <c r="Z91" i="42" s="1"/>
  <c r="Z92" i="42" s="1"/>
  <c r="N89" i="42"/>
  <c r="N91" i="42" s="1"/>
  <c r="N7" i="42" s="1"/>
  <c r="V89" i="42"/>
  <c r="V91" i="42" s="1"/>
  <c r="AN249" i="42" s="1"/>
  <c r="AD89" i="42"/>
  <c r="AD91" i="42" s="1"/>
  <c r="AD7" i="42" s="1"/>
  <c r="AI72" i="42"/>
  <c r="AI68" i="42"/>
  <c r="D89" i="42"/>
  <c r="D91" i="42" s="1"/>
  <c r="D7" i="42" s="1"/>
  <c r="L89" i="42"/>
  <c r="L91" i="42" s="1"/>
  <c r="AD249" i="42" s="1"/>
  <c r="T89" i="42"/>
  <c r="T91" i="42" s="1"/>
  <c r="AL249" i="42" s="1"/>
  <c r="AB89" i="42"/>
  <c r="AB91" i="42" s="1"/>
  <c r="AB92" i="42" s="1"/>
  <c r="AH54" i="42"/>
  <c r="AI54" i="42"/>
  <c r="I7" i="42"/>
  <c r="I92" i="42"/>
  <c r="AA249" i="42"/>
  <c r="Q7" i="42"/>
  <c r="Q92" i="42"/>
  <c r="AQ249" i="42"/>
  <c r="Y7" i="42"/>
  <c r="Y92" i="42"/>
  <c r="J7" i="42"/>
  <c r="J92" i="42"/>
  <c r="AB249" i="42"/>
  <c r="R7" i="42"/>
  <c r="AJ249" i="42"/>
  <c r="H92" i="42"/>
  <c r="H7" i="42"/>
  <c r="Z249" i="42"/>
  <c r="C7" i="42"/>
  <c r="C92" i="42"/>
  <c r="K7" i="42"/>
  <c r="AC249" i="42"/>
  <c r="K92" i="42"/>
  <c r="S7" i="42"/>
  <c r="AK249" i="42"/>
  <c r="S92" i="42"/>
  <c r="AS249" i="42"/>
  <c r="AA92" i="42"/>
  <c r="P92" i="42"/>
  <c r="P7" i="42"/>
  <c r="AH249" i="42"/>
  <c r="X92" i="42"/>
  <c r="E110" i="42"/>
  <c r="F229" i="42"/>
  <c r="E235" i="42"/>
  <c r="E7" i="42"/>
  <c r="W249" i="42"/>
  <c r="E92" i="42"/>
  <c r="M7" i="42"/>
  <c r="AE249" i="42"/>
  <c r="M92" i="42"/>
  <c r="U7" i="42"/>
  <c r="AM249" i="42"/>
  <c r="U92" i="42"/>
  <c r="AC7" i="42"/>
  <c r="AU249" i="42"/>
  <c r="AC92" i="42"/>
  <c r="AF7" i="42"/>
  <c r="J232" i="42"/>
  <c r="K232" i="42" s="1"/>
  <c r="L232" i="42" s="1"/>
  <c r="M232" i="42" s="1"/>
  <c r="N232" i="42" s="1"/>
  <c r="O232" i="42" s="1"/>
  <c r="P232" i="42" s="1"/>
  <c r="F7" i="42"/>
  <c r="X249" i="42"/>
  <c r="F92" i="42"/>
  <c r="G7" i="42"/>
  <c r="AG91" i="42"/>
  <c r="AH50" i="42"/>
  <c r="AI84" i="42"/>
  <c r="D246" i="42"/>
  <c r="C5" i="42"/>
  <c r="K5" i="42"/>
  <c r="S5" i="42"/>
  <c r="AA5" i="42"/>
  <c r="F234" i="42"/>
  <c r="AI50" i="42"/>
  <c r="AH72" i="42"/>
  <c r="AH68" i="42"/>
  <c r="AX249" i="42" l="1"/>
  <c r="E235" i="43"/>
  <c r="AE7" i="42"/>
  <c r="D92" i="43"/>
  <c r="C92" i="43"/>
  <c r="F234" i="43"/>
  <c r="F235" i="43" s="1"/>
  <c r="D270" i="43"/>
  <c r="AW249" i="42"/>
  <c r="N92" i="43"/>
  <c r="G92" i="42"/>
  <c r="AF249" i="43"/>
  <c r="AP249" i="42"/>
  <c r="AG249" i="43"/>
  <c r="Z7" i="43"/>
  <c r="AD92" i="42"/>
  <c r="AW249" i="43"/>
  <c r="AT249" i="43"/>
  <c r="AE92" i="43"/>
  <c r="AV249" i="43"/>
  <c r="AU249" i="43"/>
  <c r="AC92" i="43"/>
  <c r="Y92" i="43"/>
  <c r="AP249" i="43"/>
  <c r="T92" i="43"/>
  <c r="AL249" i="43"/>
  <c r="V92" i="43"/>
  <c r="W92" i="43"/>
  <c r="W7" i="43"/>
  <c r="X92" i="43"/>
  <c r="U7" i="43"/>
  <c r="AM249" i="43"/>
  <c r="S7" i="43"/>
  <c r="R7" i="43"/>
  <c r="R92" i="43"/>
  <c r="M7" i="43"/>
  <c r="AE249" i="43"/>
  <c r="L7" i="43"/>
  <c r="K7" i="43"/>
  <c r="AC249" i="43"/>
  <c r="J7" i="43"/>
  <c r="AA249" i="43"/>
  <c r="I92" i="43"/>
  <c r="C244" i="43"/>
  <c r="B244" i="43"/>
  <c r="G92" i="43"/>
  <c r="Y249" i="43"/>
  <c r="F92" i="43"/>
  <c r="F7" i="43"/>
  <c r="AH100" i="43"/>
  <c r="AI100" i="43"/>
  <c r="C7" i="43"/>
  <c r="AV249" i="42"/>
  <c r="O92" i="42"/>
  <c r="AT249" i="42"/>
  <c r="AB7" i="42"/>
  <c r="H229" i="43"/>
  <c r="AI89" i="43"/>
  <c r="AH89" i="43"/>
  <c r="V92" i="42"/>
  <c r="V7" i="42"/>
  <c r="W7" i="42"/>
  <c r="C244" i="42"/>
  <c r="K6" i="42" s="1"/>
  <c r="N92" i="42"/>
  <c r="AR249" i="42"/>
  <c r="W92" i="42"/>
  <c r="AF249" i="42"/>
  <c r="Z7" i="42"/>
  <c r="AG249" i="42"/>
  <c r="B244" i="42"/>
  <c r="L92" i="42"/>
  <c r="L7" i="42"/>
  <c r="D92" i="42"/>
  <c r="V249" i="42"/>
  <c r="T92" i="42"/>
  <c r="T7" i="42"/>
  <c r="AH89" i="42"/>
  <c r="AI89" i="42"/>
  <c r="AH100" i="42"/>
  <c r="AI100" i="42"/>
  <c r="F110" i="42"/>
  <c r="G229" i="42"/>
  <c r="F235" i="42"/>
  <c r="E270" i="42"/>
  <c r="G234" i="42"/>
  <c r="AH91" i="42"/>
  <c r="B7" i="42"/>
  <c r="T249" i="42"/>
  <c r="AI91" i="42"/>
  <c r="F110" i="43" l="1"/>
  <c r="E270" i="43"/>
  <c r="G234" i="43"/>
  <c r="K6" i="43"/>
  <c r="I229" i="43"/>
  <c r="B7" i="43"/>
  <c r="A7" i="43" s="1"/>
  <c r="AI91" i="43"/>
  <c r="T249" i="43"/>
  <c r="AH91" i="43"/>
  <c r="A7" i="42"/>
  <c r="AI92" i="42"/>
  <c r="AH92" i="42"/>
  <c r="H229" i="42"/>
  <c r="G235" i="42"/>
  <c r="G110" i="42"/>
  <c r="F270" i="42"/>
  <c r="H234" i="42"/>
  <c r="G235" i="43" l="1"/>
  <c r="G110" i="43"/>
  <c r="F270" i="43"/>
  <c r="H234" i="43"/>
  <c r="AI92" i="43"/>
  <c r="AH92" i="43"/>
  <c r="J229" i="43"/>
  <c r="I229" i="42"/>
  <c r="H235" i="42"/>
  <c r="H110" i="42"/>
  <c r="G270" i="42"/>
  <c r="I234" i="42"/>
  <c r="H110" i="43" l="1"/>
  <c r="H235" i="43"/>
  <c r="I234" i="43"/>
  <c r="G270" i="43"/>
  <c r="K229" i="43"/>
  <c r="H270" i="42"/>
  <c r="J234" i="42"/>
  <c r="I110" i="42"/>
  <c r="J229" i="42"/>
  <c r="I110" i="43" l="1"/>
  <c r="H270" i="43"/>
  <c r="J234" i="43"/>
  <c r="L229" i="43"/>
  <c r="K234" i="42"/>
  <c r="I270" i="42"/>
  <c r="J110" i="42"/>
  <c r="K229" i="42"/>
  <c r="J110" i="43" l="1"/>
  <c r="I270" i="43"/>
  <c r="K234" i="43"/>
  <c r="M229" i="43"/>
  <c r="K110" i="42"/>
  <c r="L229" i="42"/>
  <c r="J270" i="42"/>
  <c r="L234" i="42"/>
  <c r="J270" i="43" l="1"/>
  <c r="L234" i="43"/>
  <c r="K110" i="43"/>
  <c r="N229" i="43"/>
  <c r="K270" i="42"/>
  <c r="M234" i="42"/>
  <c r="L110" i="42"/>
  <c r="M229" i="42"/>
  <c r="L110" i="43" l="1"/>
  <c r="K270" i="43"/>
  <c r="M234" i="43"/>
  <c r="O229" i="43"/>
  <c r="M110" i="42"/>
  <c r="N229" i="42"/>
  <c r="L270" i="42"/>
  <c r="N234" i="42"/>
  <c r="L270" i="43" l="1"/>
  <c r="N234" i="43"/>
  <c r="M110" i="43"/>
  <c r="P229" i="43"/>
  <c r="M270" i="42"/>
  <c r="O234" i="42"/>
  <c r="N110" i="42"/>
  <c r="O229" i="42"/>
  <c r="N110" i="43" l="1"/>
  <c r="O234" i="43"/>
  <c r="M270" i="43"/>
  <c r="P229" i="42"/>
  <c r="O110" i="42"/>
  <c r="N270" i="42"/>
  <c r="P234" i="42"/>
  <c r="O270" i="42" s="1"/>
  <c r="AI110" i="43" l="1"/>
  <c r="AH110" i="43"/>
  <c r="N270" i="43"/>
  <c r="P234" i="43"/>
  <c r="O270" i="43" s="1"/>
  <c r="O110" i="43"/>
  <c r="AI110" i="42"/>
  <c r="AH110" i="42"/>
  <c r="D113" i="41" l="1"/>
  <c r="D50" i="41"/>
  <c r="C113" i="41"/>
  <c r="C50" i="41"/>
  <c r="C54" i="41"/>
  <c r="C68" i="41"/>
  <c r="B113" i="41"/>
  <c r="B84" i="41"/>
  <c r="B72" i="41"/>
  <c r="B68" i="41"/>
  <c r="B54" i="41"/>
  <c r="B50" i="41"/>
  <c r="AF274" i="41"/>
  <c r="AE274" i="41"/>
  <c r="AD274" i="41"/>
  <c r="AC274" i="41"/>
  <c r="AB274" i="41"/>
  <c r="AA274" i="41"/>
  <c r="Z274" i="41"/>
  <c r="Y274" i="41"/>
  <c r="X274" i="41"/>
  <c r="W274" i="41"/>
  <c r="V274" i="41"/>
  <c r="U274" i="41"/>
  <c r="T274" i="41"/>
  <c r="S274" i="41"/>
  <c r="R274" i="41"/>
  <c r="Q274" i="41"/>
  <c r="P274" i="41"/>
  <c r="O274" i="41"/>
  <c r="N274" i="41"/>
  <c r="M274" i="41"/>
  <c r="L274" i="41"/>
  <c r="K274" i="41"/>
  <c r="J274" i="41"/>
  <c r="I274" i="41"/>
  <c r="H274" i="41"/>
  <c r="G274" i="41"/>
  <c r="F274" i="41"/>
  <c r="E274" i="41"/>
  <c r="D274" i="41"/>
  <c r="C274" i="41"/>
  <c r="B274" i="41"/>
  <c r="A274" i="41"/>
  <c r="AF273" i="41"/>
  <c r="AE273" i="41"/>
  <c r="AD273" i="41"/>
  <c r="AC273" i="41"/>
  <c r="AB273" i="41"/>
  <c r="AA273" i="41"/>
  <c r="Z273" i="41"/>
  <c r="Y273" i="41"/>
  <c r="X273" i="41"/>
  <c r="W273" i="41"/>
  <c r="V273" i="41"/>
  <c r="U273" i="41"/>
  <c r="T273" i="41"/>
  <c r="S273" i="41"/>
  <c r="R273" i="41"/>
  <c r="Q273" i="41"/>
  <c r="P273" i="41"/>
  <c r="O273" i="41"/>
  <c r="N273" i="41"/>
  <c r="M273" i="41"/>
  <c r="L273" i="41"/>
  <c r="K273" i="41"/>
  <c r="J273" i="41"/>
  <c r="I273" i="41"/>
  <c r="H273" i="41"/>
  <c r="G273" i="41"/>
  <c r="F273" i="41"/>
  <c r="E273" i="41"/>
  <c r="D273" i="41"/>
  <c r="C273" i="41"/>
  <c r="B273" i="41"/>
  <c r="A273" i="41"/>
  <c r="AF272" i="41"/>
  <c r="AE272" i="41"/>
  <c r="AD272" i="41"/>
  <c r="AC272" i="41"/>
  <c r="AB272" i="41"/>
  <c r="AA272" i="41"/>
  <c r="Z272" i="41"/>
  <c r="Y272" i="41"/>
  <c r="X272" i="41"/>
  <c r="W272" i="41"/>
  <c r="V272" i="41"/>
  <c r="U272" i="41"/>
  <c r="T272" i="41"/>
  <c r="S272" i="41"/>
  <c r="R272" i="41"/>
  <c r="Q272" i="41"/>
  <c r="P272" i="41"/>
  <c r="O272" i="41"/>
  <c r="N272" i="41"/>
  <c r="M272" i="41"/>
  <c r="L272" i="41"/>
  <c r="K272" i="41"/>
  <c r="J272" i="41"/>
  <c r="I272" i="41"/>
  <c r="H272" i="41"/>
  <c r="G272" i="41"/>
  <c r="F272" i="41"/>
  <c r="E272" i="41"/>
  <c r="D272" i="41"/>
  <c r="C272" i="41"/>
  <c r="B272" i="41"/>
  <c r="A272" i="41"/>
  <c r="AF271" i="41"/>
  <c r="AE271" i="41"/>
  <c r="AD271" i="41"/>
  <c r="AC271" i="41"/>
  <c r="AB271" i="41"/>
  <c r="AA271" i="41"/>
  <c r="Z271" i="41"/>
  <c r="Y271" i="41"/>
  <c r="X271" i="41"/>
  <c r="W271" i="41"/>
  <c r="V271" i="41"/>
  <c r="U271" i="41"/>
  <c r="T271" i="41"/>
  <c r="S271" i="41"/>
  <c r="R271" i="41"/>
  <c r="Q271" i="41"/>
  <c r="P271" i="41"/>
  <c r="O271" i="41"/>
  <c r="N271" i="41"/>
  <c r="M271" i="41"/>
  <c r="L271" i="41"/>
  <c r="K271" i="41"/>
  <c r="J271" i="41"/>
  <c r="I271" i="41"/>
  <c r="H271" i="41"/>
  <c r="G271" i="41"/>
  <c r="F271" i="41"/>
  <c r="E271" i="41"/>
  <c r="D271" i="41"/>
  <c r="C271" i="41"/>
  <c r="B271" i="41"/>
  <c r="A271" i="41"/>
  <c r="AE270" i="41"/>
  <c r="AD270" i="41"/>
  <c r="AC270" i="41"/>
  <c r="AB270" i="41"/>
  <c r="AA270" i="41"/>
  <c r="Z270" i="41"/>
  <c r="Y270" i="41"/>
  <c r="X270" i="41"/>
  <c r="W270" i="41"/>
  <c r="V270" i="41"/>
  <c r="U270" i="41"/>
  <c r="T270" i="41"/>
  <c r="S270" i="41"/>
  <c r="R270" i="41"/>
  <c r="Q270" i="41"/>
  <c r="P270" i="41"/>
  <c r="B270" i="41"/>
  <c r="S245" i="41"/>
  <c r="AG235" i="41"/>
  <c r="AG67" i="41" s="1"/>
  <c r="AG68" i="41" s="1"/>
  <c r="AG3" i="41" s="1"/>
  <c r="AF235" i="41"/>
  <c r="AE235" i="41"/>
  <c r="AD235" i="41"/>
  <c r="AC235" i="41"/>
  <c r="AB235" i="41"/>
  <c r="AA235" i="41"/>
  <c r="Z235" i="41"/>
  <c r="Y235" i="41"/>
  <c r="X235" i="41"/>
  <c r="W235" i="41"/>
  <c r="V235" i="41"/>
  <c r="U235" i="41"/>
  <c r="T235" i="41"/>
  <c r="S235" i="41"/>
  <c r="R235" i="41"/>
  <c r="Q235" i="41"/>
  <c r="C235" i="41"/>
  <c r="D234" i="41"/>
  <c r="E234" i="41" s="1"/>
  <c r="B234" i="41"/>
  <c r="AF270" i="41" s="1"/>
  <c r="D233" i="41"/>
  <c r="E233" i="41" s="1"/>
  <c r="F233" i="41" s="1"/>
  <c r="G233" i="41" s="1"/>
  <c r="H233" i="41" s="1"/>
  <c r="I233" i="41" s="1"/>
  <c r="J233" i="41" s="1"/>
  <c r="K233" i="41" s="1"/>
  <c r="L233" i="41" s="1"/>
  <c r="M233" i="41" s="1"/>
  <c r="N233" i="41" s="1"/>
  <c r="O233" i="41" s="1"/>
  <c r="P233" i="41" s="1"/>
  <c r="B233" i="41"/>
  <c r="D232" i="41"/>
  <c r="E232" i="41" s="1"/>
  <c r="F232" i="41" s="1"/>
  <c r="G232" i="41" s="1"/>
  <c r="H232" i="41" s="1"/>
  <c r="I232" i="41" s="1"/>
  <c r="B232" i="41"/>
  <c r="D231" i="41"/>
  <c r="E231" i="41" s="1"/>
  <c r="F231" i="41" s="1"/>
  <c r="G231" i="41" s="1"/>
  <c r="H231" i="41" s="1"/>
  <c r="B231" i="41"/>
  <c r="D230" i="41"/>
  <c r="E230" i="41" s="1"/>
  <c r="F230" i="41" s="1"/>
  <c r="G230" i="41" s="1"/>
  <c r="H230" i="41" s="1"/>
  <c r="I230" i="41" s="1"/>
  <c r="J230" i="41" s="1"/>
  <c r="K230" i="41" s="1"/>
  <c r="L230" i="41" s="1"/>
  <c r="M230" i="41" s="1"/>
  <c r="N230" i="41" s="1"/>
  <c r="O230" i="41" s="1"/>
  <c r="P230" i="41" s="1"/>
  <c r="B230" i="41"/>
  <c r="D229" i="41"/>
  <c r="B229" i="41"/>
  <c r="AG227" i="41"/>
  <c r="AF227" i="41"/>
  <c r="AE227" i="41"/>
  <c r="AD227" i="41"/>
  <c r="AC227" i="41"/>
  <c r="AB227" i="41"/>
  <c r="AA227" i="41"/>
  <c r="Z227" i="41"/>
  <c r="Y227" i="41"/>
  <c r="X227" i="41"/>
  <c r="W227" i="41"/>
  <c r="V227" i="41"/>
  <c r="U227" i="41"/>
  <c r="T227" i="41"/>
  <c r="S227" i="41"/>
  <c r="R227" i="41"/>
  <c r="Q227" i="41"/>
  <c r="P227" i="41"/>
  <c r="O227" i="41"/>
  <c r="N227" i="41"/>
  <c r="M227" i="41"/>
  <c r="L227" i="41"/>
  <c r="K227" i="41"/>
  <c r="J227" i="41"/>
  <c r="I227" i="41"/>
  <c r="H227" i="41"/>
  <c r="G227" i="41"/>
  <c r="F227" i="41"/>
  <c r="E227" i="41"/>
  <c r="D227" i="41"/>
  <c r="C227" i="41"/>
  <c r="B227" i="41"/>
  <c r="AF110" i="41"/>
  <c r="AE110" i="41"/>
  <c r="AC110" i="41"/>
  <c r="AB110" i="41"/>
  <c r="AA110" i="41"/>
  <c r="Z110" i="41"/>
  <c r="Y110" i="41"/>
  <c r="X110" i="41"/>
  <c r="W110" i="41"/>
  <c r="V110" i="41"/>
  <c r="U110" i="41"/>
  <c r="T110" i="41"/>
  <c r="S110" i="41"/>
  <c r="R110" i="41"/>
  <c r="Q110" i="41"/>
  <c r="C110" i="41"/>
  <c r="AG88" i="41"/>
  <c r="AN84" i="41"/>
  <c r="AG84" i="41"/>
  <c r="AF84" i="41"/>
  <c r="AE5" i="41" s="1"/>
  <c r="AE84" i="41"/>
  <c r="AD5" i="41" s="1"/>
  <c r="AD84" i="41"/>
  <c r="AD100" i="41" s="1"/>
  <c r="AC84" i="41"/>
  <c r="AC100" i="41" s="1"/>
  <c r="AB84" i="41"/>
  <c r="AB100" i="41" s="1"/>
  <c r="AA84" i="41"/>
  <c r="AA100" i="41" s="1"/>
  <c r="Z84" i="41"/>
  <c r="Z100" i="41" s="1"/>
  <c r="Y84" i="41"/>
  <c r="X84" i="41"/>
  <c r="W5" i="41" s="1"/>
  <c r="W84" i="41"/>
  <c r="V5" i="41" s="1"/>
  <c r="V84" i="41"/>
  <c r="V100" i="41" s="1"/>
  <c r="U84" i="41"/>
  <c r="U100" i="41" s="1"/>
  <c r="T84" i="41"/>
  <c r="T100" i="41" s="1"/>
  <c r="S84" i="41"/>
  <c r="S100" i="41" s="1"/>
  <c r="R84" i="41"/>
  <c r="R100" i="41" s="1"/>
  <c r="Q84" i="41"/>
  <c r="P84" i="41"/>
  <c r="O5" i="41" s="1"/>
  <c r="O84" i="41"/>
  <c r="N5" i="41" s="1"/>
  <c r="N84" i="41"/>
  <c r="M5" i="41" s="1"/>
  <c r="M84" i="41"/>
  <c r="M100" i="41" s="1"/>
  <c r="L84" i="41"/>
  <c r="L100" i="41" s="1"/>
  <c r="K84" i="41"/>
  <c r="K100" i="41" s="1"/>
  <c r="J84" i="41"/>
  <c r="J100" i="41" s="1"/>
  <c r="I84" i="41"/>
  <c r="H84" i="41"/>
  <c r="G5" i="41" s="1"/>
  <c r="G84" i="41"/>
  <c r="F5" i="41" s="1"/>
  <c r="F84" i="41"/>
  <c r="E5" i="41" s="1"/>
  <c r="E84" i="41"/>
  <c r="E100" i="41" s="1"/>
  <c r="D84" i="41"/>
  <c r="C5" i="41" s="1"/>
  <c r="C84" i="41"/>
  <c r="C100" i="41" s="1"/>
  <c r="AN82" i="41"/>
  <c r="AN81" i="41"/>
  <c r="AG72" i="41"/>
  <c r="AF72" i="41"/>
  <c r="AE72" i="41"/>
  <c r="AD72" i="41"/>
  <c r="AC72" i="41"/>
  <c r="AB72" i="41"/>
  <c r="AA72" i="41"/>
  <c r="Z72" i="41"/>
  <c r="Y72" i="41"/>
  <c r="X72" i="41"/>
  <c r="W72" i="41"/>
  <c r="V72" i="41"/>
  <c r="U72" i="41"/>
  <c r="T72" i="41"/>
  <c r="S72" i="41"/>
  <c r="R72" i="41"/>
  <c r="Q72" i="41"/>
  <c r="P72" i="41"/>
  <c r="O72" i="41"/>
  <c r="N72" i="41"/>
  <c r="M72" i="41"/>
  <c r="L72" i="41"/>
  <c r="AF68" i="41"/>
  <c r="AE68" i="41"/>
  <c r="AD68" i="41"/>
  <c r="AC68" i="41"/>
  <c r="AB68" i="41"/>
  <c r="AA68" i="41"/>
  <c r="Z68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AG54" i="41"/>
  <c r="AF54" i="41"/>
  <c r="AE54" i="41"/>
  <c r="AD54" i="41"/>
  <c r="AC54" i="41"/>
  <c r="AB54" i="41"/>
  <c r="AA54" i="41"/>
  <c r="Z54" i="41"/>
  <c r="Y54" i="41"/>
  <c r="X54" i="41"/>
  <c r="W54" i="41"/>
  <c r="V54" i="41"/>
  <c r="U54" i="41"/>
  <c r="T54" i="41"/>
  <c r="S54" i="41"/>
  <c r="R54" i="41"/>
  <c r="Q54" i="41"/>
  <c r="P54" i="41"/>
  <c r="O54" i="41"/>
  <c r="N54" i="41"/>
  <c r="M54" i="41"/>
  <c r="L54" i="41"/>
  <c r="K54" i="41"/>
  <c r="J54" i="41"/>
  <c r="I54" i="41"/>
  <c r="H54" i="41"/>
  <c r="G54" i="41"/>
  <c r="F54" i="41"/>
  <c r="E54" i="41"/>
  <c r="D54" i="41"/>
  <c r="AG50" i="41"/>
  <c r="AF50" i="41"/>
  <c r="AE50" i="41"/>
  <c r="AD50" i="41"/>
  <c r="AC50" i="41"/>
  <c r="AB50" i="41"/>
  <c r="Z50" i="41"/>
  <c r="Y50" i="41"/>
  <c r="X50" i="41"/>
  <c r="W50" i="41"/>
  <c r="V50" i="41"/>
  <c r="U50" i="41"/>
  <c r="T50" i="41"/>
  <c r="S50" i="41"/>
  <c r="R50" i="41"/>
  <c r="Q50" i="41"/>
  <c r="P50" i="41"/>
  <c r="O50" i="41"/>
  <c r="N50" i="41"/>
  <c r="M50" i="41"/>
  <c r="L50" i="41"/>
  <c r="K50" i="41"/>
  <c r="J50" i="41"/>
  <c r="I50" i="41"/>
  <c r="H50" i="41"/>
  <c r="G50" i="41"/>
  <c r="F50" i="41"/>
  <c r="E50" i="41"/>
  <c r="AI11" i="41"/>
  <c r="AH11" i="41"/>
  <c r="AC5" i="41"/>
  <c r="AA5" i="41"/>
  <c r="AG4" i="41"/>
  <c r="K4" i="41"/>
  <c r="E4" i="41"/>
  <c r="H4" i="41" s="1"/>
  <c r="B4" i="41"/>
  <c r="S246" i="41" s="1"/>
  <c r="AG2" i="41"/>
  <c r="AF111" i="40"/>
  <c r="AE111" i="40"/>
  <c r="AD111" i="40"/>
  <c r="AC111" i="40"/>
  <c r="AC48" i="40"/>
  <c r="AC52" i="40"/>
  <c r="AF5" i="41" l="1"/>
  <c r="AI84" i="41"/>
  <c r="AH84" i="41"/>
  <c r="AH113" i="41"/>
  <c r="AI113" i="41"/>
  <c r="AH50" i="41"/>
  <c r="AI50" i="41"/>
  <c r="AH54" i="41"/>
  <c r="AI54" i="41"/>
  <c r="AI68" i="41"/>
  <c r="AH68" i="41"/>
  <c r="AI72" i="41"/>
  <c r="AH72" i="41"/>
  <c r="AD89" i="41"/>
  <c r="AD91" i="41" s="1"/>
  <c r="AD7" i="41" s="1"/>
  <c r="AG89" i="41"/>
  <c r="J89" i="41"/>
  <c r="J91" i="41" s="1"/>
  <c r="J7" i="41" s="1"/>
  <c r="AN83" i="41"/>
  <c r="D235" i="41"/>
  <c r="AE89" i="41"/>
  <c r="AE91" i="41" s="1"/>
  <c r="AB5" i="41"/>
  <c r="AC89" i="41"/>
  <c r="AC91" i="41" s="1"/>
  <c r="AU249" i="41" s="1"/>
  <c r="Z5" i="41"/>
  <c r="Z89" i="41"/>
  <c r="Z91" i="41" s="1"/>
  <c r="Y89" i="41"/>
  <c r="Y91" i="41" s="1"/>
  <c r="AQ249" i="41" s="1"/>
  <c r="X100" i="41"/>
  <c r="W89" i="41"/>
  <c r="W91" i="41" s="1"/>
  <c r="W92" i="41" s="1"/>
  <c r="U5" i="41"/>
  <c r="V89" i="41"/>
  <c r="V91" i="41" s="1"/>
  <c r="V92" i="41" s="1"/>
  <c r="T5" i="41"/>
  <c r="F234" i="41"/>
  <c r="E270" i="41" s="1"/>
  <c r="D270" i="41"/>
  <c r="AG6" i="41"/>
  <c r="X89" i="41"/>
  <c r="X91" i="41" s="1"/>
  <c r="X92" i="41" s="1"/>
  <c r="AF89" i="41"/>
  <c r="AF91" i="41" s="1"/>
  <c r="AX249" i="41" s="1"/>
  <c r="W100" i="41"/>
  <c r="AA89" i="41"/>
  <c r="AA91" i="41" s="1"/>
  <c r="AS249" i="41" s="1"/>
  <c r="B110" i="41"/>
  <c r="AB89" i="41"/>
  <c r="AB91" i="41" s="1"/>
  <c r="AB92" i="41" s="1"/>
  <c r="C270" i="41"/>
  <c r="U89" i="41"/>
  <c r="U91" i="41" s="1"/>
  <c r="U92" i="41" s="1"/>
  <c r="AE100" i="41"/>
  <c r="B89" i="41"/>
  <c r="AF100" i="41"/>
  <c r="S5" i="41"/>
  <c r="T89" i="41"/>
  <c r="T91" i="41" s="1"/>
  <c r="T92" i="41" s="1"/>
  <c r="R5" i="41"/>
  <c r="S89" i="41"/>
  <c r="S91" i="41" s="1"/>
  <c r="S7" i="41" s="1"/>
  <c r="R89" i="41"/>
  <c r="R91" i="41" s="1"/>
  <c r="AJ249" i="41" s="1"/>
  <c r="Q89" i="41"/>
  <c r="Q91" i="41" s="1"/>
  <c r="Q7" i="41" s="1"/>
  <c r="O100" i="41"/>
  <c r="P100" i="41"/>
  <c r="P89" i="41"/>
  <c r="P91" i="41" s="1"/>
  <c r="P7" i="41" s="1"/>
  <c r="O89" i="41"/>
  <c r="O91" i="41" s="1"/>
  <c r="AG249" i="41" s="1"/>
  <c r="N100" i="41"/>
  <c r="N89" i="41"/>
  <c r="N91" i="41" s="1"/>
  <c r="AF249" i="41" s="1"/>
  <c r="L5" i="41"/>
  <c r="M89" i="41"/>
  <c r="M91" i="41" s="1"/>
  <c r="M92" i="41" s="1"/>
  <c r="K5" i="41"/>
  <c r="L89" i="41"/>
  <c r="L91" i="41" s="1"/>
  <c r="L92" i="41" s="1"/>
  <c r="J5" i="41"/>
  <c r="K89" i="41"/>
  <c r="K91" i="41" s="1"/>
  <c r="K92" i="41" s="1"/>
  <c r="I89" i="41"/>
  <c r="I91" i="41" s="1"/>
  <c r="I92" i="41" s="1"/>
  <c r="H89" i="41"/>
  <c r="H91" i="41" s="1"/>
  <c r="H7" i="41" s="1"/>
  <c r="H100" i="41"/>
  <c r="G89" i="41"/>
  <c r="G91" i="41" s="1"/>
  <c r="G92" i="41" s="1"/>
  <c r="G100" i="41"/>
  <c r="F100" i="41"/>
  <c r="F89" i="41"/>
  <c r="F91" i="41" s="1"/>
  <c r="X249" i="41" s="1"/>
  <c r="D5" i="41"/>
  <c r="E89" i="41"/>
  <c r="E91" i="41" s="1"/>
  <c r="E92" i="41" s="1"/>
  <c r="D100" i="41"/>
  <c r="D89" i="41"/>
  <c r="D91" i="41" s="1"/>
  <c r="D92" i="41" s="1"/>
  <c r="B5" i="41"/>
  <c r="C89" i="41"/>
  <c r="C91" i="41" s="1"/>
  <c r="C92" i="41" s="1"/>
  <c r="B100" i="41"/>
  <c r="V7" i="41"/>
  <c r="AB249" i="41"/>
  <c r="J232" i="41"/>
  <c r="K232" i="41" s="1"/>
  <c r="L232" i="41" s="1"/>
  <c r="M232" i="41" s="1"/>
  <c r="N232" i="41" s="1"/>
  <c r="O232" i="41" s="1"/>
  <c r="P232" i="41" s="1"/>
  <c r="AV249" i="41"/>
  <c r="AD92" i="41"/>
  <c r="Q92" i="41"/>
  <c r="AR249" i="41"/>
  <c r="Z7" i="41"/>
  <c r="Z92" i="41"/>
  <c r="N7" i="41"/>
  <c r="N92" i="41"/>
  <c r="S92" i="41"/>
  <c r="AK249" i="41"/>
  <c r="AB7" i="41"/>
  <c r="AT249" i="41"/>
  <c r="AO249" i="41"/>
  <c r="W7" i="41"/>
  <c r="AW249" i="41"/>
  <c r="AE7" i="41"/>
  <c r="AE92" i="41"/>
  <c r="H5" i="41"/>
  <c r="I100" i="41"/>
  <c r="P5" i="41"/>
  <c r="Q100" i="41"/>
  <c r="X5" i="41"/>
  <c r="Y100" i="41"/>
  <c r="AG91" i="41"/>
  <c r="AM249" i="41"/>
  <c r="G234" i="41"/>
  <c r="I5" i="41"/>
  <c r="Q5" i="41"/>
  <c r="Y5" i="41"/>
  <c r="D246" i="41"/>
  <c r="D110" i="41"/>
  <c r="E229" i="41"/>
  <c r="B235" i="41"/>
  <c r="M111" i="40"/>
  <c r="L111" i="40"/>
  <c r="K111" i="40"/>
  <c r="J111" i="40"/>
  <c r="I111" i="40"/>
  <c r="F111" i="40"/>
  <c r="G111" i="40"/>
  <c r="H111" i="40"/>
  <c r="E111" i="40"/>
  <c r="AH111" i="40" s="1"/>
  <c r="AH117" i="40"/>
  <c r="AI117" i="40"/>
  <c r="AF272" i="40"/>
  <c r="AE272" i="40"/>
  <c r="AD272" i="40"/>
  <c r="AC272" i="40"/>
  <c r="AB272" i="40"/>
  <c r="AA272" i="40"/>
  <c r="Z272" i="40"/>
  <c r="Y272" i="40"/>
  <c r="X272" i="40"/>
  <c r="W272" i="40"/>
  <c r="V272" i="40"/>
  <c r="U272" i="40"/>
  <c r="T272" i="40"/>
  <c r="S272" i="40"/>
  <c r="R272" i="40"/>
  <c r="Q272" i="40"/>
  <c r="P272" i="40"/>
  <c r="O272" i="40"/>
  <c r="N272" i="40"/>
  <c r="M272" i="40"/>
  <c r="L272" i="40"/>
  <c r="K272" i="40"/>
  <c r="J272" i="40"/>
  <c r="I272" i="40"/>
  <c r="H272" i="40"/>
  <c r="G272" i="40"/>
  <c r="F272" i="40"/>
  <c r="E272" i="40"/>
  <c r="D272" i="40"/>
  <c r="C272" i="40"/>
  <c r="B272" i="40"/>
  <c r="A272" i="40"/>
  <c r="AF271" i="40"/>
  <c r="AE271" i="40"/>
  <c r="AD271" i="40"/>
  <c r="AC271" i="40"/>
  <c r="AB271" i="40"/>
  <c r="AA271" i="40"/>
  <c r="Z271" i="40"/>
  <c r="Y271" i="40"/>
  <c r="X271" i="40"/>
  <c r="W271" i="40"/>
  <c r="V271" i="40"/>
  <c r="U271" i="40"/>
  <c r="T271" i="40"/>
  <c r="S271" i="40"/>
  <c r="R271" i="40"/>
  <c r="Q271" i="40"/>
  <c r="P271" i="40"/>
  <c r="O271" i="40"/>
  <c r="N271" i="40"/>
  <c r="M271" i="40"/>
  <c r="L271" i="40"/>
  <c r="K271" i="40"/>
  <c r="J271" i="40"/>
  <c r="I271" i="40"/>
  <c r="H271" i="40"/>
  <c r="G271" i="40"/>
  <c r="F271" i="40"/>
  <c r="E271" i="40"/>
  <c r="D271" i="40"/>
  <c r="C271" i="40"/>
  <c r="B271" i="40"/>
  <c r="A271" i="40"/>
  <c r="AF270" i="40"/>
  <c r="AE270" i="40"/>
  <c r="AD270" i="40"/>
  <c r="AC270" i="40"/>
  <c r="AB270" i="40"/>
  <c r="AA270" i="40"/>
  <c r="Z270" i="40"/>
  <c r="Y270" i="40"/>
  <c r="X270" i="40"/>
  <c r="W270" i="40"/>
  <c r="V270" i="40"/>
  <c r="U270" i="40"/>
  <c r="T270" i="40"/>
  <c r="S270" i="40"/>
  <c r="R270" i="40"/>
  <c r="Q270" i="40"/>
  <c r="P270" i="40"/>
  <c r="O270" i="40"/>
  <c r="N270" i="40"/>
  <c r="M270" i="40"/>
  <c r="L270" i="40"/>
  <c r="K270" i="40"/>
  <c r="J270" i="40"/>
  <c r="I270" i="40"/>
  <c r="H270" i="40"/>
  <c r="G270" i="40"/>
  <c r="F270" i="40"/>
  <c r="E270" i="40"/>
  <c r="D270" i="40"/>
  <c r="C270" i="40"/>
  <c r="B270" i="40"/>
  <c r="A270" i="40"/>
  <c r="AF269" i="40"/>
  <c r="AE269" i="40"/>
  <c r="AD269" i="40"/>
  <c r="AC269" i="40"/>
  <c r="AB269" i="40"/>
  <c r="AA269" i="40"/>
  <c r="Z269" i="40"/>
  <c r="Y269" i="40"/>
  <c r="X269" i="40"/>
  <c r="W269" i="40"/>
  <c r="V269" i="40"/>
  <c r="U269" i="40"/>
  <c r="T269" i="40"/>
  <c r="S269" i="40"/>
  <c r="R269" i="40"/>
  <c r="Q269" i="40"/>
  <c r="P269" i="40"/>
  <c r="O269" i="40"/>
  <c r="N269" i="40"/>
  <c r="M269" i="40"/>
  <c r="L269" i="40"/>
  <c r="K269" i="40"/>
  <c r="J269" i="40"/>
  <c r="I269" i="40"/>
  <c r="H269" i="40"/>
  <c r="G269" i="40"/>
  <c r="F269" i="40"/>
  <c r="E269" i="40"/>
  <c r="D269" i="40"/>
  <c r="C269" i="40"/>
  <c r="B269" i="40"/>
  <c r="A269" i="40"/>
  <c r="AE268" i="40"/>
  <c r="AD268" i="40"/>
  <c r="AC268" i="40"/>
  <c r="AB268" i="40"/>
  <c r="AA268" i="40"/>
  <c r="Z268" i="40"/>
  <c r="Y268" i="40"/>
  <c r="X268" i="40"/>
  <c r="W268" i="40"/>
  <c r="V268" i="40"/>
  <c r="U268" i="40"/>
  <c r="T268" i="40"/>
  <c r="S268" i="40"/>
  <c r="R268" i="40"/>
  <c r="Q268" i="40"/>
  <c r="P268" i="40"/>
  <c r="B268" i="40"/>
  <c r="S243" i="40"/>
  <c r="AG233" i="40"/>
  <c r="AF233" i="40"/>
  <c r="AE233" i="40"/>
  <c r="AD233" i="40"/>
  <c r="AC233" i="40"/>
  <c r="AB233" i="40"/>
  <c r="AA233" i="40"/>
  <c r="Z233" i="40"/>
  <c r="Y233" i="40"/>
  <c r="X233" i="40"/>
  <c r="W233" i="40"/>
  <c r="V233" i="40"/>
  <c r="U233" i="40"/>
  <c r="T233" i="40"/>
  <c r="S233" i="40"/>
  <c r="R233" i="40"/>
  <c r="Q233" i="40"/>
  <c r="C233" i="40"/>
  <c r="E232" i="40"/>
  <c r="D268" i="40" s="1"/>
  <c r="D232" i="40"/>
  <c r="C268" i="40" s="1"/>
  <c r="B232" i="40"/>
  <c r="AF268" i="40" s="1"/>
  <c r="D231" i="40"/>
  <c r="E231" i="40" s="1"/>
  <c r="F231" i="40" s="1"/>
  <c r="G231" i="40" s="1"/>
  <c r="H231" i="40" s="1"/>
  <c r="I231" i="40" s="1"/>
  <c r="J231" i="40" s="1"/>
  <c r="K231" i="40" s="1"/>
  <c r="L231" i="40" s="1"/>
  <c r="M231" i="40" s="1"/>
  <c r="N231" i="40" s="1"/>
  <c r="O231" i="40" s="1"/>
  <c r="P231" i="40" s="1"/>
  <c r="B231" i="40"/>
  <c r="D230" i="40"/>
  <c r="E230" i="40" s="1"/>
  <c r="F230" i="40" s="1"/>
  <c r="G230" i="40" s="1"/>
  <c r="H230" i="40" s="1"/>
  <c r="I230" i="40" s="1"/>
  <c r="B230" i="40"/>
  <c r="E229" i="40"/>
  <c r="F229" i="40" s="1"/>
  <c r="G229" i="40" s="1"/>
  <c r="H229" i="40" s="1"/>
  <c r="D229" i="40"/>
  <c r="B229" i="40"/>
  <c r="D228" i="40"/>
  <c r="E228" i="40" s="1"/>
  <c r="F228" i="40" s="1"/>
  <c r="G228" i="40" s="1"/>
  <c r="H228" i="40" s="1"/>
  <c r="I228" i="40" s="1"/>
  <c r="J228" i="40" s="1"/>
  <c r="K228" i="40" s="1"/>
  <c r="L228" i="40" s="1"/>
  <c r="M228" i="40" s="1"/>
  <c r="N228" i="40" s="1"/>
  <c r="O228" i="40" s="1"/>
  <c r="P228" i="40" s="1"/>
  <c r="B228" i="40"/>
  <c r="D227" i="40"/>
  <c r="E227" i="40" s="1"/>
  <c r="B227" i="40"/>
  <c r="AG225" i="40"/>
  <c r="AF225" i="40"/>
  <c r="AE225" i="40"/>
  <c r="AD225" i="40"/>
  <c r="AC225" i="40"/>
  <c r="AB225" i="40"/>
  <c r="AA225" i="40"/>
  <c r="Z225" i="40"/>
  <c r="Y225" i="40"/>
  <c r="X225" i="40"/>
  <c r="W225" i="40"/>
  <c r="V225" i="40"/>
  <c r="U225" i="40"/>
  <c r="T225" i="40"/>
  <c r="S225" i="40"/>
  <c r="R225" i="40"/>
  <c r="Q225" i="40"/>
  <c r="P225" i="40"/>
  <c r="O225" i="40"/>
  <c r="N225" i="40"/>
  <c r="M225" i="40"/>
  <c r="L225" i="40"/>
  <c r="K225" i="40"/>
  <c r="J225" i="40"/>
  <c r="I225" i="40"/>
  <c r="H225" i="40"/>
  <c r="G225" i="40"/>
  <c r="F225" i="40"/>
  <c r="E225" i="40"/>
  <c r="D225" i="40"/>
  <c r="C225" i="40"/>
  <c r="B225" i="40"/>
  <c r="AI118" i="40"/>
  <c r="AH118" i="40"/>
  <c r="AI116" i="40"/>
  <c r="AH116" i="40"/>
  <c r="AI115" i="40"/>
  <c r="AH115" i="40"/>
  <c r="AI114" i="40"/>
  <c r="AH114" i="40"/>
  <c r="AI113" i="40"/>
  <c r="AH113" i="40"/>
  <c r="AI112" i="40"/>
  <c r="AH112" i="40"/>
  <c r="AI111" i="40"/>
  <c r="AI110" i="40"/>
  <c r="AH110" i="40"/>
  <c r="AI109" i="40"/>
  <c r="AH109" i="40"/>
  <c r="AF108" i="40"/>
  <c r="AE108" i="40"/>
  <c r="AD108" i="40"/>
  <c r="AC108" i="40"/>
  <c r="AB108" i="40"/>
  <c r="AA108" i="40"/>
  <c r="Z108" i="40"/>
  <c r="Y108" i="40"/>
  <c r="X108" i="40"/>
  <c r="W108" i="40"/>
  <c r="V108" i="40"/>
  <c r="U108" i="40"/>
  <c r="T108" i="40"/>
  <c r="S108" i="40"/>
  <c r="R108" i="40"/>
  <c r="Q108" i="40"/>
  <c r="C108" i="40"/>
  <c r="AI107" i="40"/>
  <c r="AH107" i="40"/>
  <c r="AI106" i="40"/>
  <c r="AH106" i="40"/>
  <c r="AI105" i="40"/>
  <c r="AH105" i="40"/>
  <c r="AI104" i="40"/>
  <c r="AH104" i="40"/>
  <c r="AI103" i="40"/>
  <c r="AH103" i="40"/>
  <c r="AI102" i="40"/>
  <c r="AH102" i="40"/>
  <c r="AI101" i="40"/>
  <c r="AH101" i="40"/>
  <c r="AI100" i="40"/>
  <c r="AH100" i="40"/>
  <c r="AI99" i="40"/>
  <c r="AH99" i="40"/>
  <c r="AI97" i="40"/>
  <c r="AH97" i="40"/>
  <c r="AI96" i="40"/>
  <c r="AH96" i="40"/>
  <c r="AI95" i="40"/>
  <c r="AH95" i="40"/>
  <c r="AI94" i="40"/>
  <c r="AH94" i="40"/>
  <c r="AI93" i="40"/>
  <c r="AH93" i="40"/>
  <c r="AI92" i="40"/>
  <c r="AH92" i="40"/>
  <c r="AI91" i="40"/>
  <c r="AH91" i="40"/>
  <c r="AI88" i="40"/>
  <c r="AH88" i="40"/>
  <c r="AI86" i="40"/>
  <c r="AH86" i="40"/>
  <c r="AG86" i="40"/>
  <c r="AI85" i="40"/>
  <c r="AH85" i="40"/>
  <c r="AI84" i="40"/>
  <c r="AH84" i="40"/>
  <c r="AI83" i="40"/>
  <c r="AH83" i="40"/>
  <c r="AN82" i="40"/>
  <c r="AG82" i="40"/>
  <c r="AF82" i="40"/>
  <c r="AE5" i="40" s="1"/>
  <c r="AE82" i="40"/>
  <c r="AD5" i="40" s="1"/>
  <c r="AD82" i="40"/>
  <c r="AD98" i="40" s="1"/>
  <c r="AC82" i="40"/>
  <c r="AC98" i="40" s="1"/>
  <c r="AB82" i="40"/>
  <c r="AB98" i="40" s="1"/>
  <c r="AA82" i="40"/>
  <c r="AA98" i="40" s="1"/>
  <c r="Z82" i="40"/>
  <c r="Z98" i="40" s="1"/>
  <c r="Y82" i="40"/>
  <c r="Y98" i="40" s="1"/>
  <c r="X82" i="40"/>
  <c r="W5" i="40" s="1"/>
  <c r="W82" i="40"/>
  <c r="V5" i="40" s="1"/>
  <c r="V82" i="40"/>
  <c r="V98" i="40" s="1"/>
  <c r="U82" i="40"/>
  <c r="U98" i="40" s="1"/>
  <c r="T82" i="40"/>
  <c r="T98" i="40" s="1"/>
  <c r="S82" i="40"/>
  <c r="S98" i="40" s="1"/>
  <c r="R82" i="40"/>
  <c r="R98" i="40" s="1"/>
  <c r="Q82" i="40"/>
  <c r="Q98" i="40" s="1"/>
  <c r="P82" i="40"/>
  <c r="O5" i="40" s="1"/>
  <c r="O82" i="40"/>
  <c r="O98" i="40" s="1"/>
  <c r="N82" i="40"/>
  <c r="N98" i="40" s="1"/>
  <c r="M82" i="40"/>
  <c r="M98" i="40" s="1"/>
  <c r="L82" i="40"/>
  <c r="L98" i="40" s="1"/>
  <c r="K82" i="40"/>
  <c r="K98" i="40" s="1"/>
  <c r="J82" i="40"/>
  <c r="J98" i="40" s="1"/>
  <c r="I82" i="40"/>
  <c r="I98" i="40" s="1"/>
  <c r="H82" i="40"/>
  <c r="G5" i="40" s="1"/>
  <c r="G82" i="40"/>
  <c r="G98" i="40" s="1"/>
  <c r="F82" i="40"/>
  <c r="F98" i="40" s="1"/>
  <c r="E82" i="40"/>
  <c r="E98" i="40" s="1"/>
  <c r="D82" i="40"/>
  <c r="D98" i="40" s="1"/>
  <c r="C82" i="40"/>
  <c r="C98" i="40" s="1"/>
  <c r="AI81" i="40"/>
  <c r="AH81" i="40"/>
  <c r="AN80" i="40"/>
  <c r="AI80" i="40"/>
  <c r="AH80" i="40"/>
  <c r="AN79" i="40"/>
  <c r="AI79" i="40"/>
  <c r="AH79" i="40"/>
  <c r="AI78" i="40"/>
  <c r="AH78" i="40"/>
  <c r="AI77" i="40"/>
  <c r="AH77" i="40"/>
  <c r="AI76" i="40"/>
  <c r="AH76" i="40"/>
  <c r="AI75" i="40"/>
  <c r="AH75" i="40"/>
  <c r="AI74" i="40"/>
  <c r="AH74" i="40"/>
  <c r="AI73" i="40"/>
  <c r="AH73" i="40"/>
  <c r="AI72" i="40"/>
  <c r="AH72" i="40"/>
  <c r="AI71" i="40"/>
  <c r="AH71" i="40"/>
  <c r="AG70" i="40"/>
  <c r="AF70" i="40"/>
  <c r="AE70" i="40"/>
  <c r="AD70" i="40"/>
  <c r="AC70" i="40"/>
  <c r="AB70" i="40"/>
  <c r="AA70" i="40"/>
  <c r="Z70" i="40"/>
  <c r="Y70" i="40"/>
  <c r="X70" i="40"/>
  <c r="W70" i="40"/>
  <c r="V70" i="40"/>
  <c r="U70" i="40"/>
  <c r="T70" i="40"/>
  <c r="S70" i="40"/>
  <c r="R70" i="40"/>
  <c r="Q70" i="40"/>
  <c r="P70" i="40"/>
  <c r="O70" i="40"/>
  <c r="N70" i="40"/>
  <c r="M70" i="40"/>
  <c r="L70" i="40"/>
  <c r="AI69" i="40"/>
  <c r="AH69" i="40"/>
  <c r="AI68" i="40"/>
  <c r="AH68" i="40"/>
  <c r="AI67" i="40"/>
  <c r="AH67" i="40"/>
  <c r="AF66" i="40"/>
  <c r="AE66" i="40"/>
  <c r="AD66" i="40"/>
  <c r="AC66" i="40"/>
  <c r="AC87" i="40" s="1"/>
  <c r="AC89" i="40" s="1"/>
  <c r="AB66" i="40"/>
  <c r="AA66" i="40"/>
  <c r="Z66" i="40"/>
  <c r="Y66" i="40"/>
  <c r="X66" i="40"/>
  <c r="W66" i="40"/>
  <c r="V66" i="40"/>
  <c r="U66" i="40"/>
  <c r="T66" i="40"/>
  <c r="S66" i="40"/>
  <c r="R66" i="40"/>
  <c r="Q66" i="40"/>
  <c r="P66" i="40"/>
  <c r="O66" i="40"/>
  <c r="N66" i="40"/>
  <c r="M66" i="40"/>
  <c r="L66" i="40"/>
  <c r="K66" i="40"/>
  <c r="J66" i="40"/>
  <c r="I66" i="40"/>
  <c r="H66" i="40"/>
  <c r="G66" i="40"/>
  <c r="F66" i="40"/>
  <c r="E66" i="40"/>
  <c r="D66" i="40"/>
  <c r="C66" i="40"/>
  <c r="AI65" i="40"/>
  <c r="AH65" i="40"/>
  <c r="AG65" i="40"/>
  <c r="AG66" i="40" s="1"/>
  <c r="AG3" i="40" s="1"/>
  <c r="AI64" i="40"/>
  <c r="AH64" i="40"/>
  <c r="AI63" i="40"/>
  <c r="AH63" i="40"/>
  <c r="AI62" i="40"/>
  <c r="AH62" i="40"/>
  <c r="AI61" i="40"/>
  <c r="AH61" i="40"/>
  <c r="AI60" i="40"/>
  <c r="AH60" i="40"/>
  <c r="AI59" i="40"/>
  <c r="AH59" i="40"/>
  <c r="AI58" i="40"/>
  <c r="AH58" i="40"/>
  <c r="AI57" i="40"/>
  <c r="AH57" i="40"/>
  <c r="AI56" i="40"/>
  <c r="AH56" i="40"/>
  <c r="AI55" i="40"/>
  <c r="AH55" i="40"/>
  <c r="AI54" i="40"/>
  <c r="AH54" i="40"/>
  <c r="AI53" i="40"/>
  <c r="AH53" i="40"/>
  <c r="AG52" i="40"/>
  <c r="AF52" i="40"/>
  <c r="AE52" i="40"/>
  <c r="AD52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E52" i="40"/>
  <c r="D52" i="40"/>
  <c r="C52" i="40"/>
  <c r="AI51" i="40"/>
  <c r="AH51" i="40"/>
  <c r="AI50" i="40"/>
  <c r="AH50" i="40"/>
  <c r="AI49" i="40"/>
  <c r="AH49" i="40"/>
  <c r="AG48" i="40"/>
  <c r="AF48" i="40"/>
  <c r="AE48" i="40"/>
  <c r="AD48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E48" i="40"/>
  <c r="D48" i="40"/>
  <c r="C48" i="40"/>
  <c r="AI47" i="40"/>
  <c r="AH47" i="40"/>
  <c r="AI46" i="40"/>
  <c r="AH46" i="40"/>
  <c r="AI45" i="40"/>
  <c r="AH45" i="40"/>
  <c r="AI44" i="40"/>
  <c r="AH44" i="40"/>
  <c r="AI43" i="40"/>
  <c r="AH43" i="40"/>
  <c r="AI42" i="40"/>
  <c r="AH42" i="40"/>
  <c r="AI41" i="40"/>
  <c r="AH41" i="40"/>
  <c r="AI40" i="40"/>
  <c r="AH40" i="40"/>
  <c r="AI39" i="40"/>
  <c r="AH39" i="40"/>
  <c r="AI38" i="40"/>
  <c r="AH38" i="40"/>
  <c r="AI37" i="40"/>
  <c r="AH37" i="40"/>
  <c r="AI36" i="40"/>
  <c r="AH36" i="40"/>
  <c r="AI35" i="40"/>
  <c r="AH35" i="40"/>
  <c r="AI34" i="40"/>
  <c r="AH34" i="40"/>
  <c r="AI33" i="40"/>
  <c r="AH33" i="40"/>
  <c r="AI32" i="40"/>
  <c r="AH32" i="40"/>
  <c r="AI31" i="40"/>
  <c r="AH31" i="40"/>
  <c r="AI30" i="40"/>
  <c r="AH30" i="40"/>
  <c r="AI29" i="40"/>
  <c r="AH29" i="40"/>
  <c r="AI28" i="40"/>
  <c r="AH28" i="40"/>
  <c r="AI27" i="40"/>
  <c r="AH27" i="40"/>
  <c r="AI26" i="40"/>
  <c r="AH26" i="40"/>
  <c r="AI25" i="40"/>
  <c r="AH25" i="40"/>
  <c r="AI24" i="40"/>
  <c r="AH24" i="40"/>
  <c r="AI23" i="40"/>
  <c r="AH23" i="40"/>
  <c r="AI22" i="40"/>
  <c r="AH22" i="40"/>
  <c r="AI21" i="40"/>
  <c r="AH21" i="40"/>
  <c r="AI20" i="40"/>
  <c r="AH20" i="40"/>
  <c r="AI19" i="40"/>
  <c r="AH19" i="40"/>
  <c r="AI18" i="40"/>
  <c r="AH18" i="40"/>
  <c r="AI17" i="40"/>
  <c r="AH17" i="40"/>
  <c r="AI16" i="40"/>
  <c r="AH16" i="40"/>
  <c r="AI15" i="40"/>
  <c r="AH15" i="40"/>
  <c r="AI14" i="40"/>
  <c r="AH14" i="40"/>
  <c r="AI13" i="40"/>
  <c r="AH13" i="40"/>
  <c r="AI12" i="40"/>
  <c r="AH12" i="40"/>
  <c r="AI11" i="40"/>
  <c r="AH11" i="40"/>
  <c r="AF5" i="40"/>
  <c r="S5" i="40"/>
  <c r="P5" i="40"/>
  <c r="I5" i="40"/>
  <c r="AG4" i="40"/>
  <c r="K4" i="40"/>
  <c r="E4" i="40"/>
  <c r="H4" i="40" s="1"/>
  <c r="B4" i="40"/>
  <c r="S244" i="40" s="1"/>
  <c r="AG2" i="40"/>
  <c r="AB111" i="39"/>
  <c r="W98" i="40" l="1"/>
  <c r="D233" i="40"/>
  <c r="AN81" i="40"/>
  <c r="U7" i="41"/>
  <c r="J92" i="41"/>
  <c r="AG6" i="40"/>
  <c r="U5" i="40"/>
  <c r="Y92" i="41"/>
  <c r="D108" i="40"/>
  <c r="AI100" i="41"/>
  <c r="AH100" i="41"/>
  <c r="R7" i="41"/>
  <c r="B91" i="41"/>
  <c r="AH89" i="41"/>
  <c r="AI89" i="41"/>
  <c r="T7" i="41"/>
  <c r="O7" i="41"/>
  <c r="AL249" i="41"/>
  <c r="O92" i="41"/>
  <c r="R92" i="41"/>
  <c r="Y7" i="41"/>
  <c r="AI249" i="41"/>
  <c r="AF7" i="41"/>
  <c r="AF92" i="41"/>
  <c r="AC7" i="41"/>
  <c r="AC92" i="41"/>
  <c r="AN249" i="41"/>
  <c r="P92" i="41"/>
  <c r="AH249" i="41"/>
  <c r="AA92" i="41"/>
  <c r="AA7" i="41"/>
  <c r="X7" i="41"/>
  <c r="AP249" i="41"/>
  <c r="Y249" i="41"/>
  <c r="AE249" i="41"/>
  <c r="M7" i="41"/>
  <c r="L7" i="41"/>
  <c r="AD249" i="41"/>
  <c r="AC249" i="41"/>
  <c r="K7" i="41"/>
  <c r="D7" i="41"/>
  <c r="V249" i="41"/>
  <c r="G7" i="41"/>
  <c r="W249" i="41"/>
  <c r="E7" i="41"/>
  <c r="I7" i="41"/>
  <c r="AA249" i="41"/>
  <c r="B244" i="41"/>
  <c r="C244" i="41"/>
  <c r="Z249" i="41"/>
  <c r="H92" i="41"/>
  <c r="F92" i="41"/>
  <c r="F7" i="41"/>
  <c r="U249" i="41"/>
  <c r="C7" i="41"/>
  <c r="F229" i="41"/>
  <c r="E110" i="41"/>
  <c r="E235" i="41"/>
  <c r="F270" i="41"/>
  <c r="H234" i="41"/>
  <c r="AF87" i="40"/>
  <c r="AF89" i="40" s="1"/>
  <c r="AF7" i="40" s="1"/>
  <c r="AE98" i="40"/>
  <c r="AE87" i="40"/>
  <c r="AE89" i="40" s="1"/>
  <c r="AE90" i="40" s="1"/>
  <c r="AC5" i="40"/>
  <c r="AD87" i="40"/>
  <c r="AD89" i="40" s="1"/>
  <c r="AD90" i="40" s="1"/>
  <c r="AB5" i="40"/>
  <c r="AA5" i="40"/>
  <c r="AB87" i="40"/>
  <c r="AB89" i="40" s="1"/>
  <c r="AB90" i="40" s="1"/>
  <c r="Z5" i="40"/>
  <c r="AA87" i="40"/>
  <c r="AA89" i="40" s="1"/>
  <c r="Y5" i="40"/>
  <c r="Z87" i="40"/>
  <c r="Z89" i="40" s="1"/>
  <c r="Z7" i="40" s="1"/>
  <c r="X5" i="40"/>
  <c r="Y87" i="40"/>
  <c r="Y89" i="40" s="1"/>
  <c r="AQ247" i="40" s="1"/>
  <c r="X87" i="40"/>
  <c r="X89" i="40" s="1"/>
  <c r="X90" i="40" s="1"/>
  <c r="W87" i="40"/>
  <c r="W89" i="40" s="1"/>
  <c r="W90" i="40" s="1"/>
  <c r="V87" i="40"/>
  <c r="V89" i="40" s="1"/>
  <c r="V90" i="40" s="1"/>
  <c r="T5" i="40"/>
  <c r="U87" i="40"/>
  <c r="U89" i="40" s="1"/>
  <c r="U7" i="40" s="1"/>
  <c r="T87" i="40"/>
  <c r="T89" i="40" s="1"/>
  <c r="T90" i="40" s="1"/>
  <c r="R5" i="40"/>
  <c r="S87" i="40"/>
  <c r="S89" i="40" s="1"/>
  <c r="Q5" i="40"/>
  <c r="R87" i="40"/>
  <c r="R89" i="40" s="1"/>
  <c r="R90" i="40" s="1"/>
  <c r="Q87" i="40"/>
  <c r="Q89" i="40" s="1"/>
  <c r="Q7" i="40" s="1"/>
  <c r="P87" i="40"/>
  <c r="P89" i="40" s="1"/>
  <c r="N5" i="40"/>
  <c r="O87" i="40"/>
  <c r="O89" i="40" s="1"/>
  <c r="O7" i="40" s="1"/>
  <c r="M5" i="40"/>
  <c r="L5" i="40"/>
  <c r="AI70" i="40"/>
  <c r="N87" i="40"/>
  <c r="N89" i="40" s="1"/>
  <c r="N90" i="40" s="1"/>
  <c r="M87" i="40"/>
  <c r="M89" i="40" s="1"/>
  <c r="M7" i="40" s="1"/>
  <c r="K5" i="40"/>
  <c r="L87" i="40"/>
  <c r="L89" i="40" s="1"/>
  <c r="L90" i="40" s="1"/>
  <c r="J5" i="40"/>
  <c r="J87" i="40"/>
  <c r="J89" i="40" s="1"/>
  <c r="K87" i="40"/>
  <c r="K89" i="40" s="1"/>
  <c r="H5" i="40"/>
  <c r="F5" i="40"/>
  <c r="F87" i="40"/>
  <c r="F89" i="40" s="1"/>
  <c r="F7" i="40" s="1"/>
  <c r="E5" i="40"/>
  <c r="G87" i="40"/>
  <c r="G89" i="40" s="1"/>
  <c r="G7" i="40" s="1"/>
  <c r="H87" i="40"/>
  <c r="H89" i="40" s="1"/>
  <c r="H7" i="40" s="1"/>
  <c r="I87" i="40"/>
  <c r="I89" i="40" s="1"/>
  <c r="AA247" i="40" s="1"/>
  <c r="D5" i="40"/>
  <c r="E87" i="40"/>
  <c r="E89" i="40" s="1"/>
  <c r="E7" i="40" s="1"/>
  <c r="C5" i="40"/>
  <c r="AH66" i="40"/>
  <c r="D87" i="40"/>
  <c r="D89" i="40" s="1"/>
  <c r="V247" i="40" s="1"/>
  <c r="AI52" i="40"/>
  <c r="B5" i="40"/>
  <c r="C87" i="40"/>
  <c r="C89" i="40" s="1"/>
  <c r="C7" i="40" s="1"/>
  <c r="AB7" i="40"/>
  <c r="AT247" i="40"/>
  <c r="AM247" i="40"/>
  <c r="AC7" i="40"/>
  <c r="AU247" i="40"/>
  <c r="AC90" i="40"/>
  <c r="N7" i="40"/>
  <c r="V7" i="40"/>
  <c r="AN247" i="40"/>
  <c r="AD7" i="40"/>
  <c r="AV247" i="40"/>
  <c r="AG89" i="40"/>
  <c r="AO247" i="40"/>
  <c r="AW247" i="40"/>
  <c r="P90" i="40"/>
  <c r="P7" i="40"/>
  <c r="AH247" i="40"/>
  <c r="F227" i="40"/>
  <c r="E108" i="40"/>
  <c r="E233" i="40"/>
  <c r="AG247" i="40"/>
  <c r="O90" i="40"/>
  <c r="H90" i="40"/>
  <c r="Q90" i="40"/>
  <c r="AI247" i="40"/>
  <c r="Y7" i="40"/>
  <c r="AG87" i="40"/>
  <c r="D90" i="40"/>
  <c r="D7" i="40"/>
  <c r="J230" i="40"/>
  <c r="K230" i="40" s="1"/>
  <c r="L230" i="40" s="1"/>
  <c r="M230" i="40" s="1"/>
  <c r="N230" i="40" s="1"/>
  <c r="O230" i="40" s="1"/>
  <c r="P230" i="40" s="1"/>
  <c r="J90" i="40"/>
  <c r="J7" i="40"/>
  <c r="AB247" i="40"/>
  <c r="R7" i="40"/>
  <c r="AJ247" i="40"/>
  <c r="Z90" i="40"/>
  <c r="AR247" i="40"/>
  <c r="Y247" i="40"/>
  <c r="C90" i="40"/>
  <c r="K90" i="40"/>
  <c r="K7" i="40"/>
  <c r="AC247" i="40"/>
  <c r="S90" i="40"/>
  <c r="S7" i="40"/>
  <c r="AK247" i="40"/>
  <c r="AA90" i="40"/>
  <c r="AA7" i="40"/>
  <c r="AS247" i="40"/>
  <c r="T7" i="40"/>
  <c r="AL247" i="40"/>
  <c r="AH70" i="40"/>
  <c r="D244" i="40"/>
  <c r="AI66" i="40"/>
  <c r="H98" i="40"/>
  <c r="P98" i="40"/>
  <c r="X98" i="40"/>
  <c r="AF98" i="40"/>
  <c r="F232" i="40"/>
  <c r="AH82" i="40"/>
  <c r="AH48" i="40"/>
  <c r="AH52" i="40"/>
  <c r="AI82" i="40"/>
  <c r="AI48" i="40"/>
  <c r="B233" i="40"/>
  <c r="AH117" i="39"/>
  <c r="AI117" i="39"/>
  <c r="AF272" i="39"/>
  <c r="AE272" i="39"/>
  <c r="AD272" i="39"/>
  <c r="AC272" i="39"/>
  <c r="AB272" i="39"/>
  <c r="AA272" i="39"/>
  <c r="Z272" i="39"/>
  <c r="Y272" i="39"/>
  <c r="X272" i="39"/>
  <c r="W272" i="39"/>
  <c r="V272" i="39"/>
  <c r="U272" i="39"/>
  <c r="T272" i="39"/>
  <c r="S272" i="39"/>
  <c r="R272" i="39"/>
  <c r="Q272" i="39"/>
  <c r="P272" i="39"/>
  <c r="O272" i="39"/>
  <c r="N272" i="39"/>
  <c r="M272" i="39"/>
  <c r="L272" i="39"/>
  <c r="K272" i="39"/>
  <c r="J272" i="39"/>
  <c r="I272" i="39"/>
  <c r="H272" i="39"/>
  <c r="G272" i="39"/>
  <c r="F272" i="39"/>
  <c r="E272" i="39"/>
  <c r="D272" i="39"/>
  <c r="C272" i="39"/>
  <c r="B272" i="39"/>
  <c r="A272" i="39"/>
  <c r="AF271" i="39"/>
  <c r="AE271" i="39"/>
  <c r="AD271" i="39"/>
  <c r="AC271" i="39"/>
  <c r="AB271" i="39"/>
  <c r="AA271" i="39"/>
  <c r="Z271" i="39"/>
  <c r="Y271" i="39"/>
  <c r="X271" i="39"/>
  <c r="W271" i="39"/>
  <c r="V271" i="39"/>
  <c r="U271" i="39"/>
  <c r="T271" i="39"/>
  <c r="S271" i="39"/>
  <c r="R271" i="39"/>
  <c r="Q271" i="39"/>
  <c r="P271" i="39"/>
  <c r="O271" i="39"/>
  <c r="N271" i="39"/>
  <c r="M271" i="39"/>
  <c r="L271" i="39"/>
  <c r="K271" i="39"/>
  <c r="J271" i="39"/>
  <c r="I271" i="39"/>
  <c r="H271" i="39"/>
  <c r="G271" i="39"/>
  <c r="F271" i="39"/>
  <c r="E271" i="39"/>
  <c r="D271" i="39"/>
  <c r="C271" i="39"/>
  <c r="B271" i="39"/>
  <c r="A271" i="39"/>
  <c r="AF270" i="39"/>
  <c r="AE270" i="39"/>
  <c r="AD270" i="39"/>
  <c r="AC270" i="39"/>
  <c r="AB270" i="39"/>
  <c r="AA270" i="39"/>
  <c r="Z270" i="39"/>
  <c r="Y270" i="39"/>
  <c r="X270" i="39"/>
  <c r="W270" i="39"/>
  <c r="V270" i="39"/>
  <c r="U270" i="39"/>
  <c r="T270" i="39"/>
  <c r="S270" i="39"/>
  <c r="R270" i="39"/>
  <c r="Q270" i="39"/>
  <c r="P270" i="39"/>
  <c r="O270" i="39"/>
  <c r="N270" i="39"/>
  <c r="M270" i="39"/>
  <c r="L270" i="39"/>
  <c r="K270" i="39"/>
  <c r="J270" i="39"/>
  <c r="I270" i="39"/>
  <c r="H270" i="39"/>
  <c r="G270" i="39"/>
  <c r="F270" i="39"/>
  <c r="E270" i="39"/>
  <c r="D270" i="39"/>
  <c r="C270" i="39"/>
  <c r="B270" i="39"/>
  <c r="A270" i="39"/>
  <c r="AF269" i="39"/>
  <c r="AE269" i="39"/>
  <c r="AD269" i="39"/>
  <c r="AC269" i="39"/>
  <c r="AB269" i="39"/>
  <c r="AA269" i="39"/>
  <c r="Z269" i="39"/>
  <c r="Y269" i="39"/>
  <c r="X269" i="39"/>
  <c r="W269" i="39"/>
  <c r="V269" i="39"/>
  <c r="U269" i="39"/>
  <c r="T269" i="39"/>
  <c r="S269" i="39"/>
  <c r="R269" i="39"/>
  <c r="Q269" i="39"/>
  <c r="P269" i="39"/>
  <c r="O269" i="39"/>
  <c r="N269" i="39"/>
  <c r="M269" i="39"/>
  <c r="L269" i="39"/>
  <c r="K269" i="39"/>
  <c r="J269" i="39"/>
  <c r="I269" i="39"/>
  <c r="H269" i="39"/>
  <c r="G269" i="39"/>
  <c r="F269" i="39"/>
  <c r="E269" i="39"/>
  <c r="D269" i="39"/>
  <c r="C269" i="39"/>
  <c r="B269" i="39"/>
  <c r="A269" i="39"/>
  <c r="AE268" i="39"/>
  <c r="AD268" i="39"/>
  <c r="AC268" i="39"/>
  <c r="AB268" i="39"/>
  <c r="AA268" i="39"/>
  <c r="Z268" i="39"/>
  <c r="Y268" i="39"/>
  <c r="X268" i="39"/>
  <c r="W268" i="39"/>
  <c r="V268" i="39"/>
  <c r="U268" i="39"/>
  <c r="T268" i="39"/>
  <c r="S268" i="39"/>
  <c r="R268" i="39"/>
  <c r="Q268" i="39"/>
  <c r="P268" i="39"/>
  <c r="B268" i="39"/>
  <c r="S243" i="39"/>
  <c r="AG233" i="39"/>
  <c r="AG65" i="39" s="1"/>
  <c r="AG66" i="39" s="1"/>
  <c r="AG3" i="39" s="1"/>
  <c r="AF233" i="39"/>
  <c r="AE233" i="39"/>
  <c r="AD233" i="39"/>
  <c r="AC233" i="39"/>
  <c r="AB233" i="39"/>
  <c r="AA233" i="39"/>
  <c r="Z233" i="39"/>
  <c r="Y233" i="39"/>
  <c r="X233" i="39"/>
  <c r="W233" i="39"/>
  <c r="V233" i="39"/>
  <c r="U233" i="39"/>
  <c r="T233" i="39"/>
  <c r="S233" i="39"/>
  <c r="R233" i="39"/>
  <c r="Q233" i="39"/>
  <c r="C233" i="39"/>
  <c r="D232" i="39"/>
  <c r="E232" i="39" s="1"/>
  <c r="B232" i="39"/>
  <c r="AF268" i="39" s="1"/>
  <c r="D231" i="39"/>
  <c r="E231" i="39" s="1"/>
  <c r="F231" i="39" s="1"/>
  <c r="G231" i="39" s="1"/>
  <c r="H231" i="39" s="1"/>
  <c r="I231" i="39" s="1"/>
  <c r="J231" i="39" s="1"/>
  <c r="K231" i="39" s="1"/>
  <c r="L231" i="39" s="1"/>
  <c r="M231" i="39" s="1"/>
  <c r="N231" i="39" s="1"/>
  <c r="O231" i="39" s="1"/>
  <c r="P231" i="39" s="1"/>
  <c r="B231" i="39"/>
  <c r="D230" i="39"/>
  <c r="E230" i="39" s="1"/>
  <c r="F230" i="39" s="1"/>
  <c r="G230" i="39" s="1"/>
  <c r="H230" i="39" s="1"/>
  <c r="I230" i="39" s="1"/>
  <c r="B230" i="39"/>
  <c r="D229" i="39"/>
  <c r="E229" i="39" s="1"/>
  <c r="F229" i="39" s="1"/>
  <c r="G229" i="39" s="1"/>
  <c r="H229" i="39" s="1"/>
  <c r="B229" i="39"/>
  <c r="D228" i="39"/>
  <c r="E228" i="39" s="1"/>
  <c r="F228" i="39" s="1"/>
  <c r="G228" i="39" s="1"/>
  <c r="H228" i="39" s="1"/>
  <c r="I228" i="39" s="1"/>
  <c r="J228" i="39" s="1"/>
  <c r="K228" i="39" s="1"/>
  <c r="L228" i="39" s="1"/>
  <c r="M228" i="39" s="1"/>
  <c r="N228" i="39" s="1"/>
  <c r="O228" i="39" s="1"/>
  <c r="P228" i="39" s="1"/>
  <c r="B228" i="39"/>
  <c r="D227" i="39"/>
  <c r="B227" i="39"/>
  <c r="AG225" i="39"/>
  <c r="AF225" i="39"/>
  <c r="AE225" i="39"/>
  <c r="AD225" i="39"/>
  <c r="AC225" i="39"/>
  <c r="AB225" i="39"/>
  <c r="AA225" i="39"/>
  <c r="Z225" i="39"/>
  <c r="Y225" i="39"/>
  <c r="X225" i="39"/>
  <c r="W225" i="39"/>
  <c r="V225" i="39"/>
  <c r="U225" i="39"/>
  <c r="T225" i="39"/>
  <c r="S225" i="39"/>
  <c r="R225" i="39"/>
  <c r="Q225" i="39"/>
  <c r="P225" i="39"/>
  <c r="O225" i="39"/>
  <c r="N225" i="39"/>
  <c r="M225" i="39"/>
  <c r="L225" i="39"/>
  <c r="K225" i="39"/>
  <c r="J225" i="39"/>
  <c r="I225" i="39"/>
  <c r="H225" i="39"/>
  <c r="G225" i="39"/>
  <c r="F225" i="39"/>
  <c r="E225" i="39"/>
  <c r="D225" i="39"/>
  <c r="C225" i="39"/>
  <c r="B225" i="39"/>
  <c r="AI118" i="39"/>
  <c r="AH118" i="39"/>
  <c r="AI116" i="39"/>
  <c r="AH116" i="39"/>
  <c r="AI115" i="39"/>
  <c r="AH115" i="39"/>
  <c r="AI114" i="39"/>
  <c r="AH114" i="39"/>
  <c r="AI113" i="39"/>
  <c r="AH113" i="39"/>
  <c r="AI112" i="39"/>
  <c r="AH112" i="39"/>
  <c r="AI111" i="39"/>
  <c r="AH111" i="39"/>
  <c r="AI110" i="39"/>
  <c r="AH110" i="39"/>
  <c r="AI109" i="39"/>
  <c r="AH109" i="39"/>
  <c r="AF108" i="39"/>
  <c r="AE108" i="39"/>
  <c r="AD108" i="39"/>
  <c r="AC108" i="39"/>
  <c r="AB108" i="39"/>
  <c r="AA108" i="39"/>
  <c r="Z108" i="39"/>
  <c r="Y108" i="39"/>
  <c r="X108" i="39"/>
  <c r="W108" i="39"/>
  <c r="V108" i="39"/>
  <c r="U108" i="39"/>
  <c r="T108" i="39"/>
  <c r="S108" i="39"/>
  <c r="R108" i="39"/>
  <c r="Q108" i="39"/>
  <c r="C108" i="39"/>
  <c r="AI107" i="39"/>
  <c r="AH107" i="39"/>
  <c r="AI106" i="39"/>
  <c r="AH106" i="39"/>
  <c r="AI105" i="39"/>
  <c r="AH105" i="39"/>
  <c r="AI104" i="39"/>
  <c r="AH104" i="39"/>
  <c r="AI103" i="39"/>
  <c r="AH103" i="39"/>
  <c r="AI102" i="39"/>
  <c r="AH102" i="39"/>
  <c r="AI101" i="39"/>
  <c r="AH101" i="39"/>
  <c r="AI100" i="39"/>
  <c r="AH100" i="39"/>
  <c r="AI99" i="39"/>
  <c r="AH99" i="39"/>
  <c r="AI97" i="39"/>
  <c r="AH97" i="39"/>
  <c r="AI96" i="39"/>
  <c r="AH96" i="39"/>
  <c r="AI95" i="39"/>
  <c r="AH95" i="39"/>
  <c r="AI94" i="39"/>
  <c r="AH94" i="39"/>
  <c r="AI93" i="39"/>
  <c r="AH93" i="39"/>
  <c r="AI92" i="39"/>
  <c r="AH92" i="39"/>
  <c r="AI91" i="39"/>
  <c r="AH91" i="39"/>
  <c r="AI88" i="39"/>
  <c r="AH88" i="39"/>
  <c r="AI86" i="39"/>
  <c r="AH86" i="39"/>
  <c r="AG86" i="39"/>
  <c r="AI85" i="39"/>
  <c r="AH85" i="39"/>
  <c r="AI84" i="39"/>
  <c r="AH84" i="39"/>
  <c r="AI83" i="39"/>
  <c r="AH83" i="39"/>
  <c r="AN82" i="39"/>
  <c r="AG82" i="39"/>
  <c r="AF82" i="39"/>
  <c r="AE5" i="39" s="1"/>
  <c r="AE82" i="39"/>
  <c r="AD5" i="39" s="1"/>
  <c r="AD82" i="39"/>
  <c r="AD98" i="39" s="1"/>
  <c r="AC82" i="39"/>
  <c r="AC98" i="39" s="1"/>
  <c r="AB82" i="39"/>
  <c r="AB98" i="39" s="1"/>
  <c r="AA82" i="39"/>
  <c r="AA98" i="39" s="1"/>
  <c r="Z82" i="39"/>
  <c r="Z98" i="39" s="1"/>
  <c r="Y82" i="39"/>
  <c r="X5" i="39" s="1"/>
  <c r="X82" i="39"/>
  <c r="W5" i="39" s="1"/>
  <c r="W82" i="39"/>
  <c r="V5" i="39" s="1"/>
  <c r="V82" i="39"/>
  <c r="V98" i="39" s="1"/>
  <c r="U82" i="39"/>
  <c r="U98" i="39" s="1"/>
  <c r="T82" i="39"/>
  <c r="T98" i="39" s="1"/>
  <c r="S82" i="39"/>
  <c r="S98" i="39" s="1"/>
  <c r="R82" i="39"/>
  <c r="R98" i="39" s="1"/>
  <c r="Q82" i="39"/>
  <c r="Q98" i="39" s="1"/>
  <c r="P82" i="39"/>
  <c r="O5" i="39" s="1"/>
  <c r="O82" i="39"/>
  <c r="N5" i="39" s="1"/>
  <c r="N82" i="39"/>
  <c r="N98" i="39" s="1"/>
  <c r="M82" i="39"/>
  <c r="M98" i="39" s="1"/>
  <c r="L82" i="39"/>
  <c r="L98" i="39" s="1"/>
  <c r="K82" i="39"/>
  <c r="K98" i="39" s="1"/>
  <c r="J82" i="39"/>
  <c r="J98" i="39" s="1"/>
  <c r="I82" i="39"/>
  <c r="I98" i="39" s="1"/>
  <c r="H82" i="39"/>
  <c r="G5" i="39" s="1"/>
  <c r="G82" i="39"/>
  <c r="F5" i="39" s="1"/>
  <c r="F82" i="39"/>
  <c r="F98" i="39" s="1"/>
  <c r="E82" i="39"/>
  <c r="D5" i="39" s="1"/>
  <c r="D82" i="39"/>
  <c r="D98" i="39" s="1"/>
  <c r="C82" i="39"/>
  <c r="C98" i="39" s="1"/>
  <c r="B82" i="39"/>
  <c r="B98" i="39" s="1"/>
  <c r="AI81" i="39"/>
  <c r="AH81" i="39"/>
  <c r="AN80" i="39"/>
  <c r="AI80" i="39"/>
  <c r="AH80" i="39"/>
  <c r="AN79" i="39"/>
  <c r="AN81" i="39" s="1"/>
  <c r="AI79" i="39"/>
  <c r="AH79" i="39"/>
  <c r="AI78" i="39"/>
  <c r="AH78" i="39"/>
  <c r="AI77" i="39"/>
  <c r="AH77" i="39"/>
  <c r="AI76" i="39"/>
  <c r="AH76" i="39"/>
  <c r="AI75" i="39"/>
  <c r="AH75" i="39"/>
  <c r="AI74" i="39"/>
  <c r="AH74" i="39"/>
  <c r="AI73" i="39"/>
  <c r="AH73" i="39"/>
  <c r="AI72" i="39"/>
  <c r="AH72" i="39"/>
  <c r="AI71" i="39"/>
  <c r="AH71" i="39"/>
  <c r="AG70" i="39"/>
  <c r="AG4" i="39" s="1"/>
  <c r="AF70" i="39"/>
  <c r="AE70" i="39"/>
  <c r="AD70" i="39"/>
  <c r="AC70" i="39"/>
  <c r="AB70" i="39"/>
  <c r="AA70" i="39"/>
  <c r="Z70" i="39"/>
  <c r="Y70" i="39"/>
  <c r="X70" i="39"/>
  <c r="W70" i="39"/>
  <c r="V70" i="39"/>
  <c r="U70" i="39"/>
  <c r="T70" i="39"/>
  <c r="S70" i="39"/>
  <c r="R70" i="39"/>
  <c r="Q70" i="39"/>
  <c r="P70" i="39"/>
  <c r="O70" i="39"/>
  <c r="N70" i="39"/>
  <c r="M70" i="39"/>
  <c r="L70" i="39"/>
  <c r="B70" i="39"/>
  <c r="AI69" i="39"/>
  <c r="AH69" i="39"/>
  <c r="AI68" i="39"/>
  <c r="AH68" i="39"/>
  <c r="AI67" i="39"/>
  <c r="AH67" i="39"/>
  <c r="AF66" i="39"/>
  <c r="AE66" i="39"/>
  <c r="AD66" i="39"/>
  <c r="AC66" i="39"/>
  <c r="AB66" i="39"/>
  <c r="AA66" i="39"/>
  <c r="Z66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AI65" i="39"/>
  <c r="AH65" i="39"/>
  <c r="AI64" i="39"/>
  <c r="AH64" i="39"/>
  <c r="AI63" i="39"/>
  <c r="AH63" i="39"/>
  <c r="AI62" i="39"/>
  <c r="AH62" i="39"/>
  <c r="AI61" i="39"/>
  <c r="AH61" i="39"/>
  <c r="AI60" i="39"/>
  <c r="AH60" i="39"/>
  <c r="AI59" i="39"/>
  <c r="AH59" i="39"/>
  <c r="AI58" i="39"/>
  <c r="AH58" i="39"/>
  <c r="AI57" i="39"/>
  <c r="AH57" i="39"/>
  <c r="AI56" i="39"/>
  <c r="AH56" i="39"/>
  <c r="AI55" i="39"/>
  <c r="AH55" i="39"/>
  <c r="AI54" i="39"/>
  <c r="AH54" i="39"/>
  <c r="AI53" i="39"/>
  <c r="AH53" i="39"/>
  <c r="AG52" i="39"/>
  <c r="AF52" i="39"/>
  <c r="AE52" i="39"/>
  <c r="AD52" i="39"/>
  <c r="AC52" i="39"/>
  <c r="AB52" i="39"/>
  <c r="AA52" i="39"/>
  <c r="Z52" i="39"/>
  <c r="Y52" i="39"/>
  <c r="X52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AI51" i="39"/>
  <c r="AH51" i="39"/>
  <c r="AI50" i="39"/>
  <c r="AH50" i="39"/>
  <c r="AI49" i="39"/>
  <c r="AH49" i="39"/>
  <c r="AG48" i="39"/>
  <c r="AF48" i="39"/>
  <c r="AE48" i="39"/>
  <c r="AD48" i="39"/>
  <c r="AC48" i="39"/>
  <c r="AB48" i="39"/>
  <c r="AA48" i="39"/>
  <c r="Z48" i="39"/>
  <c r="Y48" i="39"/>
  <c r="X48" i="39"/>
  <c r="W48" i="39"/>
  <c r="V48" i="39"/>
  <c r="U48" i="39"/>
  <c r="T48" i="39"/>
  <c r="S48" i="39"/>
  <c r="R48" i="39"/>
  <c r="Q48" i="39"/>
  <c r="P48" i="39"/>
  <c r="O48" i="39"/>
  <c r="N48" i="39"/>
  <c r="M48" i="39"/>
  <c r="L48" i="39"/>
  <c r="K48" i="39"/>
  <c r="J48" i="39"/>
  <c r="I48" i="39"/>
  <c r="H48" i="39"/>
  <c r="G48" i="39"/>
  <c r="F48" i="39"/>
  <c r="E48" i="39"/>
  <c r="D48" i="39"/>
  <c r="C48" i="39"/>
  <c r="B48" i="39"/>
  <c r="AI47" i="39"/>
  <c r="AH47" i="39"/>
  <c r="AI46" i="39"/>
  <c r="AH46" i="39"/>
  <c r="AI45" i="39"/>
  <c r="AH45" i="39"/>
  <c r="AI44" i="39"/>
  <c r="AH44" i="39"/>
  <c r="AI43" i="39"/>
  <c r="AH43" i="39"/>
  <c r="AI42" i="39"/>
  <c r="AH42" i="39"/>
  <c r="AI41" i="39"/>
  <c r="AH41" i="39"/>
  <c r="AI40" i="39"/>
  <c r="AH40" i="39"/>
  <c r="AI39" i="39"/>
  <c r="AH39" i="39"/>
  <c r="AI38" i="39"/>
  <c r="AH38" i="39"/>
  <c r="AI37" i="39"/>
  <c r="AH37" i="39"/>
  <c r="AI36" i="39"/>
  <c r="AH36" i="39"/>
  <c r="AI35" i="39"/>
  <c r="AH35" i="39"/>
  <c r="AI34" i="39"/>
  <c r="AH34" i="39"/>
  <c r="AI33" i="39"/>
  <c r="AH33" i="39"/>
  <c r="AI32" i="39"/>
  <c r="AH32" i="39"/>
  <c r="AI31" i="39"/>
  <c r="AH31" i="39"/>
  <c r="AI30" i="39"/>
  <c r="AH30" i="39"/>
  <c r="AI29" i="39"/>
  <c r="AH29" i="39"/>
  <c r="AI28" i="39"/>
  <c r="AH28" i="39"/>
  <c r="AI27" i="39"/>
  <c r="AH27" i="39"/>
  <c r="AI26" i="39"/>
  <c r="AH26" i="39"/>
  <c r="AI25" i="39"/>
  <c r="AH25" i="39"/>
  <c r="AI24" i="39"/>
  <c r="AH24" i="39"/>
  <c r="AI23" i="39"/>
  <c r="AH23" i="39"/>
  <c r="AI22" i="39"/>
  <c r="AH22" i="39"/>
  <c r="AI21" i="39"/>
  <c r="AH21" i="39"/>
  <c r="AI20" i="39"/>
  <c r="AH20" i="39"/>
  <c r="AI19" i="39"/>
  <c r="AH19" i="39"/>
  <c r="AI18" i="39"/>
  <c r="AH18" i="39"/>
  <c r="AI17" i="39"/>
  <c r="AH17" i="39"/>
  <c r="AI16" i="39"/>
  <c r="AH16" i="39"/>
  <c r="AI15" i="39"/>
  <c r="AH15" i="39"/>
  <c r="AI14" i="39"/>
  <c r="AH14" i="39"/>
  <c r="AI13" i="39"/>
  <c r="AH13" i="39"/>
  <c r="AI12" i="39"/>
  <c r="AH12" i="39"/>
  <c r="AI11" i="39"/>
  <c r="AH11" i="39"/>
  <c r="K4" i="39"/>
  <c r="E4" i="39"/>
  <c r="H4" i="39" s="1"/>
  <c r="B4" i="39"/>
  <c r="S244" i="39" s="1"/>
  <c r="X7" i="40" l="1"/>
  <c r="B92" i="41"/>
  <c r="AI91" i="41"/>
  <c r="AH91" i="41"/>
  <c r="AD247" i="40"/>
  <c r="T249" i="41"/>
  <c r="L7" i="40"/>
  <c r="AE7" i="40"/>
  <c r="B7" i="41"/>
  <c r="B233" i="39"/>
  <c r="U90" i="40"/>
  <c r="D233" i="39"/>
  <c r="AP247" i="40"/>
  <c r="W7" i="40"/>
  <c r="E90" i="40"/>
  <c r="K6" i="41"/>
  <c r="AF90" i="40"/>
  <c r="AX247" i="40"/>
  <c r="A7" i="41"/>
  <c r="G229" i="41"/>
  <c r="F235" i="41"/>
  <c r="F110" i="41"/>
  <c r="G270" i="41"/>
  <c r="I234" i="41"/>
  <c r="Y90" i="40"/>
  <c r="AI98" i="40"/>
  <c r="AF247" i="40"/>
  <c r="M90" i="40"/>
  <c r="AE247" i="40"/>
  <c r="X247" i="40"/>
  <c r="F90" i="40"/>
  <c r="G90" i="40"/>
  <c r="C242" i="40"/>
  <c r="B242" i="40"/>
  <c r="I90" i="40"/>
  <c r="Z247" i="40"/>
  <c r="I7" i="40"/>
  <c r="AH87" i="40"/>
  <c r="W247" i="40"/>
  <c r="AI87" i="40"/>
  <c r="U247" i="40"/>
  <c r="AI89" i="40"/>
  <c r="AH89" i="40"/>
  <c r="B7" i="40"/>
  <c r="T247" i="40"/>
  <c r="AH98" i="40"/>
  <c r="E268" i="40"/>
  <c r="G232" i="40"/>
  <c r="G227" i="40"/>
  <c r="F108" i="40"/>
  <c r="F233" i="40"/>
  <c r="AF98" i="39"/>
  <c r="AC5" i="39"/>
  <c r="AD87" i="39"/>
  <c r="AD89" i="39" s="1"/>
  <c r="AV247" i="39" s="1"/>
  <c r="AB5" i="39"/>
  <c r="AC87" i="39"/>
  <c r="AC89" i="39" s="1"/>
  <c r="AC90" i="39" s="1"/>
  <c r="AA5" i="39"/>
  <c r="W87" i="39"/>
  <c r="W89" i="39" s="1"/>
  <c r="U5" i="39"/>
  <c r="V87" i="39"/>
  <c r="V89" i="39" s="1"/>
  <c r="V7" i="39" s="1"/>
  <c r="T5" i="39"/>
  <c r="U87" i="39"/>
  <c r="U89" i="39" s="1"/>
  <c r="AM247" i="39" s="1"/>
  <c r="S5" i="39"/>
  <c r="F232" i="39"/>
  <c r="F108" i="39" s="1"/>
  <c r="D268" i="39"/>
  <c r="C268" i="39"/>
  <c r="AE87" i="39"/>
  <c r="AE89" i="39" s="1"/>
  <c r="AE7" i="39" s="1"/>
  <c r="S87" i="39"/>
  <c r="S89" i="39" s="1"/>
  <c r="AK247" i="39" s="1"/>
  <c r="E227" i="39"/>
  <c r="F227" i="39" s="1"/>
  <c r="F233" i="39" s="1"/>
  <c r="X87" i="39"/>
  <c r="X89" i="39" s="1"/>
  <c r="X7" i="39" s="1"/>
  <c r="AF87" i="39"/>
  <c r="AF89" i="39" s="1"/>
  <c r="AF7" i="39" s="1"/>
  <c r="T87" i="39"/>
  <c r="T89" i="39" s="1"/>
  <c r="T90" i="39" s="1"/>
  <c r="AB87" i="39"/>
  <c r="AB89" i="39" s="1"/>
  <c r="AB7" i="39" s="1"/>
  <c r="B108" i="39"/>
  <c r="Y87" i="39"/>
  <c r="Y89" i="39" s="1"/>
  <c r="Y90" i="39" s="1"/>
  <c r="AG87" i="39"/>
  <c r="R87" i="39"/>
  <c r="R89" i="39" s="1"/>
  <c r="R7" i="39" s="1"/>
  <c r="Z87" i="39"/>
  <c r="Z89" i="39" s="1"/>
  <c r="X98" i="39"/>
  <c r="D108" i="39"/>
  <c r="Y98" i="39"/>
  <c r="AA87" i="39"/>
  <c r="AA89" i="39" s="1"/>
  <c r="AA90" i="39" s="1"/>
  <c r="P5" i="39"/>
  <c r="Q87" i="39"/>
  <c r="Q89" i="39" s="1"/>
  <c r="Q90" i="39" s="1"/>
  <c r="P98" i="39"/>
  <c r="P87" i="39"/>
  <c r="P89" i="39" s="1"/>
  <c r="P7" i="39" s="1"/>
  <c r="O87" i="39"/>
  <c r="O89" i="39" s="1"/>
  <c r="O7" i="39" s="1"/>
  <c r="M5" i="39"/>
  <c r="AI70" i="39"/>
  <c r="N87" i="39"/>
  <c r="N89" i="39" s="1"/>
  <c r="N90" i="39" s="1"/>
  <c r="L5" i="39"/>
  <c r="M87" i="39"/>
  <c r="M89" i="39" s="1"/>
  <c r="M7" i="39" s="1"/>
  <c r="K5" i="39"/>
  <c r="L87" i="39"/>
  <c r="L89" i="39" s="1"/>
  <c r="AD247" i="39" s="1"/>
  <c r="K87" i="39"/>
  <c r="K89" i="39" s="1"/>
  <c r="K90" i="39" s="1"/>
  <c r="J87" i="39"/>
  <c r="J89" i="39" s="1"/>
  <c r="H5" i="39"/>
  <c r="I87" i="39"/>
  <c r="I89" i="39" s="1"/>
  <c r="AA247" i="39" s="1"/>
  <c r="H98" i="39"/>
  <c r="G87" i="39"/>
  <c r="G89" i="39" s="1"/>
  <c r="G90" i="39" s="1"/>
  <c r="H87" i="39"/>
  <c r="H89" i="39" s="1"/>
  <c r="Z247" i="39" s="1"/>
  <c r="E5" i="39"/>
  <c r="F87" i="39"/>
  <c r="F89" i="39" s="1"/>
  <c r="F90" i="39" s="1"/>
  <c r="E98" i="39"/>
  <c r="E87" i="39"/>
  <c r="E89" i="39" s="1"/>
  <c r="E7" i="39" s="1"/>
  <c r="C5" i="39"/>
  <c r="AH66" i="39"/>
  <c r="D87" i="39"/>
  <c r="D89" i="39" s="1"/>
  <c r="D90" i="39" s="1"/>
  <c r="AH52" i="39"/>
  <c r="AI66" i="39"/>
  <c r="B87" i="39"/>
  <c r="B89" i="39" s="1"/>
  <c r="S90" i="39"/>
  <c r="AD90" i="39"/>
  <c r="J230" i="39"/>
  <c r="K230" i="39" s="1"/>
  <c r="L230" i="39" s="1"/>
  <c r="M230" i="39" s="1"/>
  <c r="N230" i="39" s="1"/>
  <c r="O230" i="39" s="1"/>
  <c r="P230" i="39" s="1"/>
  <c r="L90" i="39"/>
  <c r="AF90" i="39"/>
  <c r="Y7" i="39"/>
  <c r="Y247" i="39"/>
  <c r="X90" i="39"/>
  <c r="AF247" i="39"/>
  <c r="N7" i="39"/>
  <c r="AN247" i="39"/>
  <c r="V90" i="39"/>
  <c r="G227" i="39"/>
  <c r="Z7" i="39"/>
  <c r="Z90" i="39"/>
  <c r="AR247" i="39"/>
  <c r="U7" i="39"/>
  <c r="U90" i="39"/>
  <c r="AC7" i="39"/>
  <c r="AU247" i="39"/>
  <c r="AG89" i="39"/>
  <c r="AO247" i="39"/>
  <c r="W90" i="39"/>
  <c r="W7" i="39"/>
  <c r="I5" i="39"/>
  <c r="AH70" i="39"/>
  <c r="C87" i="39"/>
  <c r="C89" i="39" s="1"/>
  <c r="D244" i="39"/>
  <c r="AF5" i="39"/>
  <c r="Q5" i="39"/>
  <c r="Y5" i="39"/>
  <c r="B5" i="39"/>
  <c r="J5" i="39"/>
  <c r="R5" i="39"/>
  <c r="Z5" i="39"/>
  <c r="G98" i="39"/>
  <c r="O98" i="39"/>
  <c r="W98" i="39"/>
  <c r="AE98" i="39"/>
  <c r="AG2" i="39"/>
  <c r="AG6" i="39" s="1"/>
  <c r="E108" i="39"/>
  <c r="AH48" i="39"/>
  <c r="AI48" i="39"/>
  <c r="AI52" i="39"/>
  <c r="AH82" i="39"/>
  <c r="AI82" i="39"/>
  <c r="AH247" i="39" l="1"/>
  <c r="AQ247" i="39"/>
  <c r="AD7" i="39"/>
  <c r="AG247" i="39"/>
  <c r="P90" i="39"/>
  <c r="O90" i="39"/>
  <c r="M90" i="39"/>
  <c r="AE247" i="39"/>
  <c r="AX247" i="39"/>
  <c r="AE90" i="39"/>
  <c r="AH92" i="41"/>
  <c r="AI92" i="41"/>
  <c r="E233" i="39"/>
  <c r="AW247" i="39"/>
  <c r="H270" i="41"/>
  <c r="J234" i="41"/>
  <c r="G235" i="41"/>
  <c r="H229" i="41"/>
  <c r="G110" i="41"/>
  <c r="AI247" i="39"/>
  <c r="Q7" i="39"/>
  <c r="K6" i="40"/>
  <c r="A7" i="40"/>
  <c r="H227" i="40"/>
  <c r="G108" i="40"/>
  <c r="G233" i="40"/>
  <c r="F268" i="40"/>
  <c r="H232" i="40"/>
  <c r="AI90" i="40"/>
  <c r="AH90" i="40"/>
  <c r="AT247" i="39"/>
  <c r="AB90" i="39"/>
  <c r="AS247" i="39"/>
  <c r="AA7" i="39"/>
  <c r="AP247" i="39"/>
  <c r="T7" i="39"/>
  <c r="AL247" i="39"/>
  <c r="S7" i="39"/>
  <c r="AJ247" i="39"/>
  <c r="R90" i="39"/>
  <c r="G232" i="39"/>
  <c r="E268" i="39"/>
  <c r="E90" i="39"/>
  <c r="AH98" i="39"/>
  <c r="L7" i="39"/>
  <c r="I90" i="39"/>
  <c r="H7" i="39"/>
  <c r="H90" i="39"/>
  <c r="G7" i="39"/>
  <c r="AC247" i="39"/>
  <c r="K7" i="39"/>
  <c r="B242" i="39"/>
  <c r="AB247" i="39"/>
  <c r="J7" i="39"/>
  <c r="J90" i="39"/>
  <c r="I7" i="39"/>
  <c r="AI98" i="39"/>
  <c r="C242" i="39"/>
  <c r="X247" i="39"/>
  <c r="W247" i="39"/>
  <c r="F7" i="39"/>
  <c r="D7" i="39"/>
  <c r="V247" i="39"/>
  <c r="AI87" i="39"/>
  <c r="H227" i="39"/>
  <c r="G108" i="39"/>
  <c r="G233" i="39"/>
  <c r="AI89" i="39"/>
  <c r="B90" i="39"/>
  <c r="AH89" i="39"/>
  <c r="T247" i="39"/>
  <c r="B7" i="39"/>
  <c r="AH87" i="39"/>
  <c r="C90" i="39"/>
  <c r="C7" i="39"/>
  <c r="U247" i="39"/>
  <c r="I229" i="41" l="1"/>
  <c r="H235" i="41"/>
  <c r="H110" i="41"/>
  <c r="K234" i="41"/>
  <c r="I270" i="41"/>
  <c r="G268" i="40"/>
  <c r="I232" i="40"/>
  <c r="I227" i="40"/>
  <c r="H108" i="40"/>
  <c r="H233" i="40"/>
  <c r="H232" i="39"/>
  <c r="F268" i="39"/>
  <c r="K6" i="39"/>
  <c r="AH90" i="39"/>
  <c r="AI90" i="39"/>
  <c r="I227" i="39"/>
  <c r="H108" i="39"/>
  <c r="H233" i="39"/>
  <c r="A7" i="39"/>
  <c r="J270" i="41" l="1"/>
  <c r="L234" i="41"/>
  <c r="I110" i="41"/>
  <c r="J229" i="41"/>
  <c r="I108" i="40"/>
  <c r="J227" i="40"/>
  <c r="H268" i="40"/>
  <c r="J232" i="40"/>
  <c r="G268" i="39"/>
  <c r="I232" i="39"/>
  <c r="I108" i="39" s="1"/>
  <c r="J227" i="39"/>
  <c r="J110" i="41" l="1"/>
  <c r="K229" i="41"/>
  <c r="K270" i="41"/>
  <c r="M234" i="41"/>
  <c r="J108" i="40"/>
  <c r="K227" i="40"/>
  <c r="K232" i="40"/>
  <c r="I268" i="40"/>
  <c r="H268" i="39"/>
  <c r="J232" i="39"/>
  <c r="J108" i="39"/>
  <c r="K227" i="39"/>
  <c r="L270" i="41" l="1"/>
  <c r="N234" i="41"/>
  <c r="L229" i="41"/>
  <c r="K110" i="41"/>
  <c r="J268" i="40"/>
  <c r="L232" i="40"/>
  <c r="L227" i="40"/>
  <c r="K108" i="40"/>
  <c r="K232" i="39"/>
  <c r="I268" i="39"/>
  <c r="L227" i="39"/>
  <c r="K108" i="39"/>
  <c r="O234" i="41" l="1"/>
  <c r="M270" i="41"/>
  <c r="M229" i="41"/>
  <c r="L110" i="41"/>
  <c r="M227" i="40"/>
  <c r="L108" i="40"/>
  <c r="M232" i="40"/>
  <c r="K268" i="40"/>
  <c r="J268" i="39"/>
  <c r="L232" i="39"/>
  <c r="M227" i="39"/>
  <c r="L108" i="39"/>
  <c r="N229" i="41" l="1"/>
  <c r="M110" i="41"/>
  <c r="N270" i="41"/>
  <c r="P234" i="41"/>
  <c r="O270" i="41" s="1"/>
  <c r="L268" i="40"/>
  <c r="N232" i="40"/>
  <c r="N227" i="40"/>
  <c r="M108" i="40"/>
  <c r="K268" i="39"/>
  <c r="M232" i="39"/>
  <c r="M108" i="39" s="1"/>
  <c r="N227" i="39"/>
  <c r="O229" i="41" l="1"/>
  <c r="N110" i="41"/>
  <c r="O227" i="40"/>
  <c r="N108" i="40"/>
  <c r="M268" i="40"/>
  <c r="O232" i="40"/>
  <c r="L268" i="39"/>
  <c r="N232" i="39"/>
  <c r="O227" i="39"/>
  <c r="N108" i="39"/>
  <c r="P229" i="41" l="1"/>
  <c r="O110" i="41"/>
  <c r="N268" i="40"/>
  <c r="P232" i="40"/>
  <c r="O268" i="40" s="1"/>
  <c r="P227" i="40"/>
  <c r="O108" i="40"/>
  <c r="M268" i="39"/>
  <c r="O232" i="39"/>
  <c r="P227" i="39"/>
  <c r="O108" i="39"/>
  <c r="AI110" i="41" l="1"/>
  <c r="AH110" i="41"/>
  <c r="AI108" i="40"/>
  <c r="AH108" i="40"/>
  <c r="N268" i="39"/>
  <c r="P232" i="39"/>
  <c r="O268" i="39" s="1"/>
  <c r="AI108" i="39"/>
  <c r="AH108" i="39"/>
  <c r="Z111" i="38" l="1"/>
  <c r="Y111" i="38"/>
  <c r="X111" i="38"/>
  <c r="T111" i="38"/>
  <c r="R111" i="38"/>
  <c r="Q111" i="38"/>
  <c r="Q48" i="38"/>
  <c r="Q52" i="38"/>
  <c r="Q66" i="38"/>
  <c r="Q70" i="38"/>
  <c r="AF271" i="38" l="1"/>
  <c r="AE271" i="38"/>
  <c r="AD271" i="38"/>
  <c r="AC271" i="38"/>
  <c r="AB271" i="38"/>
  <c r="AA271" i="38"/>
  <c r="Z271" i="38"/>
  <c r="Y271" i="38"/>
  <c r="X271" i="38"/>
  <c r="W271" i="38"/>
  <c r="V271" i="38"/>
  <c r="U271" i="38"/>
  <c r="T271" i="38"/>
  <c r="S271" i="38"/>
  <c r="R271" i="38"/>
  <c r="Q271" i="38"/>
  <c r="P271" i="38"/>
  <c r="O271" i="38"/>
  <c r="N271" i="38"/>
  <c r="M271" i="38"/>
  <c r="L271" i="38"/>
  <c r="K271" i="38"/>
  <c r="J271" i="38"/>
  <c r="I271" i="38"/>
  <c r="H271" i="38"/>
  <c r="G271" i="38"/>
  <c r="F271" i="38"/>
  <c r="E271" i="38"/>
  <c r="D271" i="38"/>
  <c r="C271" i="38"/>
  <c r="B271" i="38"/>
  <c r="A271" i="38"/>
  <c r="AF270" i="38"/>
  <c r="AE270" i="38"/>
  <c r="AD270" i="38"/>
  <c r="AC270" i="38"/>
  <c r="AB270" i="38"/>
  <c r="AA270" i="38"/>
  <c r="Z270" i="38"/>
  <c r="Y270" i="38"/>
  <c r="X270" i="38"/>
  <c r="W270" i="38"/>
  <c r="V270" i="38"/>
  <c r="U270" i="38"/>
  <c r="T270" i="38"/>
  <c r="S270" i="38"/>
  <c r="R270" i="38"/>
  <c r="Q270" i="38"/>
  <c r="P270" i="38"/>
  <c r="O270" i="38"/>
  <c r="N270" i="38"/>
  <c r="M270" i="38"/>
  <c r="L270" i="38"/>
  <c r="K270" i="38"/>
  <c r="J270" i="38"/>
  <c r="I270" i="38"/>
  <c r="H270" i="38"/>
  <c r="G270" i="38"/>
  <c r="F270" i="38"/>
  <c r="E270" i="38"/>
  <c r="D270" i="38"/>
  <c r="C270" i="38"/>
  <c r="B270" i="38"/>
  <c r="A270" i="38"/>
  <c r="AF269" i="38"/>
  <c r="AE269" i="38"/>
  <c r="AD269" i="38"/>
  <c r="AC269" i="38"/>
  <c r="AB269" i="38"/>
  <c r="AA269" i="38"/>
  <c r="Z269" i="38"/>
  <c r="Y269" i="38"/>
  <c r="X269" i="38"/>
  <c r="W269" i="38"/>
  <c r="V269" i="38"/>
  <c r="U269" i="38"/>
  <c r="T269" i="38"/>
  <c r="S269" i="38"/>
  <c r="R269" i="38"/>
  <c r="Q269" i="38"/>
  <c r="P269" i="38"/>
  <c r="O269" i="38"/>
  <c r="N269" i="38"/>
  <c r="M269" i="38"/>
  <c r="L269" i="38"/>
  <c r="K269" i="38"/>
  <c r="J269" i="38"/>
  <c r="I269" i="38"/>
  <c r="H269" i="38"/>
  <c r="G269" i="38"/>
  <c r="F269" i="38"/>
  <c r="E269" i="38"/>
  <c r="D269" i="38"/>
  <c r="C269" i="38"/>
  <c r="B269" i="38"/>
  <c r="A269" i="38"/>
  <c r="AF268" i="38"/>
  <c r="AE268" i="38"/>
  <c r="AD268" i="38"/>
  <c r="AC268" i="38"/>
  <c r="AB268" i="38"/>
  <c r="AA268" i="38"/>
  <c r="Z268" i="38"/>
  <c r="Y268" i="38"/>
  <c r="X268" i="38"/>
  <c r="W268" i="38"/>
  <c r="V268" i="38"/>
  <c r="U268" i="38"/>
  <c r="T268" i="38"/>
  <c r="S268" i="38"/>
  <c r="R268" i="38"/>
  <c r="Q268" i="38"/>
  <c r="P268" i="38"/>
  <c r="O268" i="38"/>
  <c r="N268" i="38"/>
  <c r="M268" i="38"/>
  <c r="L268" i="38"/>
  <c r="K268" i="38"/>
  <c r="J268" i="38"/>
  <c r="I268" i="38"/>
  <c r="H268" i="38"/>
  <c r="G268" i="38"/>
  <c r="F268" i="38"/>
  <c r="E268" i="38"/>
  <c r="D268" i="38"/>
  <c r="C268" i="38"/>
  <c r="B268" i="38"/>
  <c r="A268" i="38"/>
  <c r="AE267" i="38"/>
  <c r="AD267" i="38"/>
  <c r="AC267" i="38"/>
  <c r="AB267" i="38"/>
  <c r="AA267" i="38"/>
  <c r="Z267" i="38"/>
  <c r="Y267" i="38"/>
  <c r="X267" i="38"/>
  <c r="W267" i="38"/>
  <c r="V267" i="38"/>
  <c r="U267" i="38"/>
  <c r="T267" i="38"/>
  <c r="S267" i="38"/>
  <c r="R267" i="38"/>
  <c r="Q267" i="38"/>
  <c r="P267" i="38"/>
  <c r="B267" i="38"/>
  <c r="S242" i="38"/>
  <c r="AG232" i="38"/>
  <c r="AG65" i="38" s="1"/>
  <c r="AG66" i="38" s="1"/>
  <c r="AG3" i="38" s="1"/>
  <c r="AF232" i="38"/>
  <c r="AE232" i="38"/>
  <c r="AD232" i="38"/>
  <c r="AC232" i="38"/>
  <c r="AB232" i="38"/>
  <c r="AA232" i="38"/>
  <c r="Z232" i="38"/>
  <c r="Y232" i="38"/>
  <c r="X232" i="38"/>
  <c r="W232" i="38"/>
  <c r="V232" i="38"/>
  <c r="U232" i="38"/>
  <c r="T232" i="38"/>
  <c r="S232" i="38"/>
  <c r="R232" i="38"/>
  <c r="Q232" i="38"/>
  <c r="C232" i="38"/>
  <c r="D231" i="38"/>
  <c r="E231" i="38" s="1"/>
  <c r="B231" i="38"/>
  <c r="AF267" i="38" s="1"/>
  <c r="E230" i="38"/>
  <c r="F230" i="38" s="1"/>
  <c r="G230" i="38" s="1"/>
  <c r="H230" i="38" s="1"/>
  <c r="I230" i="38" s="1"/>
  <c r="J230" i="38" s="1"/>
  <c r="K230" i="38" s="1"/>
  <c r="L230" i="38" s="1"/>
  <c r="M230" i="38" s="1"/>
  <c r="N230" i="38" s="1"/>
  <c r="O230" i="38" s="1"/>
  <c r="P230" i="38" s="1"/>
  <c r="D230" i="38"/>
  <c r="B230" i="38"/>
  <c r="D229" i="38"/>
  <c r="E229" i="38" s="1"/>
  <c r="F229" i="38" s="1"/>
  <c r="G229" i="38" s="1"/>
  <c r="H229" i="38" s="1"/>
  <c r="I229" i="38" s="1"/>
  <c r="B229" i="38"/>
  <c r="D228" i="38"/>
  <c r="E228" i="38" s="1"/>
  <c r="F228" i="38" s="1"/>
  <c r="G228" i="38" s="1"/>
  <c r="H228" i="38" s="1"/>
  <c r="B228" i="38"/>
  <c r="D227" i="38"/>
  <c r="E227" i="38" s="1"/>
  <c r="F227" i="38" s="1"/>
  <c r="G227" i="38" s="1"/>
  <c r="H227" i="38" s="1"/>
  <c r="I227" i="38" s="1"/>
  <c r="J227" i="38" s="1"/>
  <c r="K227" i="38" s="1"/>
  <c r="L227" i="38" s="1"/>
  <c r="M227" i="38" s="1"/>
  <c r="N227" i="38" s="1"/>
  <c r="O227" i="38" s="1"/>
  <c r="P227" i="38" s="1"/>
  <c r="B227" i="38"/>
  <c r="D226" i="38"/>
  <c r="D232" i="38" s="1"/>
  <c r="B226" i="38"/>
  <c r="AG224" i="38"/>
  <c r="AF224" i="38"/>
  <c r="AE224" i="38"/>
  <c r="AD224" i="38"/>
  <c r="AC224" i="38"/>
  <c r="AB224" i="38"/>
  <c r="AA224" i="38"/>
  <c r="Z224" i="38"/>
  <c r="Y224" i="38"/>
  <c r="X224" i="38"/>
  <c r="W224" i="38"/>
  <c r="V224" i="38"/>
  <c r="U224" i="38"/>
  <c r="T224" i="38"/>
  <c r="S224" i="38"/>
  <c r="R224" i="38"/>
  <c r="Q224" i="38"/>
  <c r="P224" i="38"/>
  <c r="O224" i="38"/>
  <c r="N224" i="38"/>
  <c r="M224" i="38"/>
  <c r="L224" i="38"/>
  <c r="K224" i="38"/>
  <c r="J224" i="38"/>
  <c r="I224" i="38"/>
  <c r="H224" i="38"/>
  <c r="G224" i="38"/>
  <c r="F224" i="38"/>
  <c r="E224" i="38"/>
  <c r="D224" i="38"/>
  <c r="C224" i="38"/>
  <c r="B224" i="38"/>
  <c r="AI117" i="38"/>
  <c r="AH117" i="38"/>
  <c r="AI116" i="38"/>
  <c r="AH116" i="38"/>
  <c r="AI115" i="38"/>
  <c r="AH115" i="38"/>
  <c r="AI114" i="38"/>
  <c r="AH114" i="38"/>
  <c r="AI113" i="38"/>
  <c r="AH113" i="38"/>
  <c r="AI112" i="38"/>
  <c r="AH112" i="38"/>
  <c r="AI111" i="38"/>
  <c r="AH111" i="38"/>
  <c r="AI110" i="38"/>
  <c r="AH110" i="38"/>
  <c r="AI109" i="38"/>
  <c r="AH109" i="38"/>
  <c r="AF108" i="38"/>
  <c r="AE108" i="38"/>
  <c r="AD108" i="38"/>
  <c r="AC108" i="38"/>
  <c r="AB108" i="38"/>
  <c r="Z108" i="38"/>
  <c r="Y108" i="38"/>
  <c r="X108" i="38"/>
  <c r="W108" i="38"/>
  <c r="V108" i="38"/>
  <c r="U108" i="38"/>
  <c r="T108" i="38"/>
  <c r="S108" i="38"/>
  <c r="R108" i="38"/>
  <c r="Q108" i="38"/>
  <c r="C108" i="38"/>
  <c r="AI107" i="38"/>
  <c r="AH107" i="38"/>
  <c r="AI106" i="38"/>
  <c r="AH106" i="38"/>
  <c r="AI105" i="38"/>
  <c r="AH105" i="38"/>
  <c r="AI104" i="38"/>
  <c r="AH104" i="38"/>
  <c r="AI103" i="38"/>
  <c r="AH103" i="38"/>
  <c r="AI102" i="38"/>
  <c r="AH102" i="38"/>
  <c r="AI101" i="38"/>
  <c r="AH101" i="38"/>
  <c r="AI100" i="38"/>
  <c r="AH100" i="38"/>
  <c r="AI99" i="38"/>
  <c r="AH99" i="38"/>
  <c r="AI97" i="38"/>
  <c r="AH97" i="38"/>
  <c r="AI96" i="38"/>
  <c r="AH96" i="38"/>
  <c r="AI95" i="38"/>
  <c r="AH95" i="38"/>
  <c r="AI94" i="38"/>
  <c r="AH94" i="38"/>
  <c r="AI93" i="38"/>
  <c r="AH93" i="38"/>
  <c r="AI92" i="38"/>
  <c r="AH92" i="38"/>
  <c r="AI91" i="38"/>
  <c r="AH91" i="38"/>
  <c r="AI88" i="38"/>
  <c r="AH88" i="38"/>
  <c r="AI86" i="38"/>
  <c r="AH86" i="38"/>
  <c r="AG86" i="38"/>
  <c r="AI85" i="38"/>
  <c r="AH85" i="38"/>
  <c r="AI84" i="38"/>
  <c r="AH84" i="38"/>
  <c r="AI83" i="38"/>
  <c r="AH83" i="38"/>
  <c r="AN82" i="38"/>
  <c r="AG82" i="38"/>
  <c r="AF82" i="38"/>
  <c r="AE5" i="38" s="1"/>
  <c r="AE82" i="38"/>
  <c r="AD5" i="38" s="1"/>
  <c r="AD82" i="38"/>
  <c r="AD98" i="38" s="1"/>
  <c r="AC82" i="38"/>
  <c r="AC98" i="38" s="1"/>
  <c r="AB82" i="38"/>
  <c r="AB98" i="38" s="1"/>
  <c r="Z82" i="38"/>
  <c r="Y5" i="38" s="1"/>
  <c r="Y82" i="38"/>
  <c r="X5" i="38" s="1"/>
  <c r="X82" i="38"/>
  <c r="W5" i="38" s="1"/>
  <c r="W82" i="38"/>
  <c r="W98" i="38" s="1"/>
  <c r="V82" i="38"/>
  <c r="V98" i="38" s="1"/>
  <c r="U82" i="38"/>
  <c r="U98" i="38" s="1"/>
  <c r="T82" i="38"/>
  <c r="T98" i="38" s="1"/>
  <c r="S82" i="38"/>
  <c r="S98" i="38" s="1"/>
  <c r="R82" i="38"/>
  <c r="R98" i="38" s="1"/>
  <c r="Q82" i="38"/>
  <c r="P5" i="38" s="1"/>
  <c r="P82" i="38"/>
  <c r="O5" i="38" s="1"/>
  <c r="O82" i="38"/>
  <c r="O98" i="38" s="1"/>
  <c r="N82" i="38"/>
  <c r="N98" i="38" s="1"/>
  <c r="M82" i="38"/>
  <c r="L5" i="38" s="1"/>
  <c r="L82" i="38"/>
  <c r="L98" i="38" s="1"/>
  <c r="K82" i="38"/>
  <c r="J5" i="38" s="1"/>
  <c r="J82" i="38"/>
  <c r="I5" i="38" s="1"/>
  <c r="I82" i="38"/>
  <c r="H5" i="38" s="1"/>
  <c r="H82" i="38"/>
  <c r="G5" i="38" s="1"/>
  <c r="G82" i="38"/>
  <c r="G98" i="38" s="1"/>
  <c r="F82" i="38"/>
  <c r="F98" i="38" s="1"/>
  <c r="E82" i="38"/>
  <c r="E98" i="38" s="1"/>
  <c r="D82" i="38"/>
  <c r="D98" i="38" s="1"/>
  <c r="C82" i="38"/>
  <c r="C98" i="38" s="1"/>
  <c r="AF5" i="38"/>
  <c r="AI81" i="38"/>
  <c r="AH81" i="38"/>
  <c r="AN80" i="38"/>
  <c r="AI80" i="38"/>
  <c r="AH80" i="38"/>
  <c r="AN79" i="38"/>
  <c r="AI79" i="38"/>
  <c r="AH79" i="38"/>
  <c r="AI78" i="38"/>
  <c r="AH78" i="38"/>
  <c r="AI77" i="38"/>
  <c r="AH77" i="38"/>
  <c r="AI76" i="38"/>
  <c r="AH76" i="38"/>
  <c r="AI75" i="38"/>
  <c r="AH75" i="38"/>
  <c r="AI74" i="38"/>
  <c r="AH74" i="38"/>
  <c r="AI73" i="38"/>
  <c r="AH73" i="38"/>
  <c r="AI72" i="38"/>
  <c r="AH72" i="38"/>
  <c r="AI71" i="38"/>
  <c r="AH71" i="38"/>
  <c r="AG70" i="38"/>
  <c r="AG4" i="38" s="1"/>
  <c r="AF70" i="38"/>
  <c r="AE70" i="38"/>
  <c r="AD70" i="38"/>
  <c r="AC70" i="38"/>
  <c r="AB70" i="38"/>
  <c r="Z70" i="38"/>
  <c r="Y70" i="38"/>
  <c r="X70" i="38"/>
  <c r="W70" i="38"/>
  <c r="V70" i="38"/>
  <c r="U70" i="38"/>
  <c r="T70" i="38"/>
  <c r="S70" i="38"/>
  <c r="R70" i="38"/>
  <c r="P70" i="38"/>
  <c r="O70" i="38"/>
  <c r="N70" i="38"/>
  <c r="M70" i="38"/>
  <c r="L70" i="38"/>
  <c r="AI69" i="38"/>
  <c r="AH69" i="38"/>
  <c r="AI68" i="38"/>
  <c r="AH68" i="38"/>
  <c r="AI67" i="38"/>
  <c r="AH67" i="38"/>
  <c r="AF66" i="38"/>
  <c r="AE66" i="38"/>
  <c r="AD66" i="38"/>
  <c r="AC66" i="38"/>
  <c r="AB66" i="38"/>
  <c r="Z66" i="38"/>
  <c r="Y66" i="38"/>
  <c r="X66" i="38"/>
  <c r="W66" i="38"/>
  <c r="V66" i="38"/>
  <c r="U66" i="38"/>
  <c r="T66" i="38"/>
  <c r="S66" i="38"/>
  <c r="R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AI65" i="38"/>
  <c r="AH65" i="38"/>
  <c r="AI64" i="38"/>
  <c r="AH64" i="38"/>
  <c r="AI63" i="38"/>
  <c r="AH63" i="38"/>
  <c r="AI62" i="38"/>
  <c r="AH62" i="38"/>
  <c r="AI61" i="38"/>
  <c r="AH61" i="38"/>
  <c r="AI60" i="38"/>
  <c r="AH60" i="38"/>
  <c r="AI59" i="38"/>
  <c r="AH59" i="38"/>
  <c r="AI58" i="38"/>
  <c r="AH58" i="38"/>
  <c r="AI57" i="38"/>
  <c r="AH57" i="38"/>
  <c r="AI56" i="38"/>
  <c r="AH56" i="38"/>
  <c r="AI55" i="38"/>
  <c r="AH55" i="38"/>
  <c r="AI54" i="38"/>
  <c r="AH54" i="38"/>
  <c r="AI53" i="38"/>
  <c r="AH53" i="38"/>
  <c r="AG52" i="38"/>
  <c r="AF52" i="38"/>
  <c r="AE52" i="38"/>
  <c r="AD52" i="38"/>
  <c r="AC52" i="38"/>
  <c r="AB52" i="38"/>
  <c r="Z52" i="38"/>
  <c r="Y52" i="38"/>
  <c r="X52" i="38"/>
  <c r="W52" i="38"/>
  <c r="V52" i="38"/>
  <c r="U52" i="38"/>
  <c r="T52" i="38"/>
  <c r="S52" i="38"/>
  <c r="R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AI51" i="38"/>
  <c r="AH51" i="38"/>
  <c r="AI50" i="38"/>
  <c r="AH50" i="38"/>
  <c r="AI49" i="38"/>
  <c r="AH49" i="38"/>
  <c r="AG48" i="38"/>
  <c r="AF48" i="38"/>
  <c r="AE48" i="38"/>
  <c r="AD48" i="38"/>
  <c r="AC48" i="38"/>
  <c r="AB48" i="38"/>
  <c r="Z48" i="38"/>
  <c r="Y48" i="38"/>
  <c r="X48" i="38"/>
  <c r="W48" i="38"/>
  <c r="V48" i="38"/>
  <c r="U48" i="38"/>
  <c r="T48" i="38"/>
  <c r="S48" i="38"/>
  <c r="R48" i="38"/>
  <c r="P48" i="38"/>
  <c r="O48" i="38"/>
  <c r="N48" i="38"/>
  <c r="M48" i="38"/>
  <c r="L48" i="38"/>
  <c r="K48" i="38"/>
  <c r="J48" i="38"/>
  <c r="I48" i="38"/>
  <c r="H48" i="38"/>
  <c r="G48" i="38"/>
  <c r="F48" i="38"/>
  <c r="E48" i="38"/>
  <c r="D48" i="38"/>
  <c r="C48" i="38"/>
  <c r="AI47" i="38"/>
  <c r="AH47" i="38"/>
  <c r="AI46" i="38"/>
  <c r="AH46" i="38"/>
  <c r="AI45" i="38"/>
  <c r="AH45" i="38"/>
  <c r="AI44" i="38"/>
  <c r="AH44" i="38"/>
  <c r="AI43" i="38"/>
  <c r="AH43" i="38"/>
  <c r="AI42" i="38"/>
  <c r="AH42" i="38"/>
  <c r="AI41" i="38"/>
  <c r="AH41" i="38"/>
  <c r="AI40" i="38"/>
  <c r="AH40" i="38"/>
  <c r="AI39" i="38"/>
  <c r="AH39" i="38"/>
  <c r="AI38" i="38"/>
  <c r="AH38" i="38"/>
  <c r="AI37" i="38"/>
  <c r="AH37" i="38"/>
  <c r="AI36" i="38"/>
  <c r="AH36" i="38"/>
  <c r="AI35" i="38"/>
  <c r="AH35" i="38"/>
  <c r="AI34" i="38"/>
  <c r="AH34" i="38"/>
  <c r="AI33" i="38"/>
  <c r="AH33" i="38"/>
  <c r="AI32" i="38"/>
  <c r="AH32" i="38"/>
  <c r="AI31" i="38"/>
  <c r="AH31" i="38"/>
  <c r="AI30" i="38"/>
  <c r="AH30" i="38"/>
  <c r="AI29" i="38"/>
  <c r="AH29" i="38"/>
  <c r="AI28" i="38"/>
  <c r="AH28" i="38"/>
  <c r="AI27" i="38"/>
  <c r="AH27" i="38"/>
  <c r="AI26" i="38"/>
  <c r="AH26" i="38"/>
  <c r="AI25" i="38"/>
  <c r="AH25" i="38"/>
  <c r="AI24" i="38"/>
  <c r="AH24" i="38"/>
  <c r="AI23" i="38"/>
  <c r="AH23" i="38"/>
  <c r="AI22" i="38"/>
  <c r="AH22" i="38"/>
  <c r="AI21" i="38"/>
  <c r="AH21" i="38"/>
  <c r="AI20" i="38"/>
  <c r="AH20" i="38"/>
  <c r="AI19" i="38"/>
  <c r="AH19" i="38"/>
  <c r="AI18" i="38"/>
  <c r="AH18" i="38"/>
  <c r="AI17" i="38"/>
  <c r="AH17" i="38"/>
  <c r="AI16" i="38"/>
  <c r="AH16" i="38"/>
  <c r="AI15" i="38"/>
  <c r="AH15" i="38"/>
  <c r="AI14" i="38"/>
  <c r="AH14" i="38"/>
  <c r="AI13" i="38"/>
  <c r="AH13" i="38"/>
  <c r="AI12" i="38"/>
  <c r="AH12" i="38"/>
  <c r="AI11" i="38"/>
  <c r="AH11" i="38"/>
  <c r="M5" i="38"/>
  <c r="K4" i="38"/>
  <c r="E4" i="38"/>
  <c r="H4" i="38" s="1"/>
  <c r="B4" i="38"/>
  <c r="S243" i="38" s="1"/>
  <c r="Z111" i="37"/>
  <c r="Y111" i="37"/>
  <c r="X111" i="37"/>
  <c r="W111" i="37"/>
  <c r="V111" i="37"/>
  <c r="U111" i="37"/>
  <c r="T111" i="37"/>
  <c r="S111" i="37"/>
  <c r="AN81" i="38" l="1"/>
  <c r="E226" i="38"/>
  <c r="AF87" i="38"/>
  <c r="AF89" i="38" s="1"/>
  <c r="AF7" i="38" s="1"/>
  <c r="AE98" i="38"/>
  <c r="AC5" i="38"/>
  <c r="AB5" i="38"/>
  <c r="AA5" i="38"/>
  <c r="F231" i="38"/>
  <c r="D267" i="38"/>
  <c r="B232" i="38"/>
  <c r="E108" i="38"/>
  <c r="AD87" i="38"/>
  <c r="AD89" i="38" s="1"/>
  <c r="AD7" i="38" s="1"/>
  <c r="AF98" i="38"/>
  <c r="AE87" i="38"/>
  <c r="AE89" i="38" s="1"/>
  <c r="AW246" i="38" s="1"/>
  <c r="C267" i="38"/>
  <c r="AG89" i="38"/>
  <c r="AC87" i="38"/>
  <c r="AC89" i="38" s="1"/>
  <c r="AC90" i="38" s="1"/>
  <c r="AB87" i="38"/>
  <c r="AB89" i="38" s="1"/>
  <c r="AB7" i="38" s="1"/>
  <c r="Z87" i="38"/>
  <c r="Z89" i="38" s="1"/>
  <c r="AR246" i="38" s="1"/>
  <c r="Y98" i="38"/>
  <c r="Y87" i="38"/>
  <c r="Y89" i="38" s="1"/>
  <c r="Y7" i="38" s="1"/>
  <c r="V5" i="38"/>
  <c r="W87" i="38"/>
  <c r="W89" i="38" s="1"/>
  <c r="W90" i="38" s="1"/>
  <c r="X87" i="38"/>
  <c r="X89" i="38" s="1"/>
  <c r="X90" i="38" s="1"/>
  <c r="X98" i="38"/>
  <c r="U5" i="38"/>
  <c r="T5" i="38"/>
  <c r="V87" i="38"/>
  <c r="V89" i="38" s="1"/>
  <c r="AN246" i="38" s="1"/>
  <c r="U87" i="38"/>
  <c r="U89" i="38" s="1"/>
  <c r="AM246" i="38" s="1"/>
  <c r="S5" i="38"/>
  <c r="T87" i="38"/>
  <c r="T89" i="38" s="1"/>
  <c r="T90" i="38" s="1"/>
  <c r="S87" i="38"/>
  <c r="S89" i="38" s="1"/>
  <c r="AK246" i="38" s="1"/>
  <c r="AI70" i="38"/>
  <c r="R87" i="38"/>
  <c r="R89" i="38" s="1"/>
  <c r="AJ246" i="38" s="1"/>
  <c r="Q87" i="38"/>
  <c r="Q89" i="38" s="1"/>
  <c r="AI246" i="38" s="1"/>
  <c r="Q98" i="38"/>
  <c r="P98" i="38"/>
  <c r="P87" i="38"/>
  <c r="P89" i="38" s="1"/>
  <c r="AH246" i="38" s="1"/>
  <c r="N5" i="38"/>
  <c r="O87" i="38"/>
  <c r="O89" i="38" s="1"/>
  <c r="O90" i="38" s="1"/>
  <c r="N87" i="38"/>
  <c r="N89" i="38" s="1"/>
  <c r="AF246" i="38" s="1"/>
  <c r="M98" i="38"/>
  <c r="M87" i="38"/>
  <c r="M89" i="38" s="1"/>
  <c r="M90" i="38" s="1"/>
  <c r="K87" i="38"/>
  <c r="K89" i="38" s="1"/>
  <c r="K7" i="38" s="1"/>
  <c r="K5" i="38"/>
  <c r="L87" i="38"/>
  <c r="L89" i="38" s="1"/>
  <c r="L90" i="38" s="1"/>
  <c r="J87" i="38"/>
  <c r="J89" i="38" s="1"/>
  <c r="J90" i="38" s="1"/>
  <c r="I98" i="38"/>
  <c r="I87" i="38"/>
  <c r="I89" i="38" s="1"/>
  <c r="I7" i="38" s="1"/>
  <c r="H98" i="38"/>
  <c r="H87" i="38"/>
  <c r="H89" i="38" s="1"/>
  <c r="G87" i="38"/>
  <c r="G89" i="38" s="1"/>
  <c r="F5" i="38"/>
  <c r="D5" i="38"/>
  <c r="E5" i="38"/>
  <c r="AI52" i="38"/>
  <c r="F87" i="38"/>
  <c r="F89" i="38" s="1"/>
  <c r="F7" i="38" s="1"/>
  <c r="E87" i="38"/>
  <c r="E89" i="38" s="1"/>
  <c r="W246" i="38" s="1"/>
  <c r="D87" i="38"/>
  <c r="D89" i="38" s="1"/>
  <c r="D90" i="38" s="1"/>
  <c r="C5" i="38"/>
  <c r="AI66" i="38"/>
  <c r="C87" i="38"/>
  <c r="C89" i="38" s="1"/>
  <c r="C90" i="38" s="1"/>
  <c r="AH66" i="38"/>
  <c r="K90" i="38"/>
  <c r="AC246" i="38"/>
  <c r="S7" i="38"/>
  <c r="AS246" i="38"/>
  <c r="AA7" i="38"/>
  <c r="J229" i="38"/>
  <c r="K229" i="38" s="1"/>
  <c r="L229" i="38" s="1"/>
  <c r="M229" i="38" s="1"/>
  <c r="N229" i="38" s="1"/>
  <c r="O229" i="38" s="1"/>
  <c r="P229" i="38" s="1"/>
  <c r="AA246" i="38"/>
  <c r="I90" i="38"/>
  <c r="AG87" i="38"/>
  <c r="Y246" i="38"/>
  <c r="G90" i="38"/>
  <c r="G7" i="38"/>
  <c r="Z90" i="38"/>
  <c r="N90" i="38"/>
  <c r="N7" i="38"/>
  <c r="J98" i="38"/>
  <c r="Z98" i="38"/>
  <c r="K98" i="38"/>
  <c r="Q5" i="38"/>
  <c r="AH70" i="38"/>
  <c r="E232" i="38"/>
  <c r="D243" i="38"/>
  <c r="AH48" i="38"/>
  <c r="AH52" i="38"/>
  <c r="AI82" i="38"/>
  <c r="F226" i="38"/>
  <c r="B5" i="38"/>
  <c r="R5" i="38"/>
  <c r="Z5" i="38"/>
  <c r="D108" i="38"/>
  <c r="AG2" i="38"/>
  <c r="AG6" i="38" s="1"/>
  <c r="AH82" i="38"/>
  <c r="AI48" i="38"/>
  <c r="Q90" i="38" l="1"/>
  <c r="Z7" i="38"/>
  <c r="Q7" i="38"/>
  <c r="V7" i="38"/>
  <c r="R7" i="38"/>
  <c r="AX246" i="38"/>
  <c r="AF90" i="38"/>
  <c r="AE90" i="38"/>
  <c r="AD90" i="38"/>
  <c r="AV246" i="38"/>
  <c r="AB90" i="38"/>
  <c r="AC7" i="38"/>
  <c r="AU246" i="38"/>
  <c r="AT246" i="38"/>
  <c r="AE7" i="38"/>
  <c r="E267" i="38"/>
  <c r="G231" i="38"/>
  <c r="S90" i="38"/>
  <c r="J7" i="38"/>
  <c r="AB246" i="38"/>
  <c r="AG246" i="38"/>
  <c r="AO246" i="38"/>
  <c r="Y90" i="38"/>
  <c r="AQ246" i="38"/>
  <c r="X7" i="38"/>
  <c r="AP246" i="38"/>
  <c r="W7" i="38"/>
  <c r="V90" i="38"/>
  <c r="U90" i="38"/>
  <c r="U7" i="38"/>
  <c r="T7" i="38"/>
  <c r="AL246" i="38"/>
  <c r="P7" i="38"/>
  <c r="R90" i="38"/>
  <c r="M7" i="38"/>
  <c r="O7" i="38"/>
  <c r="P90" i="38"/>
  <c r="AE246" i="38"/>
  <c r="L7" i="38"/>
  <c r="AD246" i="38"/>
  <c r="C241" i="38"/>
  <c r="H7" i="38"/>
  <c r="Z246" i="38"/>
  <c r="H90" i="38"/>
  <c r="B241" i="38"/>
  <c r="V246" i="38"/>
  <c r="D7" i="38"/>
  <c r="C7" i="38"/>
  <c r="AI87" i="38"/>
  <c r="U246" i="38"/>
  <c r="F90" i="38"/>
  <c r="X246" i="38"/>
  <c r="E90" i="38"/>
  <c r="E7" i="38"/>
  <c r="AH87" i="38"/>
  <c r="AI89" i="38"/>
  <c r="B7" i="38"/>
  <c r="T246" i="38"/>
  <c r="AH89" i="38"/>
  <c r="AH98" i="38"/>
  <c r="AI98" i="38"/>
  <c r="G226" i="38"/>
  <c r="F232" i="38"/>
  <c r="F108" i="38"/>
  <c r="F267" i="38" l="1"/>
  <c r="H231" i="38"/>
  <c r="K6" i="38"/>
  <c r="A7" i="38"/>
  <c r="AI90" i="38"/>
  <c r="AH90" i="38"/>
  <c r="G108" i="38"/>
  <c r="H226" i="38"/>
  <c r="G232" i="38"/>
  <c r="I231" i="38" l="1"/>
  <c r="G267" i="38"/>
  <c r="I226" i="38"/>
  <c r="H108" i="38"/>
  <c r="H232" i="38"/>
  <c r="H267" i="38" l="1"/>
  <c r="J231" i="38"/>
  <c r="I108" i="38"/>
  <c r="J226" i="38"/>
  <c r="K231" i="38" l="1"/>
  <c r="I267" i="38"/>
  <c r="J108" i="38"/>
  <c r="K226" i="38"/>
  <c r="J267" i="38" l="1"/>
  <c r="L231" i="38"/>
  <c r="L226" i="38"/>
  <c r="K108" i="38"/>
  <c r="K267" i="38" l="1"/>
  <c r="M231" i="38"/>
  <c r="M226" i="38"/>
  <c r="L108" i="38"/>
  <c r="L267" i="38" l="1"/>
  <c r="N231" i="38"/>
  <c r="M108" i="38"/>
  <c r="N226" i="38"/>
  <c r="O231" i="38" l="1"/>
  <c r="M267" i="38"/>
  <c r="N108" i="38"/>
  <c r="O226" i="38"/>
  <c r="N267" i="38" l="1"/>
  <c r="P231" i="38"/>
  <c r="O267" i="38" s="1"/>
  <c r="P226" i="38"/>
  <c r="O108" i="38"/>
  <c r="AI108" i="38" l="1"/>
  <c r="AH108" i="38"/>
  <c r="N48" i="37" l="1"/>
  <c r="N52" i="37"/>
  <c r="J111" i="37"/>
  <c r="I111" i="37"/>
  <c r="H111" i="37"/>
  <c r="G111" i="37"/>
  <c r="E11" i="3"/>
  <c r="F111" i="37"/>
  <c r="E111" i="37"/>
  <c r="AE48" i="36"/>
  <c r="AE52" i="36"/>
  <c r="AE66" i="36"/>
  <c r="AE70" i="36"/>
  <c r="AE82" i="36"/>
  <c r="AF272" i="37"/>
  <c r="AE272" i="37"/>
  <c r="AD272" i="37"/>
  <c r="AC272" i="37"/>
  <c r="AB272" i="37"/>
  <c r="AA272" i="37"/>
  <c r="Z272" i="37"/>
  <c r="Y272" i="37"/>
  <c r="X272" i="37"/>
  <c r="W272" i="37"/>
  <c r="V272" i="37"/>
  <c r="U272" i="37"/>
  <c r="T272" i="37"/>
  <c r="S272" i="37"/>
  <c r="R272" i="37"/>
  <c r="Q272" i="37"/>
  <c r="P272" i="37"/>
  <c r="O272" i="37"/>
  <c r="N272" i="37"/>
  <c r="M272" i="37"/>
  <c r="L272" i="37"/>
  <c r="K272" i="37"/>
  <c r="J272" i="37"/>
  <c r="I272" i="37"/>
  <c r="H272" i="37"/>
  <c r="G272" i="37"/>
  <c r="F272" i="37"/>
  <c r="E272" i="37"/>
  <c r="D272" i="37"/>
  <c r="C272" i="37"/>
  <c r="B272" i="37"/>
  <c r="A272" i="37"/>
  <c r="AF271" i="37"/>
  <c r="AE271" i="37"/>
  <c r="AD271" i="37"/>
  <c r="AC271" i="37"/>
  <c r="AB271" i="37"/>
  <c r="AA271" i="37"/>
  <c r="Z271" i="37"/>
  <c r="Y271" i="37"/>
  <c r="X271" i="37"/>
  <c r="W271" i="37"/>
  <c r="V271" i="37"/>
  <c r="U271" i="37"/>
  <c r="T271" i="37"/>
  <c r="S271" i="37"/>
  <c r="R271" i="37"/>
  <c r="Q271" i="37"/>
  <c r="P271" i="37"/>
  <c r="O271" i="37"/>
  <c r="N271" i="37"/>
  <c r="M271" i="37"/>
  <c r="L271" i="37"/>
  <c r="K271" i="37"/>
  <c r="J271" i="37"/>
  <c r="I271" i="37"/>
  <c r="H271" i="37"/>
  <c r="G271" i="37"/>
  <c r="F271" i="37"/>
  <c r="E271" i="37"/>
  <c r="D271" i="37"/>
  <c r="C271" i="37"/>
  <c r="B271" i="37"/>
  <c r="A271" i="37"/>
  <c r="AF270" i="37"/>
  <c r="AE270" i="37"/>
  <c r="AD270" i="37"/>
  <c r="AC270" i="37"/>
  <c r="AB270" i="37"/>
  <c r="AA270" i="37"/>
  <c r="Z270" i="37"/>
  <c r="Y270" i="37"/>
  <c r="X270" i="37"/>
  <c r="W270" i="37"/>
  <c r="V270" i="37"/>
  <c r="U270" i="37"/>
  <c r="T270" i="37"/>
  <c r="S270" i="37"/>
  <c r="R270" i="37"/>
  <c r="Q270" i="37"/>
  <c r="P270" i="37"/>
  <c r="O270" i="37"/>
  <c r="N270" i="37"/>
  <c r="M270" i="37"/>
  <c r="L270" i="37"/>
  <c r="K270" i="37"/>
  <c r="J270" i="37"/>
  <c r="I270" i="37"/>
  <c r="H270" i="37"/>
  <c r="G270" i="37"/>
  <c r="F270" i="37"/>
  <c r="E270" i="37"/>
  <c r="D270" i="37"/>
  <c r="C270" i="37"/>
  <c r="B270" i="37"/>
  <c r="A270" i="37"/>
  <c r="AF269" i="37"/>
  <c r="AE269" i="37"/>
  <c r="AD269" i="37"/>
  <c r="AC269" i="37"/>
  <c r="AB269" i="37"/>
  <c r="AA269" i="37"/>
  <c r="Z269" i="37"/>
  <c r="Y269" i="37"/>
  <c r="X269" i="37"/>
  <c r="W269" i="37"/>
  <c r="V269" i="37"/>
  <c r="U269" i="37"/>
  <c r="T269" i="37"/>
  <c r="S269" i="37"/>
  <c r="R269" i="37"/>
  <c r="Q269" i="37"/>
  <c r="P269" i="37"/>
  <c r="O269" i="37"/>
  <c r="N269" i="37"/>
  <c r="M269" i="37"/>
  <c r="L269" i="37"/>
  <c r="K269" i="37"/>
  <c r="J269" i="37"/>
  <c r="I269" i="37"/>
  <c r="H269" i="37"/>
  <c r="G269" i="37"/>
  <c r="F269" i="37"/>
  <c r="E269" i="37"/>
  <c r="D269" i="37"/>
  <c r="C269" i="37"/>
  <c r="B269" i="37"/>
  <c r="A269" i="37"/>
  <c r="AE268" i="37"/>
  <c r="AD268" i="37"/>
  <c r="AC268" i="37"/>
  <c r="AB268" i="37"/>
  <c r="AA268" i="37"/>
  <c r="Z268" i="37"/>
  <c r="Y268" i="37"/>
  <c r="X268" i="37"/>
  <c r="W268" i="37"/>
  <c r="V268" i="37"/>
  <c r="U268" i="37"/>
  <c r="T268" i="37"/>
  <c r="S268" i="37"/>
  <c r="R268" i="37"/>
  <c r="Q268" i="37"/>
  <c r="P268" i="37"/>
  <c r="B268" i="37"/>
  <c r="S243" i="37"/>
  <c r="AG233" i="37"/>
  <c r="AG65" i="37" s="1"/>
  <c r="AG66" i="37" s="1"/>
  <c r="AG3" i="37" s="1"/>
  <c r="AF233" i="37"/>
  <c r="AE233" i="37"/>
  <c r="AD233" i="37"/>
  <c r="AC233" i="37"/>
  <c r="AB233" i="37"/>
  <c r="AA233" i="37"/>
  <c r="Z233" i="37"/>
  <c r="Y233" i="37"/>
  <c r="X233" i="37"/>
  <c r="W233" i="37"/>
  <c r="V233" i="37"/>
  <c r="U233" i="37"/>
  <c r="T233" i="37"/>
  <c r="S233" i="37"/>
  <c r="R233" i="37"/>
  <c r="Q233" i="37"/>
  <c r="C233" i="37"/>
  <c r="D232" i="37"/>
  <c r="C268" i="37" s="1"/>
  <c r="B232" i="37"/>
  <c r="AF268" i="37" s="1"/>
  <c r="E231" i="37"/>
  <c r="F231" i="37" s="1"/>
  <c r="G231" i="37" s="1"/>
  <c r="H231" i="37" s="1"/>
  <c r="I231" i="37" s="1"/>
  <c r="J231" i="37" s="1"/>
  <c r="K231" i="37" s="1"/>
  <c r="L231" i="37" s="1"/>
  <c r="M231" i="37" s="1"/>
  <c r="N231" i="37" s="1"/>
  <c r="O231" i="37" s="1"/>
  <c r="P231" i="37" s="1"/>
  <c r="D231" i="37"/>
  <c r="B231" i="37"/>
  <c r="D230" i="37"/>
  <c r="E230" i="37" s="1"/>
  <c r="F230" i="37" s="1"/>
  <c r="G230" i="37" s="1"/>
  <c r="H230" i="37" s="1"/>
  <c r="I230" i="37" s="1"/>
  <c r="B230" i="37"/>
  <c r="D229" i="37"/>
  <c r="E229" i="37" s="1"/>
  <c r="F229" i="37" s="1"/>
  <c r="G229" i="37" s="1"/>
  <c r="H229" i="37" s="1"/>
  <c r="B229" i="37"/>
  <c r="E228" i="37"/>
  <c r="F228" i="37" s="1"/>
  <c r="G228" i="37" s="1"/>
  <c r="H228" i="37" s="1"/>
  <c r="I228" i="37" s="1"/>
  <c r="J228" i="37" s="1"/>
  <c r="K228" i="37" s="1"/>
  <c r="L228" i="37" s="1"/>
  <c r="M228" i="37" s="1"/>
  <c r="N228" i="37" s="1"/>
  <c r="O228" i="37" s="1"/>
  <c r="P228" i="37" s="1"/>
  <c r="D228" i="37"/>
  <c r="B228" i="37"/>
  <c r="D227" i="37"/>
  <c r="D233" i="37" s="1"/>
  <c r="B227" i="37"/>
  <c r="B233" i="37" s="1"/>
  <c r="AG225" i="37"/>
  <c r="AF225" i="37"/>
  <c r="AE225" i="37"/>
  <c r="AD225" i="37"/>
  <c r="AC225" i="37"/>
  <c r="AB225" i="37"/>
  <c r="AA225" i="37"/>
  <c r="Z225" i="37"/>
  <c r="Y225" i="37"/>
  <c r="X225" i="37"/>
  <c r="W225" i="37"/>
  <c r="V225" i="37"/>
  <c r="U225" i="37"/>
  <c r="T225" i="37"/>
  <c r="S225" i="37"/>
  <c r="R225" i="37"/>
  <c r="Q225" i="37"/>
  <c r="P225" i="37"/>
  <c r="O225" i="37"/>
  <c r="N225" i="37"/>
  <c r="M225" i="37"/>
  <c r="L225" i="37"/>
  <c r="K225" i="37"/>
  <c r="J225" i="37"/>
  <c r="I225" i="37"/>
  <c r="H225" i="37"/>
  <c r="G225" i="37"/>
  <c r="F225" i="37"/>
  <c r="E225" i="37"/>
  <c r="D225" i="37"/>
  <c r="C225" i="37"/>
  <c r="B225" i="37"/>
  <c r="AI118" i="37"/>
  <c r="AH118" i="37"/>
  <c r="AI116" i="37"/>
  <c r="AH116" i="37"/>
  <c r="AI115" i="37"/>
  <c r="AH115" i="37"/>
  <c r="AI114" i="37"/>
  <c r="AH114" i="37"/>
  <c r="AI113" i="37"/>
  <c r="AH113" i="37"/>
  <c r="AI112" i="37"/>
  <c r="AH112" i="37"/>
  <c r="AI111" i="37"/>
  <c r="AH111" i="37"/>
  <c r="AI110" i="37"/>
  <c r="AH110" i="37"/>
  <c r="AI109" i="37"/>
  <c r="AH109" i="37"/>
  <c r="AF108" i="37"/>
  <c r="AE108" i="37"/>
  <c r="AD108" i="37"/>
  <c r="AC108" i="37"/>
  <c r="AB108" i="37"/>
  <c r="Z108" i="37"/>
  <c r="Y108" i="37"/>
  <c r="X108" i="37"/>
  <c r="W108" i="37"/>
  <c r="V108" i="37"/>
  <c r="U108" i="37"/>
  <c r="T108" i="37"/>
  <c r="S108" i="37"/>
  <c r="R108" i="37"/>
  <c r="Q108" i="37"/>
  <c r="C108" i="37"/>
  <c r="AI107" i="37"/>
  <c r="AH107" i="37"/>
  <c r="AI106" i="37"/>
  <c r="AH106" i="37"/>
  <c r="AI105" i="37"/>
  <c r="AH105" i="37"/>
  <c r="AI104" i="37"/>
  <c r="AH104" i="37"/>
  <c r="AI103" i="37"/>
  <c r="AH103" i="37"/>
  <c r="AI102" i="37"/>
  <c r="AH102" i="37"/>
  <c r="AI101" i="37"/>
  <c r="AH101" i="37"/>
  <c r="AI100" i="37"/>
  <c r="AH100" i="37"/>
  <c r="AI99" i="37"/>
  <c r="AH99" i="37"/>
  <c r="AI97" i="37"/>
  <c r="AH97" i="37"/>
  <c r="AI96" i="37"/>
  <c r="AH96" i="37"/>
  <c r="AI95" i="37"/>
  <c r="AH95" i="37"/>
  <c r="AI94" i="37"/>
  <c r="AH94" i="37"/>
  <c r="AI93" i="37"/>
  <c r="AH93" i="37"/>
  <c r="AI92" i="37"/>
  <c r="AH92" i="37"/>
  <c r="AI91" i="37"/>
  <c r="AH91" i="37"/>
  <c r="AI88" i="37"/>
  <c r="AH88" i="37"/>
  <c r="AI86" i="37"/>
  <c r="AH86" i="37"/>
  <c r="AG86" i="37"/>
  <c r="AI85" i="37"/>
  <c r="AH85" i="37"/>
  <c r="AI84" i="37"/>
  <c r="AH84" i="37"/>
  <c r="AI83" i="37"/>
  <c r="AH83" i="37"/>
  <c r="AN82" i="37"/>
  <c r="AG82" i="37"/>
  <c r="AF82" i="37"/>
  <c r="AE5" i="37" s="1"/>
  <c r="AE82" i="37"/>
  <c r="AE98" i="37" s="1"/>
  <c r="AD82" i="37"/>
  <c r="AD98" i="37" s="1"/>
  <c r="AC82" i="37"/>
  <c r="AB5" i="37" s="1"/>
  <c r="AB82" i="37"/>
  <c r="AB98" i="37" s="1"/>
  <c r="Z82" i="37"/>
  <c r="Z98" i="37" s="1"/>
  <c r="Y82" i="37"/>
  <c r="X5" i="37" s="1"/>
  <c r="X82" i="37"/>
  <c r="W5" i="37" s="1"/>
  <c r="W82" i="37"/>
  <c r="V5" i="37" s="1"/>
  <c r="V82" i="37"/>
  <c r="V98" i="37" s="1"/>
  <c r="U82" i="37"/>
  <c r="T5" i="37" s="1"/>
  <c r="T82" i="37"/>
  <c r="T98" i="37" s="1"/>
  <c r="S82" i="37"/>
  <c r="S98" i="37" s="1"/>
  <c r="R82" i="37"/>
  <c r="R98" i="37" s="1"/>
  <c r="Q82" i="37"/>
  <c r="P5" i="37" s="1"/>
  <c r="P82" i="37"/>
  <c r="P98" i="37" s="1"/>
  <c r="O82" i="37"/>
  <c r="N5" i="37" s="1"/>
  <c r="N82" i="37"/>
  <c r="N98" i="37" s="1"/>
  <c r="M82" i="37"/>
  <c r="M98" i="37" s="1"/>
  <c r="L82" i="37"/>
  <c r="L98" i="37" s="1"/>
  <c r="K82" i="37"/>
  <c r="K98" i="37" s="1"/>
  <c r="J82" i="37"/>
  <c r="J98" i="37" s="1"/>
  <c r="I82" i="37"/>
  <c r="H5" i="37" s="1"/>
  <c r="H82" i="37"/>
  <c r="G5" i="37" s="1"/>
  <c r="G82" i="37"/>
  <c r="F5" i="37" s="1"/>
  <c r="F82" i="37"/>
  <c r="F98" i="37" s="1"/>
  <c r="E82" i="37"/>
  <c r="D5" i="37" s="1"/>
  <c r="D82" i="37"/>
  <c r="D98" i="37" s="1"/>
  <c r="C82" i="37"/>
  <c r="C98" i="37" s="1"/>
  <c r="B82" i="37"/>
  <c r="AF5" i="37" s="1"/>
  <c r="AI81" i="37"/>
  <c r="AH81" i="37"/>
  <c r="AN80" i="37"/>
  <c r="AI80" i="37"/>
  <c r="AH80" i="37"/>
  <c r="AN79" i="37"/>
  <c r="AN81" i="37" s="1"/>
  <c r="AI79" i="37"/>
  <c r="AH79" i="37"/>
  <c r="AI78" i="37"/>
  <c r="AH78" i="37"/>
  <c r="AI77" i="37"/>
  <c r="AH77" i="37"/>
  <c r="AI76" i="37"/>
  <c r="AH76" i="37"/>
  <c r="AI75" i="37"/>
  <c r="AH75" i="37"/>
  <c r="AI74" i="37"/>
  <c r="AH74" i="37"/>
  <c r="AI73" i="37"/>
  <c r="AH73" i="37"/>
  <c r="AI72" i="37"/>
  <c r="AH72" i="37"/>
  <c r="AI71" i="37"/>
  <c r="AH71" i="37"/>
  <c r="AG70" i="37"/>
  <c r="AG4" i="37" s="1"/>
  <c r="AF70" i="37"/>
  <c r="AE70" i="37"/>
  <c r="AD70" i="37"/>
  <c r="AC70" i="37"/>
  <c r="AB70" i="37"/>
  <c r="Z70" i="37"/>
  <c r="Y70" i="37"/>
  <c r="X70" i="37"/>
  <c r="W70" i="37"/>
  <c r="V70" i="37"/>
  <c r="U70" i="37"/>
  <c r="T70" i="37"/>
  <c r="S70" i="37"/>
  <c r="R70" i="37"/>
  <c r="Q70" i="37"/>
  <c r="P70" i="37"/>
  <c r="O70" i="37"/>
  <c r="N70" i="37"/>
  <c r="M70" i="37"/>
  <c r="L70" i="37"/>
  <c r="B70" i="37"/>
  <c r="AI69" i="37"/>
  <c r="AH69" i="37"/>
  <c r="AI68" i="37"/>
  <c r="AH68" i="37"/>
  <c r="AI67" i="37"/>
  <c r="AH67" i="37"/>
  <c r="AF66" i="37"/>
  <c r="AE66" i="37"/>
  <c r="AD66" i="37"/>
  <c r="AC66" i="37"/>
  <c r="AB66" i="37"/>
  <c r="Z66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AI65" i="37"/>
  <c r="AH65" i="37"/>
  <c r="AI64" i="37"/>
  <c r="AH64" i="37"/>
  <c r="AI63" i="37"/>
  <c r="AH63" i="37"/>
  <c r="AI62" i="37"/>
  <c r="AH62" i="37"/>
  <c r="AI61" i="37"/>
  <c r="AH61" i="37"/>
  <c r="AI60" i="37"/>
  <c r="AH60" i="37"/>
  <c r="AI59" i="37"/>
  <c r="AH59" i="37"/>
  <c r="AI58" i="37"/>
  <c r="AH58" i="37"/>
  <c r="AI57" i="37"/>
  <c r="AH57" i="37"/>
  <c r="AI56" i="37"/>
  <c r="AH56" i="37"/>
  <c r="AI55" i="37"/>
  <c r="AH55" i="37"/>
  <c r="AI54" i="37"/>
  <c r="AH54" i="37"/>
  <c r="AI53" i="37"/>
  <c r="AH53" i="37"/>
  <c r="AG52" i="37"/>
  <c r="AF52" i="37"/>
  <c r="AE52" i="37"/>
  <c r="AD52" i="37"/>
  <c r="AC52" i="37"/>
  <c r="AB52" i="37"/>
  <c r="Z52" i="37"/>
  <c r="Y52" i="37"/>
  <c r="X52" i="37"/>
  <c r="W52" i="37"/>
  <c r="V52" i="37"/>
  <c r="U52" i="37"/>
  <c r="T52" i="37"/>
  <c r="S52" i="37"/>
  <c r="R52" i="37"/>
  <c r="Q52" i="37"/>
  <c r="P52" i="37"/>
  <c r="O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AI51" i="37"/>
  <c r="AH51" i="37"/>
  <c r="AI50" i="37"/>
  <c r="AH50" i="37"/>
  <c r="AI49" i="37"/>
  <c r="AH49" i="37"/>
  <c r="AG48" i="37"/>
  <c r="AF48" i="37"/>
  <c r="AE48" i="37"/>
  <c r="AD48" i="37"/>
  <c r="AC48" i="37"/>
  <c r="AB48" i="37"/>
  <c r="Z48" i="37"/>
  <c r="Y48" i="37"/>
  <c r="X48" i="37"/>
  <c r="W48" i="37"/>
  <c r="V48" i="37"/>
  <c r="U48" i="37"/>
  <c r="T48" i="37"/>
  <c r="S48" i="37"/>
  <c r="R48" i="37"/>
  <c r="Q48" i="37"/>
  <c r="P48" i="37"/>
  <c r="O48" i="37"/>
  <c r="M48" i="37"/>
  <c r="L48" i="37"/>
  <c r="K48" i="37"/>
  <c r="J48" i="37"/>
  <c r="I48" i="37"/>
  <c r="H48" i="37"/>
  <c r="G48" i="37"/>
  <c r="F48" i="37"/>
  <c r="E48" i="37"/>
  <c r="D48" i="37"/>
  <c r="C48" i="37"/>
  <c r="B48" i="37"/>
  <c r="AI47" i="37"/>
  <c r="AH47" i="37"/>
  <c r="AI46" i="37"/>
  <c r="AH46" i="37"/>
  <c r="AI45" i="37"/>
  <c r="AH45" i="37"/>
  <c r="AI44" i="37"/>
  <c r="AH44" i="37"/>
  <c r="AI43" i="37"/>
  <c r="AH43" i="37"/>
  <c r="AI42" i="37"/>
  <c r="AH42" i="37"/>
  <c r="AI41" i="37"/>
  <c r="AH41" i="37"/>
  <c r="AI40" i="37"/>
  <c r="AH40" i="37"/>
  <c r="AI39" i="37"/>
  <c r="AH39" i="37"/>
  <c r="AI38" i="37"/>
  <c r="AH38" i="37"/>
  <c r="AI37" i="37"/>
  <c r="AH37" i="37"/>
  <c r="AI36" i="37"/>
  <c r="AH36" i="37"/>
  <c r="AI35" i="37"/>
  <c r="AH35" i="37"/>
  <c r="AI34" i="37"/>
  <c r="AH34" i="37"/>
  <c r="AI33" i="37"/>
  <c r="AH33" i="37"/>
  <c r="AI32" i="37"/>
  <c r="AH32" i="37"/>
  <c r="AI31" i="37"/>
  <c r="AH31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AI23" i="37"/>
  <c r="AH23" i="37"/>
  <c r="AI22" i="37"/>
  <c r="AH22" i="37"/>
  <c r="AI21" i="37"/>
  <c r="AH21" i="37"/>
  <c r="AI20" i="37"/>
  <c r="AH20" i="37"/>
  <c r="AI19" i="37"/>
  <c r="AH19" i="37"/>
  <c r="AI18" i="37"/>
  <c r="AH18" i="37"/>
  <c r="AI17" i="37"/>
  <c r="AH17" i="37"/>
  <c r="AI16" i="37"/>
  <c r="AH16" i="37"/>
  <c r="AI15" i="37"/>
  <c r="AH15" i="37"/>
  <c r="AI14" i="37"/>
  <c r="AH14" i="37"/>
  <c r="AI13" i="37"/>
  <c r="AH13" i="37"/>
  <c r="AI12" i="37"/>
  <c r="AH12" i="37"/>
  <c r="AI11" i="37"/>
  <c r="AH11" i="37"/>
  <c r="AA5" i="37"/>
  <c r="K4" i="37"/>
  <c r="E4" i="37"/>
  <c r="H4" i="37" s="1"/>
  <c r="B4" i="37"/>
  <c r="S244" i="37" s="1"/>
  <c r="AG89" i="37" l="1"/>
  <c r="B108" i="37"/>
  <c r="AG87" i="37"/>
  <c r="E227" i="37"/>
  <c r="F227" i="37" s="1"/>
  <c r="E232" i="37"/>
  <c r="AF98" i="37"/>
  <c r="AF87" i="37"/>
  <c r="AF89" i="37" s="1"/>
  <c r="AF90" i="37" s="1"/>
  <c r="AD5" i="37"/>
  <c r="AE87" i="37"/>
  <c r="AE89" i="37" s="1"/>
  <c r="AC5" i="37"/>
  <c r="AD87" i="37"/>
  <c r="AD89" i="37" s="1"/>
  <c r="AC98" i="37"/>
  <c r="AC87" i="37"/>
  <c r="AC89" i="37" s="1"/>
  <c r="AU247" i="37" s="1"/>
  <c r="AB87" i="37"/>
  <c r="AB89" i="37" s="1"/>
  <c r="AT247" i="37" s="1"/>
  <c r="Z87" i="37"/>
  <c r="Z89" i="37" s="1"/>
  <c r="Z90" i="37" s="1"/>
  <c r="Y98" i="37"/>
  <c r="Y87" i="37"/>
  <c r="Y89" i="37" s="1"/>
  <c r="X98" i="37"/>
  <c r="W98" i="37"/>
  <c r="W87" i="37"/>
  <c r="W89" i="37" s="1"/>
  <c r="X87" i="37"/>
  <c r="X89" i="37" s="1"/>
  <c r="X7" i="37" s="1"/>
  <c r="U5" i="37"/>
  <c r="V87" i="37"/>
  <c r="V89" i="37" s="1"/>
  <c r="AN247" i="37" s="1"/>
  <c r="U98" i="37"/>
  <c r="U87" i="37"/>
  <c r="U89" i="37" s="1"/>
  <c r="S5" i="37"/>
  <c r="T87" i="37"/>
  <c r="T89" i="37" s="1"/>
  <c r="AL247" i="37" s="1"/>
  <c r="S87" i="37"/>
  <c r="S89" i="37" s="1"/>
  <c r="S90" i="37" s="1"/>
  <c r="R87" i="37"/>
  <c r="R89" i="37" s="1"/>
  <c r="R7" i="37" s="1"/>
  <c r="Q98" i="37"/>
  <c r="AI70" i="37"/>
  <c r="Q87" i="37"/>
  <c r="Q89" i="37" s="1"/>
  <c r="O5" i="37"/>
  <c r="P87" i="37"/>
  <c r="P89" i="37" s="1"/>
  <c r="O98" i="37"/>
  <c r="O87" i="37"/>
  <c r="O89" i="37" s="1"/>
  <c r="M5" i="37"/>
  <c r="N87" i="37"/>
  <c r="N89" i="37" s="1"/>
  <c r="AF247" i="37" s="1"/>
  <c r="L5" i="37"/>
  <c r="M87" i="37"/>
  <c r="M89" i="37" s="1"/>
  <c r="M90" i="37" s="1"/>
  <c r="K5" i="37"/>
  <c r="L87" i="37"/>
  <c r="L89" i="37" s="1"/>
  <c r="AD247" i="37" s="1"/>
  <c r="K87" i="37"/>
  <c r="K89" i="37" s="1"/>
  <c r="J87" i="37"/>
  <c r="J89" i="37" s="1"/>
  <c r="J7" i="37" s="1"/>
  <c r="I98" i="37"/>
  <c r="I87" i="37"/>
  <c r="I89" i="37" s="1"/>
  <c r="I90" i="37" s="1"/>
  <c r="H98" i="37"/>
  <c r="H87" i="37"/>
  <c r="H89" i="37" s="1"/>
  <c r="Z247" i="37" s="1"/>
  <c r="AH52" i="37"/>
  <c r="G98" i="37"/>
  <c r="G87" i="37"/>
  <c r="G89" i="37" s="1"/>
  <c r="E5" i="37"/>
  <c r="F87" i="37"/>
  <c r="F89" i="37" s="1"/>
  <c r="F7" i="37" s="1"/>
  <c r="E98" i="37"/>
  <c r="E87" i="37"/>
  <c r="E89" i="37" s="1"/>
  <c r="E90" i="37" s="1"/>
  <c r="C5" i="37"/>
  <c r="AH66" i="37"/>
  <c r="D87" i="37"/>
  <c r="D89" i="37" s="1"/>
  <c r="D7" i="37" s="1"/>
  <c r="AH48" i="37"/>
  <c r="C87" i="37"/>
  <c r="C89" i="37" s="1"/>
  <c r="C90" i="37" s="1"/>
  <c r="AI66" i="37"/>
  <c r="K90" i="37"/>
  <c r="AC247" i="37"/>
  <c r="K7" i="37"/>
  <c r="AK247" i="37"/>
  <c r="AA7" i="37"/>
  <c r="AS247" i="37"/>
  <c r="AG247" i="37"/>
  <c r="O90" i="37"/>
  <c r="O7" i="37"/>
  <c r="N90" i="37"/>
  <c r="N7" i="37"/>
  <c r="L90" i="37"/>
  <c r="AO247" i="37"/>
  <c r="W90" i="37"/>
  <c r="W7" i="37"/>
  <c r="AV247" i="37"/>
  <c r="AD90" i="37"/>
  <c r="AD7" i="37"/>
  <c r="AW247" i="37"/>
  <c r="AE90" i="37"/>
  <c r="AE7" i="37"/>
  <c r="G227" i="37"/>
  <c r="H90" i="37"/>
  <c r="P90" i="37"/>
  <c r="P7" i="37"/>
  <c r="AH247" i="37"/>
  <c r="X90" i="37"/>
  <c r="AP247" i="37"/>
  <c r="AF7" i="37"/>
  <c r="T90" i="37"/>
  <c r="AB7" i="37"/>
  <c r="AB90" i="37"/>
  <c r="X247" i="37"/>
  <c r="F90" i="37"/>
  <c r="I7" i="37"/>
  <c r="Q7" i="37"/>
  <c r="AI247" i="37"/>
  <c r="Q90" i="37"/>
  <c r="Y90" i="37"/>
  <c r="Y7" i="37"/>
  <c r="AQ247" i="37"/>
  <c r="U7" i="37"/>
  <c r="AM247" i="37"/>
  <c r="U90" i="37"/>
  <c r="AC7" i="37"/>
  <c r="Y247" i="37"/>
  <c r="J230" i="37"/>
  <c r="K230" i="37" s="1"/>
  <c r="L230" i="37" s="1"/>
  <c r="M230" i="37" s="1"/>
  <c r="N230" i="37" s="1"/>
  <c r="O230" i="37" s="1"/>
  <c r="P230" i="37" s="1"/>
  <c r="B87" i="37"/>
  <c r="I5" i="37"/>
  <c r="Q5" i="37"/>
  <c r="Y5" i="37"/>
  <c r="AH70" i="37"/>
  <c r="E233" i="37"/>
  <c r="D244" i="37"/>
  <c r="B5" i="37"/>
  <c r="J5" i="37"/>
  <c r="R5" i="37"/>
  <c r="Z5" i="37"/>
  <c r="D108" i="37"/>
  <c r="AG2" i="37"/>
  <c r="AG6" i="37" s="1"/>
  <c r="E108" i="37"/>
  <c r="AI48" i="37"/>
  <c r="AI52" i="37"/>
  <c r="AH82" i="37"/>
  <c r="AI82" i="37"/>
  <c r="B98" i="37"/>
  <c r="AX247" i="37" l="1"/>
  <c r="V7" i="37"/>
  <c r="D268" i="37"/>
  <c r="F232" i="37"/>
  <c r="AE247" i="37"/>
  <c r="AJ247" i="37"/>
  <c r="Z7" i="37"/>
  <c r="AC90" i="37"/>
  <c r="R90" i="37"/>
  <c r="T7" i="37"/>
  <c r="V90" i="37"/>
  <c r="AR247" i="37"/>
  <c r="S7" i="37"/>
  <c r="M7" i="37"/>
  <c r="L7" i="37"/>
  <c r="AB247" i="37"/>
  <c r="J90" i="37"/>
  <c r="AA247" i="37"/>
  <c r="H7" i="37"/>
  <c r="C242" i="37"/>
  <c r="B242" i="37"/>
  <c r="G7" i="37"/>
  <c r="G90" i="37"/>
  <c r="W247" i="37"/>
  <c r="E7" i="37"/>
  <c r="D90" i="37"/>
  <c r="V247" i="37"/>
  <c r="U247" i="37"/>
  <c r="C7" i="37"/>
  <c r="AI98" i="37"/>
  <c r="AH98" i="37"/>
  <c r="H227" i="37"/>
  <c r="AH87" i="37"/>
  <c r="B89" i="37"/>
  <c r="AI87" i="37"/>
  <c r="E268" i="37" l="1"/>
  <c r="G232" i="37"/>
  <c r="F108" i="37"/>
  <c r="F233" i="37"/>
  <c r="K6" i="37"/>
  <c r="AI89" i="37"/>
  <c r="B90" i="37"/>
  <c r="AH89" i="37"/>
  <c r="B7" i="37"/>
  <c r="A7" i="37" s="1"/>
  <c r="T247" i="37"/>
  <c r="I227" i="37"/>
  <c r="F268" i="37" l="1"/>
  <c r="H232" i="37"/>
  <c r="G108" i="37"/>
  <c r="G233" i="37"/>
  <c r="J227" i="37"/>
  <c r="AI90" i="37"/>
  <c r="AH90" i="37"/>
  <c r="G268" i="37" l="1"/>
  <c r="I232" i="37"/>
  <c r="H233" i="37"/>
  <c r="H108" i="37"/>
  <c r="K227" i="37"/>
  <c r="H268" i="37" l="1"/>
  <c r="J232" i="37"/>
  <c r="I108" i="37"/>
  <c r="L227" i="37"/>
  <c r="K232" i="37" l="1"/>
  <c r="I268" i="37"/>
  <c r="J108" i="37"/>
  <c r="M227" i="37"/>
  <c r="L232" i="37" l="1"/>
  <c r="J268" i="37"/>
  <c r="K108" i="37"/>
  <c r="N227" i="37"/>
  <c r="M232" i="37" l="1"/>
  <c r="K268" i="37"/>
  <c r="L108" i="37"/>
  <c r="O227" i="37"/>
  <c r="L268" i="37" l="1"/>
  <c r="N232" i="37"/>
  <c r="M108" i="37"/>
  <c r="P227" i="37"/>
  <c r="O232" i="37" l="1"/>
  <c r="M268" i="37"/>
  <c r="N108" i="37"/>
  <c r="N268" i="37" l="1"/>
  <c r="P232" i="37"/>
  <c r="O268" i="37" s="1"/>
  <c r="O108" i="37"/>
  <c r="AI108" i="37" s="1"/>
  <c r="D111" i="36"/>
  <c r="D48" i="36"/>
  <c r="D52" i="36"/>
  <c r="D66" i="36"/>
  <c r="D82" i="36"/>
  <c r="C5" i="36" s="1"/>
  <c r="B111" i="36"/>
  <c r="C111" i="36"/>
  <c r="B82" i="36"/>
  <c r="B98" i="36" s="1"/>
  <c r="B70" i="36"/>
  <c r="B66" i="36"/>
  <c r="B52" i="36"/>
  <c r="B48" i="36"/>
  <c r="AF271" i="36"/>
  <c r="AE271" i="36"/>
  <c r="AD271" i="36"/>
  <c r="AC271" i="36"/>
  <c r="AB271" i="36"/>
  <c r="AA271" i="36"/>
  <c r="Z271" i="36"/>
  <c r="Y271" i="36"/>
  <c r="X271" i="36"/>
  <c r="W271" i="36"/>
  <c r="V271" i="36"/>
  <c r="U271" i="36"/>
  <c r="T271" i="36"/>
  <c r="S271" i="36"/>
  <c r="R271" i="36"/>
  <c r="Q271" i="36"/>
  <c r="P271" i="36"/>
  <c r="O271" i="36"/>
  <c r="N271" i="36"/>
  <c r="M271" i="36"/>
  <c r="L271" i="36"/>
  <c r="K271" i="36"/>
  <c r="J271" i="36"/>
  <c r="I271" i="36"/>
  <c r="H271" i="36"/>
  <c r="G271" i="36"/>
  <c r="F271" i="36"/>
  <c r="E271" i="36"/>
  <c r="D271" i="36"/>
  <c r="C271" i="36"/>
  <c r="B271" i="36"/>
  <c r="A271" i="36"/>
  <c r="AF270" i="36"/>
  <c r="AE270" i="36"/>
  <c r="AD270" i="36"/>
  <c r="AC270" i="36"/>
  <c r="AB270" i="36"/>
  <c r="AA270" i="36"/>
  <c r="Z270" i="36"/>
  <c r="Y270" i="36"/>
  <c r="X270" i="36"/>
  <c r="W270" i="36"/>
  <c r="V270" i="36"/>
  <c r="U270" i="36"/>
  <c r="T270" i="36"/>
  <c r="S270" i="36"/>
  <c r="R270" i="36"/>
  <c r="Q270" i="36"/>
  <c r="P270" i="36"/>
  <c r="O270" i="36"/>
  <c r="N270" i="36"/>
  <c r="M270" i="36"/>
  <c r="L270" i="36"/>
  <c r="K270" i="36"/>
  <c r="J270" i="36"/>
  <c r="I270" i="36"/>
  <c r="H270" i="36"/>
  <c r="G270" i="36"/>
  <c r="F270" i="36"/>
  <c r="E270" i="36"/>
  <c r="D270" i="36"/>
  <c r="C270" i="36"/>
  <c r="B270" i="36"/>
  <c r="A270" i="36"/>
  <c r="AF269" i="36"/>
  <c r="AE269" i="36"/>
  <c r="AD269" i="36"/>
  <c r="AC269" i="36"/>
  <c r="AB269" i="36"/>
  <c r="AA269" i="36"/>
  <c r="Z269" i="36"/>
  <c r="Y269" i="36"/>
  <c r="X269" i="36"/>
  <c r="W269" i="36"/>
  <c r="V269" i="36"/>
  <c r="U269" i="36"/>
  <c r="T269" i="36"/>
  <c r="S269" i="36"/>
  <c r="R269" i="36"/>
  <c r="Q269" i="36"/>
  <c r="P269" i="36"/>
  <c r="O269" i="36"/>
  <c r="N269" i="36"/>
  <c r="M269" i="36"/>
  <c r="L269" i="36"/>
  <c r="K269" i="36"/>
  <c r="J269" i="36"/>
  <c r="I269" i="36"/>
  <c r="H269" i="36"/>
  <c r="G269" i="36"/>
  <c r="F269" i="36"/>
  <c r="E269" i="36"/>
  <c r="D269" i="36"/>
  <c r="C269" i="36"/>
  <c r="B269" i="36"/>
  <c r="A269" i="36"/>
  <c r="AF268" i="36"/>
  <c r="AE268" i="36"/>
  <c r="AD268" i="36"/>
  <c r="AC268" i="36"/>
  <c r="AB268" i="36"/>
  <c r="AA268" i="36"/>
  <c r="Z268" i="36"/>
  <c r="Y268" i="36"/>
  <c r="X268" i="36"/>
  <c r="W268" i="36"/>
  <c r="V268" i="36"/>
  <c r="U268" i="36"/>
  <c r="T268" i="36"/>
  <c r="S268" i="36"/>
  <c r="R268" i="36"/>
  <c r="Q268" i="36"/>
  <c r="P268" i="36"/>
  <c r="O268" i="36"/>
  <c r="N268" i="36"/>
  <c r="M268" i="36"/>
  <c r="L268" i="36"/>
  <c r="K268" i="36"/>
  <c r="J268" i="36"/>
  <c r="I268" i="36"/>
  <c r="H268" i="36"/>
  <c r="G268" i="36"/>
  <c r="F268" i="36"/>
  <c r="E268" i="36"/>
  <c r="D268" i="36"/>
  <c r="C268" i="36"/>
  <c r="B268" i="36"/>
  <c r="A268" i="36"/>
  <c r="AE267" i="36"/>
  <c r="AD267" i="36"/>
  <c r="AC267" i="36"/>
  <c r="AB267" i="36"/>
  <c r="AA267" i="36"/>
  <c r="Z267" i="36"/>
  <c r="Y267" i="36"/>
  <c r="X267" i="36"/>
  <c r="W267" i="36"/>
  <c r="V267" i="36"/>
  <c r="U267" i="36"/>
  <c r="T267" i="36"/>
  <c r="S267" i="36"/>
  <c r="R267" i="36"/>
  <c r="Q267" i="36"/>
  <c r="P267" i="36"/>
  <c r="B267" i="36"/>
  <c r="S242" i="36"/>
  <c r="AG232" i="36"/>
  <c r="AG65" i="36" s="1"/>
  <c r="AG66" i="36" s="1"/>
  <c r="AF232" i="36"/>
  <c r="AE232" i="36"/>
  <c r="AD232" i="36"/>
  <c r="AC232" i="36"/>
  <c r="AB232" i="36"/>
  <c r="AA232" i="36"/>
  <c r="Z232" i="36"/>
  <c r="Y232" i="36"/>
  <c r="X232" i="36"/>
  <c r="W232" i="36"/>
  <c r="V232" i="36"/>
  <c r="U232" i="36"/>
  <c r="T232" i="36"/>
  <c r="S232" i="36"/>
  <c r="R232" i="36"/>
  <c r="Q232" i="36"/>
  <c r="C232" i="36"/>
  <c r="D231" i="36"/>
  <c r="E231" i="36" s="1"/>
  <c r="B231" i="36"/>
  <c r="AF267" i="36" s="1"/>
  <c r="E230" i="36"/>
  <c r="F230" i="36" s="1"/>
  <c r="G230" i="36" s="1"/>
  <c r="H230" i="36" s="1"/>
  <c r="I230" i="36" s="1"/>
  <c r="J230" i="36" s="1"/>
  <c r="K230" i="36" s="1"/>
  <c r="L230" i="36" s="1"/>
  <c r="M230" i="36" s="1"/>
  <c r="N230" i="36" s="1"/>
  <c r="O230" i="36" s="1"/>
  <c r="P230" i="36" s="1"/>
  <c r="D230" i="36"/>
  <c r="B230" i="36"/>
  <c r="D229" i="36"/>
  <c r="E229" i="36" s="1"/>
  <c r="F229" i="36" s="1"/>
  <c r="G229" i="36" s="1"/>
  <c r="H229" i="36" s="1"/>
  <c r="I229" i="36" s="1"/>
  <c r="B229" i="36"/>
  <c r="D228" i="36"/>
  <c r="E228" i="36" s="1"/>
  <c r="F228" i="36" s="1"/>
  <c r="G228" i="36" s="1"/>
  <c r="H228" i="36" s="1"/>
  <c r="B228" i="36"/>
  <c r="D227" i="36"/>
  <c r="E227" i="36" s="1"/>
  <c r="F227" i="36" s="1"/>
  <c r="G227" i="36" s="1"/>
  <c r="H227" i="36" s="1"/>
  <c r="I227" i="36" s="1"/>
  <c r="J227" i="36" s="1"/>
  <c r="K227" i="36" s="1"/>
  <c r="L227" i="36" s="1"/>
  <c r="M227" i="36" s="1"/>
  <c r="N227" i="36" s="1"/>
  <c r="O227" i="36" s="1"/>
  <c r="P227" i="36" s="1"/>
  <c r="B227" i="36"/>
  <c r="D226" i="36"/>
  <c r="B226" i="36"/>
  <c r="B108" i="36" s="1"/>
  <c r="AG224" i="36"/>
  <c r="AF224" i="36"/>
  <c r="AE224" i="36"/>
  <c r="AD224" i="36"/>
  <c r="AC224" i="36"/>
  <c r="AB224" i="36"/>
  <c r="AA224" i="36"/>
  <c r="Z224" i="36"/>
  <c r="Y224" i="36"/>
  <c r="X224" i="36"/>
  <c r="W224" i="36"/>
  <c r="V224" i="36"/>
  <c r="U224" i="36"/>
  <c r="T224" i="36"/>
  <c r="S224" i="36"/>
  <c r="R224" i="36"/>
  <c r="Q224" i="36"/>
  <c r="P224" i="36"/>
  <c r="O224" i="36"/>
  <c r="N224" i="36"/>
  <c r="M224" i="36"/>
  <c r="L224" i="36"/>
  <c r="K224" i="36"/>
  <c r="J224" i="36"/>
  <c r="I224" i="36"/>
  <c r="H224" i="36"/>
  <c r="G224" i="36"/>
  <c r="F224" i="36"/>
  <c r="E224" i="36"/>
  <c r="D224" i="36"/>
  <c r="C224" i="36"/>
  <c r="B224" i="36"/>
  <c r="AI117" i="36"/>
  <c r="AH117" i="36"/>
  <c r="AI116" i="36"/>
  <c r="AH116" i="36"/>
  <c r="AI115" i="36"/>
  <c r="AH115" i="36"/>
  <c r="AI114" i="36"/>
  <c r="AH114" i="36"/>
  <c r="AI113" i="36"/>
  <c r="AH113" i="36"/>
  <c r="AI112" i="36"/>
  <c r="AH112" i="36"/>
  <c r="AI111" i="36"/>
  <c r="AH111" i="36"/>
  <c r="AI110" i="36"/>
  <c r="AH110" i="36"/>
  <c r="AI109" i="36"/>
  <c r="AH109" i="36"/>
  <c r="AF108" i="36"/>
  <c r="AE108" i="36"/>
  <c r="AD108" i="36"/>
  <c r="AC108" i="36"/>
  <c r="AB108" i="36"/>
  <c r="AA108" i="36"/>
  <c r="Z108" i="36"/>
  <c r="Y108" i="36"/>
  <c r="X108" i="36"/>
  <c r="W108" i="36"/>
  <c r="V108" i="36"/>
  <c r="U108" i="36"/>
  <c r="T108" i="36"/>
  <c r="S108" i="36"/>
  <c r="R108" i="36"/>
  <c r="Q108" i="36"/>
  <c r="C108" i="36"/>
  <c r="AI107" i="36"/>
  <c r="AH107" i="36"/>
  <c r="AI106" i="36"/>
  <c r="AH106" i="36"/>
  <c r="AI105" i="36"/>
  <c r="AH105" i="36"/>
  <c r="AI104" i="36"/>
  <c r="AH104" i="36"/>
  <c r="AI103" i="36"/>
  <c r="AH103" i="36"/>
  <c r="AI102" i="36"/>
  <c r="AH102" i="36"/>
  <c r="AI101" i="36"/>
  <c r="AH101" i="36"/>
  <c r="AI100" i="36"/>
  <c r="AH100" i="36"/>
  <c r="AI99" i="36"/>
  <c r="AH99" i="36"/>
  <c r="AI97" i="36"/>
  <c r="AH97" i="36"/>
  <c r="AI96" i="36"/>
  <c r="AH96" i="36"/>
  <c r="AI95" i="36"/>
  <c r="AH95" i="36"/>
  <c r="AI94" i="36"/>
  <c r="AH94" i="36"/>
  <c r="AI93" i="36"/>
  <c r="AH93" i="36"/>
  <c r="AI92" i="36"/>
  <c r="AH92" i="36"/>
  <c r="AI91" i="36"/>
  <c r="AH91" i="36"/>
  <c r="AI88" i="36"/>
  <c r="AH88" i="36"/>
  <c r="AI86" i="36"/>
  <c r="AH86" i="36"/>
  <c r="AG86" i="36"/>
  <c r="AI85" i="36"/>
  <c r="AH85" i="36"/>
  <c r="AI84" i="36"/>
  <c r="AH84" i="36"/>
  <c r="AI83" i="36"/>
  <c r="AH83" i="36"/>
  <c r="AN82" i="36"/>
  <c r="AG82" i="36"/>
  <c r="AF82" i="36"/>
  <c r="AE5" i="36" s="1"/>
  <c r="AE98" i="36"/>
  <c r="AD82" i="36"/>
  <c r="AD98" i="36" s="1"/>
  <c r="AC82" i="36"/>
  <c r="AB5" i="36" s="1"/>
  <c r="AB82" i="36"/>
  <c r="AB98" i="36" s="1"/>
  <c r="AA82" i="36"/>
  <c r="AA98" i="36" s="1"/>
  <c r="Z82" i="36"/>
  <c r="Y82" i="36"/>
  <c r="X5" i="36" s="1"/>
  <c r="X82" i="36"/>
  <c r="W5" i="36" s="1"/>
  <c r="W82" i="36"/>
  <c r="W98" i="36" s="1"/>
  <c r="V82" i="36"/>
  <c r="V98" i="36" s="1"/>
  <c r="U82" i="36"/>
  <c r="T5" i="36" s="1"/>
  <c r="T82" i="36"/>
  <c r="T98" i="36" s="1"/>
  <c r="S82" i="36"/>
  <c r="S98" i="36" s="1"/>
  <c r="R82" i="36"/>
  <c r="Q82" i="36"/>
  <c r="P5" i="36" s="1"/>
  <c r="P82" i="36"/>
  <c r="O5" i="36" s="1"/>
  <c r="O82" i="36"/>
  <c r="N5" i="36" s="1"/>
  <c r="N82" i="36"/>
  <c r="N98" i="36" s="1"/>
  <c r="M82" i="36"/>
  <c r="L5" i="36" s="1"/>
  <c r="L82" i="36"/>
  <c r="L98" i="36" s="1"/>
  <c r="K82" i="36"/>
  <c r="K98" i="36" s="1"/>
  <c r="J82" i="36"/>
  <c r="I82" i="36"/>
  <c r="H5" i="36" s="1"/>
  <c r="H82" i="36"/>
  <c r="G5" i="36" s="1"/>
  <c r="G82" i="36"/>
  <c r="G98" i="36" s="1"/>
  <c r="F82" i="36"/>
  <c r="F98" i="36" s="1"/>
  <c r="E82" i="36"/>
  <c r="E98" i="36" s="1"/>
  <c r="C82" i="36"/>
  <c r="C98" i="36" s="1"/>
  <c r="AN81" i="36"/>
  <c r="AI81" i="36"/>
  <c r="AH81" i="36"/>
  <c r="AN80" i="36"/>
  <c r="AI80" i="36"/>
  <c r="AH80" i="36"/>
  <c r="AN79" i="36"/>
  <c r="AI79" i="36"/>
  <c r="AH79" i="36"/>
  <c r="AI78" i="36"/>
  <c r="AH78" i="36"/>
  <c r="AI77" i="36"/>
  <c r="AH77" i="36"/>
  <c r="AI76" i="36"/>
  <c r="AH76" i="36"/>
  <c r="AI75" i="36"/>
  <c r="AH75" i="36"/>
  <c r="AI74" i="36"/>
  <c r="AH74" i="36"/>
  <c r="AI73" i="36"/>
  <c r="AH73" i="36"/>
  <c r="AI72" i="36"/>
  <c r="AH72" i="36"/>
  <c r="AI71" i="36"/>
  <c r="AH71" i="36"/>
  <c r="AG70" i="36"/>
  <c r="AG4" i="36" s="1"/>
  <c r="AF70" i="36"/>
  <c r="AD70" i="36"/>
  <c r="AC70" i="36"/>
  <c r="AB70" i="36"/>
  <c r="AA70" i="36"/>
  <c r="Z70" i="36"/>
  <c r="Y70" i="36"/>
  <c r="X70" i="36"/>
  <c r="W70" i="36"/>
  <c r="V70" i="36"/>
  <c r="U70" i="36"/>
  <c r="T70" i="36"/>
  <c r="S70" i="36"/>
  <c r="R70" i="36"/>
  <c r="Q70" i="36"/>
  <c r="P70" i="36"/>
  <c r="O70" i="36"/>
  <c r="N70" i="36"/>
  <c r="M70" i="36"/>
  <c r="L70" i="36"/>
  <c r="AI69" i="36"/>
  <c r="AH69" i="36"/>
  <c r="AI68" i="36"/>
  <c r="AH68" i="36"/>
  <c r="AI67" i="36"/>
  <c r="AH67" i="36"/>
  <c r="AF66" i="36"/>
  <c r="AD66" i="36"/>
  <c r="AC66" i="36"/>
  <c r="AB66" i="36"/>
  <c r="AA66" i="36"/>
  <c r="Z66" i="36"/>
  <c r="Y66" i="36"/>
  <c r="X66" i="36"/>
  <c r="W66" i="36"/>
  <c r="V66" i="36"/>
  <c r="U66" i="36"/>
  <c r="T66" i="36"/>
  <c r="S66" i="36"/>
  <c r="R66" i="36"/>
  <c r="Q66" i="36"/>
  <c r="P66" i="36"/>
  <c r="O66" i="36"/>
  <c r="N66" i="36"/>
  <c r="M66" i="36"/>
  <c r="L66" i="36"/>
  <c r="K66" i="36"/>
  <c r="J66" i="36"/>
  <c r="I66" i="36"/>
  <c r="H66" i="36"/>
  <c r="G66" i="36"/>
  <c r="F66" i="36"/>
  <c r="E66" i="36"/>
  <c r="C66" i="36"/>
  <c r="AI65" i="36"/>
  <c r="AH65" i="36"/>
  <c r="AI64" i="36"/>
  <c r="AH64" i="36"/>
  <c r="AI63" i="36"/>
  <c r="AH63" i="36"/>
  <c r="AI62" i="36"/>
  <c r="AH62" i="36"/>
  <c r="AI61" i="36"/>
  <c r="AH61" i="36"/>
  <c r="AI60" i="36"/>
  <c r="AH60" i="36"/>
  <c r="AI59" i="36"/>
  <c r="AH59" i="36"/>
  <c r="AI58" i="36"/>
  <c r="AH58" i="36"/>
  <c r="AI57" i="36"/>
  <c r="AH57" i="36"/>
  <c r="AI56" i="36"/>
  <c r="AH56" i="36"/>
  <c r="AI55" i="36"/>
  <c r="AH55" i="36"/>
  <c r="AI54" i="36"/>
  <c r="AH54" i="36"/>
  <c r="AI53" i="36"/>
  <c r="AH53" i="36"/>
  <c r="AG52" i="36"/>
  <c r="AF52" i="36"/>
  <c r="AD52" i="36"/>
  <c r="AC52" i="36"/>
  <c r="AB52" i="36"/>
  <c r="AA52" i="36"/>
  <c r="Z52" i="36"/>
  <c r="Y52" i="36"/>
  <c r="X52" i="36"/>
  <c r="W52" i="36"/>
  <c r="V52" i="36"/>
  <c r="U52" i="36"/>
  <c r="T52" i="36"/>
  <c r="S52" i="36"/>
  <c r="R52" i="36"/>
  <c r="Q52" i="36"/>
  <c r="P52" i="36"/>
  <c r="O52" i="36"/>
  <c r="N52" i="36"/>
  <c r="M52" i="36"/>
  <c r="L52" i="36"/>
  <c r="K52" i="36"/>
  <c r="J52" i="36"/>
  <c r="I52" i="36"/>
  <c r="H52" i="36"/>
  <c r="G52" i="36"/>
  <c r="F52" i="36"/>
  <c r="E52" i="36"/>
  <c r="C52" i="36"/>
  <c r="AI51" i="36"/>
  <c r="AH51" i="36"/>
  <c r="AI50" i="36"/>
  <c r="AH50" i="36"/>
  <c r="AI49" i="36"/>
  <c r="AH49" i="36"/>
  <c r="AG48" i="36"/>
  <c r="AG87" i="36" s="1"/>
  <c r="AF48" i="36"/>
  <c r="AD48" i="36"/>
  <c r="AC48" i="36"/>
  <c r="AB48" i="36"/>
  <c r="AA48" i="36"/>
  <c r="Z48" i="36"/>
  <c r="Y48" i="36"/>
  <c r="X48" i="36"/>
  <c r="W48" i="36"/>
  <c r="V48" i="36"/>
  <c r="U48" i="36"/>
  <c r="T48" i="36"/>
  <c r="S48" i="36"/>
  <c r="R48" i="36"/>
  <c r="Q48" i="36"/>
  <c r="P48" i="36"/>
  <c r="O48" i="36"/>
  <c r="N48" i="36"/>
  <c r="M48" i="36"/>
  <c r="L48" i="36"/>
  <c r="K48" i="36"/>
  <c r="J48" i="36"/>
  <c r="I48" i="36"/>
  <c r="H48" i="36"/>
  <c r="G48" i="36"/>
  <c r="F48" i="36"/>
  <c r="E48" i="36"/>
  <c r="C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I38" i="36"/>
  <c r="AH38" i="36"/>
  <c r="AI37" i="36"/>
  <c r="AH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K4" i="36"/>
  <c r="E4" i="36"/>
  <c r="H4" i="36" s="1"/>
  <c r="B4" i="36"/>
  <c r="AG3" i="36"/>
  <c r="AF111" i="35"/>
  <c r="AF48" i="35"/>
  <c r="AF52" i="35"/>
  <c r="AF66" i="35"/>
  <c r="AF70" i="35"/>
  <c r="AE111" i="35"/>
  <c r="V48" i="35"/>
  <c r="W48" i="35"/>
  <c r="V52" i="35"/>
  <c r="V87" i="35" s="1"/>
  <c r="V89" i="35" s="1"/>
  <c r="V90" i="35" s="1"/>
  <c r="W52" i="35"/>
  <c r="V66" i="35"/>
  <c r="W66" i="35"/>
  <c r="V70" i="35"/>
  <c r="W70" i="35"/>
  <c r="V82" i="35"/>
  <c r="V98" i="35" s="1"/>
  <c r="W82" i="35"/>
  <c r="W98" i="35" s="1"/>
  <c r="W108" i="35"/>
  <c r="V111" i="35"/>
  <c r="V108" i="35" s="1"/>
  <c r="W111" i="35"/>
  <c r="AA108" i="35"/>
  <c r="AA95" i="35"/>
  <c r="AA94" i="35"/>
  <c r="AA93" i="35"/>
  <c r="AA92" i="35"/>
  <c r="AA91" i="35"/>
  <c r="AA86" i="35"/>
  <c r="AA82" i="35"/>
  <c r="AA70" i="35"/>
  <c r="AA66" i="35"/>
  <c r="AA52" i="35"/>
  <c r="AA48" i="35"/>
  <c r="Z108" i="35"/>
  <c r="Z95" i="35"/>
  <c r="Z94" i="35"/>
  <c r="Z93" i="35"/>
  <c r="Z92" i="35"/>
  <c r="Z91" i="35"/>
  <c r="Z86" i="35"/>
  <c r="Z82" i="35"/>
  <c r="Z70" i="35"/>
  <c r="Z66" i="35"/>
  <c r="Z52" i="35"/>
  <c r="Z48" i="35"/>
  <c r="U111" i="35"/>
  <c r="S111" i="35"/>
  <c r="F231" i="36" l="1"/>
  <c r="D267" i="36"/>
  <c r="K87" i="36"/>
  <c r="K89" i="36" s="1"/>
  <c r="B232" i="36"/>
  <c r="Z97" i="35"/>
  <c r="M98" i="36"/>
  <c r="D232" i="36"/>
  <c r="C267" i="36"/>
  <c r="E226" i="36"/>
  <c r="F226" i="36" s="1"/>
  <c r="F108" i="36" s="1"/>
  <c r="AH108" i="37"/>
  <c r="AC98" i="36"/>
  <c r="AF98" i="36"/>
  <c r="AF87" i="36"/>
  <c r="AF89" i="36" s="1"/>
  <c r="AX246" i="36" s="1"/>
  <c r="AD5" i="36"/>
  <c r="AE87" i="36"/>
  <c r="AE89" i="36" s="1"/>
  <c r="AE7" i="36" s="1"/>
  <c r="AC5" i="36"/>
  <c r="AD87" i="36"/>
  <c r="AD89" i="36" s="1"/>
  <c r="AD7" i="36" s="1"/>
  <c r="AC87" i="36"/>
  <c r="AC89" i="36" s="1"/>
  <c r="AU246" i="36" s="1"/>
  <c r="AA5" i="36"/>
  <c r="AB87" i="36"/>
  <c r="AB89" i="36" s="1"/>
  <c r="AT246" i="36" s="1"/>
  <c r="AA87" i="36"/>
  <c r="AA89" i="36" s="1"/>
  <c r="Y98" i="36"/>
  <c r="Y87" i="36"/>
  <c r="Y89" i="36" s="1"/>
  <c r="Y7" i="36" s="1"/>
  <c r="X98" i="36"/>
  <c r="X87" i="36"/>
  <c r="X89" i="36" s="1"/>
  <c r="X7" i="36" s="1"/>
  <c r="V5" i="36"/>
  <c r="W87" i="36"/>
  <c r="W89" i="36" s="1"/>
  <c r="AO246" i="36" s="1"/>
  <c r="V87" i="36"/>
  <c r="V89" i="36" s="1"/>
  <c r="AN246" i="36" s="1"/>
  <c r="U5" i="36"/>
  <c r="U98" i="36"/>
  <c r="U87" i="36"/>
  <c r="U89" i="36" s="1"/>
  <c r="U90" i="36" s="1"/>
  <c r="S5" i="36"/>
  <c r="T87" i="36"/>
  <c r="T89" i="36" s="1"/>
  <c r="T7" i="36" s="1"/>
  <c r="S87" i="36"/>
  <c r="S89" i="36" s="1"/>
  <c r="AK246" i="36" s="1"/>
  <c r="Q98" i="36"/>
  <c r="P98" i="36"/>
  <c r="Q87" i="36"/>
  <c r="Q89" i="36" s="1"/>
  <c r="Q90" i="36" s="1"/>
  <c r="P87" i="36"/>
  <c r="P89" i="36" s="1"/>
  <c r="P90" i="36" s="1"/>
  <c r="O98" i="36"/>
  <c r="O87" i="36"/>
  <c r="O89" i="36" s="1"/>
  <c r="AG246" i="36" s="1"/>
  <c r="N87" i="36"/>
  <c r="N89" i="36" s="1"/>
  <c r="N7" i="36" s="1"/>
  <c r="M5" i="36"/>
  <c r="M87" i="36"/>
  <c r="M89" i="36" s="1"/>
  <c r="AE246" i="36" s="1"/>
  <c r="K5" i="36"/>
  <c r="L87" i="36"/>
  <c r="L89" i="36" s="1"/>
  <c r="L90" i="36" s="1"/>
  <c r="I87" i="36"/>
  <c r="I89" i="36" s="1"/>
  <c r="I7" i="36" s="1"/>
  <c r="I98" i="36"/>
  <c r="H98" i="36"/>
  <c r="H87" i="36"/>
  <c r="H89" i="36" s="1"/>
  <c r="H90" i="36" s="1"/>
  <c r="F5" i="36"/>
  <c r="G87" i="36"/>
  <c r="G89" i="36" s="1"/>
  <c r="Y246" i="36" s="1"/>
  <c r="E5" i="36"/>
  <c r="F87" i="36"/>
  <c r="F89" i="36" s="1"/>
  <c r="F7" i="36" s="1"/>
  <c r="D5" i="36"/>
  <c r="AI66" i="36"/>
  <c r="E87" i="36"/>
  <c r="E89" i="36" s="1"/>
  <c r="D98" i="36"/>
  <c r="D87" i="36"/>
  <c r="D89" i="36" s="1"/>
  <c r="D90" i="36" s="1"/>
  <c r="AH66" i="36"/>
  <c r="C87" i="36"/>
  <c r="C89" i="36" s="1"/>
  <c r="C7" i="36" s="1"/>
  <c r="B87" i="36"/>
  <c r="B89" i="36" s="1"/>
  <c r="B90" i="36" s="1"/>
  <c r="AI70" i="36"/>
  <c r="AF5" i="36"/>
  <c r="AI82" i="36"/>
  <c r="J98" i="36"/>
  <c r="I5" i="36"/>
  <c r="Q5" i="36"/>
  <c r="R98" i="36"/>
  <c r="Z98" i="36"/>
  <c r="Y5" i="36"/>
  <c r="AH82" i="36"/>
  <c r="AG89" i="36"/>
  <c r="J229" i="36"/>
  <c r="K229" i="36" s="1"/>
  <c r="L229" i="36" s="1"/>
  <c r="M229" i="36" s="1"/>
  <c r="N229" i="36" s="1"/>
  <c r="O229" i="36" s="1"/>
  <c r="P229" i="36" s="1"/>
  <c r="AI52" i="36"/>
  <c r="AB90" i="36"/>
  <c r="AB7" i="36"/>
  <c r="AW246" i="36"/>
  <c r="R87" i="36"/>
  <c r="R89" i="36" s="1"/>
  <c r="Z87" i="36"/>
  <c r="Z89" i="36" s="1"/>
  <c r="M7" i="36"/>
  <c r="AG2" i="36"/>
  <c r="AG6" i="36" s="1"/>
  <c r="I90" i="36"/>
  <c r="J87" i="36"/>
  <c r="J89" i="36" s="1"/>
  <c r="K7" i="36"/>
  <c r="K90" i="36"/>
  <c r="AC246" i="36"/>
  <c r="AA7" i="36"/>
  <c r="AA90" i="36"/>
  <c r="AS246" i="36"/>
  <c r="D7" i="36"/>
  <c r="G226" i="36"/>
  <c r="F232" i="36"/>
  <c r="S243" i="36"/>
  <c r="D243" i="36"/>
  <c r="E7" i="36"/>
  <c r="W246" i="36"/>
  <c r="E90" i="36"/>
  <c r="AH70" i="36"/>
  <c r="E232" i="36"/>
  <c r="B5" i="36"/>
  <c r="J5" i="36"/>
  <c r="R5" i="36"/>
  <c r="Z5" i="36"/>
  <c r="D108" i="36"/>
  <c r="E108" i="36"/>
  <c r="AH48" i="36"/>
  <c r="AH52" i="36"/>
  <c r="AI48" i="36"/>
  <c r="W87" i="35"/>
  <c r="W89" i="35" s="1"/>
  <c r="W90" i="35" s="1"/>
  <c r="AA97" i="35"/>
  <c r="AA98" i="35" s="1"/>
  <c r="AA87" i="35"/>
  <c r="AA89" i="35" s="1"/>
  <c r="AA90" i="35" s="1"/>
  <c r="AA107" i="35" s="1"/>
  <c r="Z87" i="35"/>
  <c r="Z89" i="35" s="1"/>
  <c r="Z90" i="35" s="1"/>
  <c r="Z98" i="35"/>
  <c r="V246" i="36" l="1"/>
  <c r="AA246" i="36"/>
  <c r="AE90" i="36"/>
  <c r="M90" i="36"/>
  <c r="G231" i="36"/>
  <c r="E267" i="36"/>
  <c r="AC7" i="36"/>
  <c r="AF90" i="36"/>
  <c r="AF7" i="36"/>
  <c r="AD90" i="36"/>
  <c r="AV246" i="36"/>
  <c r="AC90" i="36"/>
  <c r="AQ246" i="36"/>
  <c r="Y90" i="36"/>
  <c r="V7" i="36"/>
  <c r="V90" i="36"/>
  <c r="S90" i="36"/>
  <c r="X90" i="36"/>
  <c r="AP246" i="36"/>
  <c r="W7" i="36"/>
  <c r="W90" i="36"/>
  <c r="AM246" i="36"/>
  <c r="U7" i="36"/>
  <c r="AL246" i="36"/>
  <c r="T90" i="36"/>
  <c r="Q7" i="36"/>
  <c r="P7" i="36"/>
  <c r="S7" i="36"/>
  <c r="AH246" i="36"/>
  <c r="AI246" i="36"/>
  <c r="O7" i="36"/>
  <c r="O90" i="36"/>
  <c r="N90" i="36"/>
  <c r="AF246" i="36"/>
  <c r="AD246" i="36"/>
  <c r="L7" i="36"/>
  <c r="X246" i="36"/>
  <c r="Z246" i="36"/>
  <c r="H7" i="36"/>
  <c r="G7" i="36"/>
  <c r="G90" i="36"/>
  <c r="B241" i="36"/>
  <c r="C241" i="36"/>
  <c r="F90" i="36"/>
  <c r="U246" i="36"/>
  <c r="C90" i="36"/>
  <c r="G108" i="36"/>
  <c r="H226" i="36"/>
  <c r="Z90" i="36"/>
  <c r="AR246" i="36"/>
  <c r="Z7" i="36"/>
  <c r="R90" i="36"/>
  <c r="AJ246" i="36"/>
  <c r="R7" i="36"/>
  <c r="AH87" i="36"/>
  <c r="AI87" i="36"/>
  <c r="AI98" i="36"/>
  <c r="AH98" i="36"/>
  <c r="J90" i="36"/>
  <c r="AB246" i="36"/>
  <c r="J7" i="36"/>
  <c r="H231" i="36" l="1"/>
  <c r="F267" i="36"/>
  <c r="G232" i="36"/>
  <c r="K6" i="36"/>
  <c r="AI89" i="36"/>
  <c r="T246" i="36"/>
  <c r="B7" i="36"/>
  <c r="A7" i="36" s="1"/>
  <c r="AH89" i="36"/>
  <c r="I226" i="36"/>
  <c r="H108" i="36"/>
  <c r="H232" i="36"/>
  <c r="G267" i="36" l="1"/>
  <c r="I231" i="36"/>
  <c r="AI90" i="36"/>
  <c r="AH90" i="36"/>
  <c r="I108" i="36"/>
  <c r="J226" i="36"/>
  <c r="H267" i="36" l="1"/>
  <c r="J231" i="36"/>
  <c r="J108" i="36"/>
  <c r="K226" i="36"/>
  <c r="F48" i="35"/>
  <c r="F52" i="35"/>
  <c r="F66" i="35"/>
  <c r="AF271" i="35"/>
  <c r="AE271" i="35"/>
  <c r="AD271" i="35"/>
  <c r="AC271" i="35"/>
  <c r="AB271" i="35"/>
  <c r="AA271" i="35"/>
  <c r="Z271" i="35"/>
  <c r="Y271" i="35"/>
  <c r="X271" i="35"/>
  <c r="W271" i="35"/>
  <c r="V271" i="35"/>
  <c r="U271" i="35"/>
  <c r="T271" i="35"/>
  <c r="S271" i="35"/>
  <c r="R271" i="35"/>
  <c r="Q271" i="35"/>
  <c r="P271" i="35"/>
  <c r="O271" i="35"/>
  <c r="N271" i="35"/>
  <c r="M271" i="35"/>
  <c r="L271" i="35"/>
  <c r="K271" i="35"/>
  <c r="J271" i="35"/>
  <c r="I271" i="35"/>
  <c r="H271" i="35"/>
  <c r="G271" i="35"/>
  <c r="F271" i="35"/>
  <c r="E271" i="35"/>
  <c r="D271" i="35"/>
  <c r="C271" i="35"/>
  <c r="B271" i="35"/>
  <c r="A271" i="35"/>
  <c r="AF270" i="35"/>
  <c r="AE270" i="35"/>
  <c r="AD270" i="35"/>
  <c r="AC270" i="35"/>
  <c r="AB270" i="35"/>
  <c r="AA270" i="35"/>
  <c r="Z270" i="35"/>
  <c r="Y270" i="35"/>
  <c r="X270" i="35"/>
  <c r="W270" i="35"/>
  <c r="V270" i="35"/>
  <c r="U270" i="35"/>
  <c r="T270" i="35"/>
  <c r="S270" i="35"/>
  <c r="R270" i="35"/>
  <c r="Q270" i="35"/>
  <c r="P270" i="35"/>
  <c r="O270" i="35"/>
  <c r="N270" i="35"/>
  <c r="M270" i="35"/>
  <c r="L270" i="35"/>
  <c r="K270" i="35"/>
  <c r="J270" i="35"/>
  <c r="I270" i="35"/>
  <c r="H270" i="35"/>
  <c r="G270" i="35"/>
  <c r="F270" i="35"/>
  <c r="E270" i="35"/>
  <c r="D270" i="35"/>
  <c r="C270" i="35"/>
  <c r="B270" i="35"/>
  <c r="A270" i="35"/>
  <c r="AF269" i="35"/>
  <c r="AE269" i="35"/>
  <c r="AD269" i="35"/>
  <c r="AC269" i="35"/>
  <c r="AB269" i="35"/>
  <c r="AA269" i="35"/>
  <c r="Z269" i="35"/>
  <c r="Y269" i="35"/>
  <c r="X269" i="35"/>
  <c r="W269" i="35"/>
  <c r="V269" i="35"/>
  <c r="U269" i="35"/>
  <c r="T269" i="35"/>
  <c r="S269" i="35"/>
  <c r="R269" i="35"/>
  <c r="Q269" i="35"/>
  <c r="P269" i="35"/>
  <c r="O269" i="35"/>
  <c r="N269" i="35"/>
  <c r="M269" i="35"/>
  <c r="L269" i="35"/>
  <c r="K269" i="35"/>
  <c r="J269" i="35"/>
  <c r="I269" i="35"/>
  <c r="H269" i="35"/>
  <c r="G269" i="35"/>
  <c r="F269" i="35"/>
  <c r="E269" i="35"/>
  <c r="D269" i="35"/>
  <c r="C269" i="35"/>
  <c r="B269" i="35"/>
  <c r="A269" i="35"/>
  <c r="AF268" i="35"/>
  <c r="AE268" i="35"/>
  <c r="AD268" i="35"/>
  <c r="AC268" i="35"/>
  <c r="AB268" i="35"/>
  <c r="AA268" i="35"/>
  <c r="Z268" i="35"/>
  <c r="Y268" i="35"/>
  <c r="X268" i="35"/>
  <c r="W268" i="35"/>
  <c r="V268" i="35"/>
  <c r="U268" i="35"/>
  <c r="T268" i="35"/>
  <c r="S268" i="35"/>
  <c r="R268" i="35"/>
  <c r="Q268" i="35"/>
  <c r="P268" i="35"/>
  <c r="O268" i="35"/>
  <c r="N268" i="35"/>
  <c r="M268" i="35"/>
  <c r="L268" i="35"/>
  <c r="K268" i="35"/>
  <c r="J268" i="35"/>
  <c r="I268" i="35"/>
  <c r="H268" i="35"/>
  <c r="G268" i="35"/>
  <c r="F268" i="35"/>
  <c r="E268" i="35"/>
  <c r="D268" i="35"/>
  <c r="C268" i="35"/>
  <c r="B268" i="35"/>
  <c r="A268" i="35"/>
  <c r="AE267" i="35"/>
  <c r="AD267" i="35"/>
  <c r="AC267" i="35"/>
  <c r="AB267" i="35"/>
  <c r="AA267" i="35"/>
  <c r="Z267" i="35"/>
  <c r="Y267" i="35"/>
  <c r="X267" i="35"/>
  <c r="W267" i="35"/>
  <c r="V267" i="35"/>
  <c r="U267" i="35"/>
  <c r="T267" i="35"/>
  <c r="S267" i="35"/>
  <c r="R267" i="35"/>
  <c r="Q267" i="35"/>
  <c r="P267" i="35"/>
  <c r="B267" i="35"/>
  <c r="S242" i="35"/>
  <c r="AG232" i="35"/>
  <c r="AG65" i="35" s="1"/>
  <c r="AG66" i="35" s="1"/>
  <c r="AG3" i="35" s="1"/>
  <c r="AF232" i="35"/>
  <c r="AE232" i="35"/>
  <c r="AD232" i="35"/>
  <c r="AC232" i="35"/>
  <c r="AB232" i="35"/>
  <c r="AA232" i="35"/>
  <c r="Z232" i="35"/>
  <c r="Y232" i="35"/>
  <c r="X232" i="35"/>
  <c r="W232" i="35"/>
  <c r="V232" i="35"/>
  <c r="U232" i="35"/>
  <c r="T232" i="35"/>
  <c r="S232" i="35"/>
  <c r="R232" i="35"/>
  <c r="Q232" i="35"/>
  <c r="C232" i="35"/>
  <c r="D231" i="35"/>
  <c r="E231" i="35" s="1"/>
  <c r="B231" i="35"/>
  <c r="AF267" i="35" s="1"/>
  <c r="D230" i="35"/>
  <c r="E230" i="35" s="1"/>
  <c r="F230" i="35" s="1"/>
  <c r="G230" i="35" s="1"/>
  <c r="H230" i="35" s="1"/>
  <c r="I230" i="35" s="1"/>
  <c r="J230" i="35" s="1"/>
  <c r="K230" i="35" s="1"/>
  <c r="L230" i="35" s="1"/>
  <c r="M230" i="35" s="1"/>
  <c r="N230" i="35" s="1"/>
  <c r="O230" i="35" s="1"/>
  <c r="P230" i="35" s="1"/>
  <c r="B230" i="35"/>
  <c r="D229" i="35"/>
  <c r="E229" i="35" s="1"/>
  <c r="F229" i="35" s="1"/>
  <c r="G229" i="35" s="1"/>
  <c r="H229" i="35" s="1"/>
  <c r="I229" i="35" s="1"/>
  <c r="B229" i="35"/>
  <c r="D228" i="35"/>
  <c r="E228" i="35" s="1"/>
  <c r="F228" i="35" s="1"/>
  <c r="G228" i="35" s="1"/>
  <c r="H228" i="35" s="1"/>
  <c r="B228" i="35"/>
  <c r="F227" i="35"/>
  <c r="G227" i="35" s="1"/>
  <c r="H227" i="35" s="1"/>
  <c r="I227" i="35" s="1"/>
  <c r="J227" i="35" s="1"/>
  <c r="K227" i="35" s="1"/>
  <c r="L227" i="35" s="1"/>
  <c r="M227" i="35" s="1"/>
  <c r="N227" i="35" s="1"/>
  <c r="O227" i="35" s="1"/>
  <c r="P227" i="35" s="1"/>
  <c r="E227" i="35"/>
  <c r="D227" i="35"/>
  <c r="B227" i="35"/>
  <c r="D226" i="35"/>
  <c r="B226" i="35"/>
  <c r="AG224" i="35"/>
  <c r="AF224" i="35"/>
  <c r="AE224" i="35"/>
  <c r="AD224" i="35"/>
  <c r="AC224" i="35"/>
  <c r="AB224" i="35"/>
  <c r="AA224" i="35"/>
  <c r="Z224" i="35"/>
  <c r="Y224" i="35"/>
  <c r="X224" i="35"/>
  <c r="W224" i="35"/>
  <c r="V224" i="35"/>
  <c r="U224" i="35"/>
  <c r="T224" i="35"/>
  <c r="S224" i="35"/>
  <c r="R224" i="35"/>
  <c r="Q224" i="35"/>
  <c r="P224" i="35"/>
  <c r="O224" i="35"/>
  <c r="N224" i="35"/>
  <c r="M224" i="35"/>
  <c r="L224" i="35"/>
  <c r="K224" i="35"/>
  <c r="J224" i="35"/>
  <c r="I224" i="35"/>
  <c r="H224" i="35"/>
  <c r="G224" i="35"/>
  <c r="F224" i="35"/>
  <c r="E224" i="35"/>
  <c r="D224" i="35"/>
  <c r="C224" i="35"/>
  <c r="B224" i="35"/>
  <c r="AI117" i="35"/>
  <c r="AH117" i="35"/>
  <c r="AI116" i="35"/>
  <c r="AH116" i="35"/>
  <c r="AI115" i="35"/>
  <c r="AH115" i="35"/>
  <c r="AI114" i="35"/>
  <c r="AH114" i="35"/>
  <c r="AI113" i="35"/>
  <c r="AH113" i="35"/>
  <c r="AI112" i="35"/>
  <c r="AH112" i="35"/>
  <c r="AI111" i="35"/>
  <c r="AH111" i="35"/>
  <c r="AI110" i="35"/>
  <c r="AH110" i="35"/>
  <c r="AI109" i="35"/>
  <c r="AH109" i="35"/>
  <c r="AF108" i="35"/>
  <c r="AE108" i="35"/>
  <c r="AD108" i="35"/>
  <c r="AC108" i="35"/>
  <c r="AB108" i="35"/>
  <c r="Y108" i="35"/>
  <c r="X108" i="35"/>
  <c r="U108" i="35"/>
  <c r="T108" i="35"/>
  <c r="S108" i="35"/>
  <c r="R108" i="35"/>
  <c r="Q108" i="35"/>
  <c r="C108" i="35"/>
  <c r="AI107" i="35"/>
  <c r="AH107" i="35"/>
  <c r="AI106" i="35"/>
  <c r="AH106" i="35"/>
  <c r="AI105" i="35"/>
  <c r="AH105" i="35"/>
  <c r="AI104" i="35"/>
  <c r="AH104" i="35"/>
  <c r="AI103" i="35"/>
  <c r="AH103" i="35"/>
  <c r="AI102" i="35"/>
  <c r="AH102" i="35"/>
  <c r="AI101" i="35"/>
  <c r="AH101" i="35"/>
  <c r="AI100" i="35"/>
  <c r="AH100" i="35"/>
  <c r="AI99" i="35"/>
  <c r="AH99" i="35"/>
  <c r="X98" i="35"/>
  <c r="AI97" i="35"/>
  <c r="AH97" i="35"/>
  <c r="AI96" i="35"/>
  <c r="AH96" i="35"/>
  <c r="AI95" i="35"/>
  <c r="AH95" i="35"/>
  <c r="AI94" i="35"/>
  <c r="AH94" i="35"/>
  <c r="AI93" i="35"/>
  <c r="AH93" i="35"/>
  <c r="AI92" i="35"/>
  <c r="AH92" i="35"/>
  <c r="AI91" i="35"/>
  <c r="AH91" i="35"/>
  <c r="AI88" i="35"/>
  <c r="AH88" i="35"/>
  <c r="AI86" i="35"/>
  <c r="AH86" i="35"/>
  <c r="AG86" i="35"/>
  <c r="AI85" i="35"/>
  <c r="AH85" i="35"/>
  <c r="AI84" i="35"/>
  <c r="AH84" i="35"/>
  <c r="AI83" i="35"/>
  <c r="AH83" i="35"/>
  <c r="AN82" i="35"/>
  <c r="AG82" i="35"/>
  <c r="AF82" i="35"/>
  <c r="AE5" i="35" s="1"/>
  <c r="AE82" i="35"/>
  <c r="AD5" i="35" s="1"/>
  <c r="AD82" i="35"/>
  <c r="AD98" i="35" s="1"/>
  <c r="AC82" i="35"/>
  <c r="AC98" i="35" s="1"/>
  <c r="AB82" i="35"/>
  <c r="AA5" i="35" s="1"/>
  <c r="Y82" i="35"/>
  <c r="Y98" i="35" s="1"/>
  <c r="X82" i="35"/>
  <c r="W5" i="35" s="1"/>
  <c r="V5" i="35"/>
  <c r="U82" i="35"/>
  <c r="U98" i="35" s="1"/>
  <c r="T82" i="35"/>
  <c r="S5" i="35" s="1"/>
  <c r="S82" i="35"/>
  <c r="S98" i="35" s="1"/>
  <c r="R82" i="35"/>
  <c r="R98" i="35" s="1"/>
  <c r="Q82" i="35"/>
  <c r="Q98" i="35" s="1"/>
  <c r="P82" i="35"/>
  <c r="O5" i="35" s="1"/>
  <c r="O82" i="35"/>
  <c r="N5" i="35" s="1"/>
  <c r="N82" i="35"/>
  <c r="N98" i="35" s="1"/>
  <c r="M82" i="35"/>
  <c r="M98" i="35" s="1"/>
  <c r="L82" i="35"/>
  <c r="K5" i="35" s="1"/>
  <c r="K82" i="35"/>
  <c r="K98" i="35" s="1"/>
  <c r="J82" i="35"/>
  <c r="J98" i="35" s="1"/>
  <c r="I82" i="35"/>
  <c r="I98" i="35" s="1"/>
  <c r="H82" i="35"/>
  <c r="G5" i="35" s="1"/>
  <c r="G82" i="35"/>
  <c r="F5" i="35" s="1"/>
  <c r="F82" i="35"/>
  <c r="F98" i="35" s="1"/>
  <c r="E82" i="35"/>
  <c r="E98" i="35" s="1"/>
  <c r="D82" i="35"/>
  <c r="D98" i="35" s="1"/>
  <c r="C82" i="35"/>
  <c r="C98" i="35" s="1"/>
  <c r="AF5" i="35"/>
  <c r="AI81" i="35"/>
  <c r="AH81" i="35"/>
  <c r="AN80" i="35"/>
  <c r="AI80" i="35"/>
  <c r="AH80" i="35"/>
  <c r="AN79" i="35"/>
  <c r="AN81" i="35" s="1"/>
  <c r="AI79" i="35"/>
  <c r="AH79" i="35"/>
  <c r="AI78" i="35"/>
  <c r="AH78" i="35"/>
  <c r="AI77" i="35"/>
  <c r="AH77" i="35"/>
  <c r="AI76" i="35"/>
  <c r="AH76" i="35"/>
  <c r="AI75" i="35"/>
  <c r="AH75" i="35"/>
  <c r="AI74" i="35"/>
  <c r="AH74" i="35"/>
  <c r="AI73" i="35"/>
  <c r="AH73" i="35"/>
  <c r="AI72" i="35"/>
  <c r="AH72" i="35"/>
  <c r="AI71" i="35"/>
  <c r="AH71" i="35"/>
  <c r="AG70" i="35"/>
  <c r="AE70" i="35"/>
  <c r="AD70" i="35"/>
  <c r="AC70" i="35"/>
  <c r="AB70" i="35"/>
  <c r="Y70" i="35"/>
  <c r="X70" i="35"/>
  <c r="U70" i="35"/>
  <c r="T70" i="35"/>
  <c r="S70" i="35"/>
  <c r="R70" i="35"/>
  <c r="Q70" i="35"/>
  <c r="P70" i="35"/>
  <c r="O70" i="35"/>
  <c r="N70" i="35"/>
  <c r="M70" i="35"/>
  <c r="L70" i="35"/>
  <c r="AI69" i="35"/>
  <c r="AH69" i="35"/>
  <c r="AI68" i="35"/>
  <c r="AH68" i="35"/>
  <c r="AI67" i="35"/>
  <c r="AH67" i="35"/>
  <c r="AE66" i="35"/>
  <c r="AD66" i="35"/>
  <c r="AC66" i="35"/>
  <c r="AB66" i="35"/>
  <c r="Y66" i="35"/>
  <c r="X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E66" i="35"/>
  <c r="D66" i="35"/>
  <c r="C66" i="35"/>
  <c r="AI65" i="35"/>
  <c r="AH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I56" i="35"/>
  <c r="AH56" i="35"/>
  <c r="AI55" i="35"/>
  <c r="AH55" i="35"/>
  <c r="AI54" i="35"/>
  <c r="AH54" i="35"/>
  <c r="AI53" i="35"/>
  <c r="AH53" i="35"/>
  <c r="AG52" i="35"/>
  <c r="AE52" i="35"/>
  <c r="AD52" i="35"/>
  <c r="AC52" i="35"/>
  <c r="AB52" i="35"/>
  <c r="Y52" i="35"/>
  <c r="X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E52" i="35"/>
  <c r="D52" i="35"/>
  <c r="C52" i="35"/>
  <c r="AI51" i="35"/>
  <c r="AH51" i="35"/>
  <c r="AI50" i="35"/>
  <c r="AH50" i="35"/>
  <c r="AI49" i="35"/>
  <c r="AH49" i="35"/>
  <c r="AG48" i="35"/>
  <c r="AG2" i="35" s="1"/>
  <c r="AG6" i="35" s="1"/>
  <c r="AE48" i="35"/>
  <c r="AD48" i="35"/>
  <c r="AC48" i="35"/>
  <c r="AB48" i="35"/>
  <c r="Y48" i="35"/>
  <c r="X48" i="35"/>
  <c r="X87" i="35" s="1"/>
  <c r="X89" i="35" s="1"/>
  <c r="U48" i="35"/>
  <c r="T48" i="35"/>
  <c r="S48" i="35"/>
  <c r="R48" i="35"/>
  <c r="Q48" i="35"/>
  <c r="P48" i="35"/>
  <c r="O48" i="35"/>
  <c r="N48" i="35"/>
  <c r="M48" i="35"/>
  <c r="L48" i="35"/>
  <c r="K48" i="35"/>
  <c r="J48" i="35"/>
  <c r="I48" i="35"/>
  <c r="H48" i="35"/>
  <c r="G48" i="35"/>
  <c r="E48" i="35"/>
  <c r="D48" i="35"/>
  <c r="C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Z5" i="35"/>
  <c r="U5" i="35"/>
  <c r="L5" i="35"/>
  <c r="E5" i="35"/>
  <c r="AG4" i="35"/>
  <c r="K4" i="35"/>
  <c r="E4" i="35"/>
  <c r="H4" i="35" s="1"/>
  <c r="B4" i="35"/>
  <c r="S243" i="35" s="1"/>
  <c r="AD108" i="34"/>
  <c r="AC108" i="34"/>
  <c r="F231" i="35" l="1"/>
  <c r="D267" i="35"/>
  <c r="F87" i="35"/>
  <c r="F89" i="35" s="1"/>
  <c r="Y87" i="35"/>
  <c r="Y89" i="35" s="1"/>
  <c r="B232" i="35"/>
  <c r="D232" i="35"/>
  <c r="C267" i="35"/>
  <c r="E226" i="35"/>
  <c r="I267" i="36"/>
  <c r="K231" i="36"/>
  <c r="L226" i="36"/>
  <c r="K108" i="36"/>
  <c r="AF98" i="35"/>
  <c r="AF87" i="35"/>
  <c r="AF89" i="35" s="1"/>
  <c r="AE98" i="35"/>
  <c r="AE87" i="35"/>
  <c r="AE89" i="35" s="1"/>
  <c r="AC5" i="35"/>
  <c r="AD87" i="35"/>
  <c r="AD89" i="35" s="1"/>
  <c r="AB5" i="35"/>
  <c r="AC87" i="35"/>
  <c r="AC89" i="35" s="1"/>
  <c r="AC7" i="35" s="1"/>
  <c r="AB98" i="35"/>
  <c r="AB87" i="35"/>
  <c r="AB89" i="35" s="1"/>
  <c r="T5" i="35"/>
  <c r="U87" i="35"/>
  <c r="U89" i="35" s="1"/>
  <c r="U90" i="35" s="1"/>
  <c r="T98" i="35"/>
  <c r="T87" i="35"/>
  <c r="T89" i="35" s="1"/>
  <c r="R5" i="35"/>
  <c r="S87" i="35"/>
  <c r="S89" i="35" s="1"/>
  <c r="S90" i="35" s="1"/>
  <c r="R87" i="35"/>
  <c r="R89" i="35" s="1"/>
  <c r="R90" i="35" s="1"/>
  <c r="Q87" i="35"/>
  <c r="Q89" i="35" s="1"/>
  <c r="P98" i="35"/>
  <c r="P87" i="35"/>
  <c r="P89" i="35" s="1"/>
  <c r="P7" i="35" s="1"/>
  <c r="M5" i="35"/>
  <c r="O98" i="35"/>
  <c r="AI70" i="35"/>
  <c r="O87" i="35"/>
  <c r="O89" i="35" s="1"/>
  <c r="O7" i="35" s="1"/>
  <c r="N87" i="35"/>
  <c r="N89" i="35" s="1"/>
  <c r="AF246" i="35" s="1"/>
  <c r="M87" i="35"/>
  <c r="M89" i="35" s="1"/>
  <c r="L98" i="35"/>
  <c r="L87" i="35"/>
  <c r="L89" i="35" s="1"/>
  <c r="L90" i="35" s="1"/>
  <c r="J5" i="35"/>
  <c r="K87" i="35"/>
  <c r="K89" i="35" s="1"/>
  <c r="K7" i="35" s="1"/>
  <c r="J87" i="35"/>
  <c r="J89" i="35" s="1"/>
  <c r="I87" i="35"/>
  <c r="I89" i="35" s="1"/>
  <c r="AA246" i="35" s="1"/>
  <c r="H98" i="35"/>
  <c r="H87" i="35"/>
  <c r="H89" i="35" s="1"/>
  <c r="H90" i="35" s="1"/>
  <c r="G98" i="35"/>
  <c r="G87" i="35"/>
  <c r="G89" i="35" s="1"/>
  <c r="AH52" i="35"/>
  <c r="D5" i="35"/>
  <c r="E87" i="35"/>
  <c r="E89" i="35" s="1"/>
  <c r="W246" i="35" s="1"/>
  <c r="AI66" i="35"/>
  <c r="C5" i="35"/>
  <c r="D87" i="35"/>
  <c r="D89" i="35" s="1"/>
  <c r="D90" i="35" s="1"/>
  <c r="B5" i="35"/>
  <c r="AH66" i="35"/>
  <c r="Q7" i="35"/>
  <c r="Q90" i="35"/>
  <c r="AI246" i="35"/>
  <c r="AG87" i="35"/>
  <c r="U7" i="35"/>
  <c r="AM246" i="35"/>
  <c r="E7" i="35"/>
  <c r="J229" i="35"/>
  <c r="K229" i="35" s="1"/>
  <c r="L229" i="35" s="1"/>
  <c r="M229" i="35" s="1"/>
  <c r="N229" i="35" s="1"/>
  <c r="O229" i="35" s="1"/>
  <c r="P229" i="35" s="1"/>
  <c r="AB90" i="35"/>
  <c r="AT246" i="35"/>
  <c r="AB7" i="35"/>
  <c r="Y90" i="35"/>
  <c r="Y7" i="35"/>
  <c r="AQ246" i="35"/>
  <c r="M7" i="35"/>
  <c r="AE246" i="35"/>
  <c r="M90" i="35"/>
  <c r="J7" i="35"/>
  <c r="J90" i="35"/>
  <c r="AB246" i="35"/>
  <c r="AR246" i="35"/>
  <c r="Z7" i="35"/>
  <c r="X246" i="35"/>
  <c r="F90" i="35"/>
  <c r="F7" i="35"/>
  <c r="X7" i="35"/>
  <c r="X90" i="35"/>
  <c r="AP246" i="35"/>
  <c r="AV246" i="35"/>
  <c r="AD90" i="35"/>
  <c r="AD7" i="35"/>
  <c r="AF90" i="35"/>
  <c r="AF7" i="35"/>
  <c r="AX246" i="35"/>
  <c r="D7" i="35"/>
  <c r="AN246" i="35"/>
  <c r="V7" i="35"/>
  <c r="AG89" i="35"/>
  <c r="P90" i="35"/>
  <c r="AH246" i="35"/>
  <c r="T90" i="35"/>
  <c r="T7" i="35"/>
  <c r="AL246" i="35"/>
  <c r="AG246" i="35"/>
  <c r="O90" i="35"/>
  <c r="AO246" i="35"/>
  <c r="W7" i="35"/>
  <c r="AW246" i="35"/>
  <c r="AE90" i="35"/>
  <c r="AE7" i="35"/>
  <c r="AK246" i="35"/>
  <c r="AA7" i="35"/>
  <c r="AS246" i="35"/>
  <c r="H5" i="35"/>
  <c r="P5" i="35"/>
  <c r="X5" i="35"/>
  <c r="I5" i="35"/>
  <c r="Q5" i="35"/>
  <c r="Y5" i="35"/>
  <c r="AH70" i="35"/>
  <c r="C87" i="35"/>
  <c r="C89" i="35" s="1"/>
  <c r="E232" i="35"/>
  <c r="D243" i="35"/>
  <c r="D108" i="35"/>
  <c r="AH48" i="35"/>
  <c r="AI82" i="35"/>
  <c r="AI48" i="35"/>
  <c r="AI52" i="35"/>
  <c r="AH82" i="35"/>
  <c r="N7" i="35" l="1"/>
  <c r="R7" i="35"/>
  <c r="F226" i="35"/>
  <c r="E108" i="35"/>
  <c r="J267" i="36"/>
  <c r="L231" i="36"/>
  <c r="N90" i="35"/>
  <c r="AJ246" i="35"/>
  <c r="E267" i="35"/>
  <c r="G231" i="35"/>
  <c r="M226" i="36"/>
  <c r="L108" i="36"/>
  <c r="AC90" i="35"/>
  <c r="AU246" i="35"/>
  <c r="S7" i="35"/>
  <c r="AD246" i="35"/>
  <c r="L7" i="35"/>
  <c r="AC246" i="35"/>
  <c r="K90" i="35"/>
  <c r="B241" i="35"/>
  <c r="I90" i="35"/>
  <c r="I7" i="35"/>
  <c r="Z246" i="35"/>
  <c r="H7" i="35"/>
  <c r="C241" i="35"/>
  <c r="G90" i="35"/>
  <c r="Y246" i="35"/>
  <c r="G7" i="35"/>
  <c r="E90" i="35"/>
  <c r="V246" i="35"/>
  <c r="AI87" i="35"/>
  <c r="AI98" i="35"/>
  <c r="AH98" i="35"/>
  <c r="AH87" i="35"/>
  <c r="C90" i="35"/>
  <c r="C7" i="35"/>
  <c r="U246" i="35"/>
  <c r="AI89" i="35"/>
  <c r="T246" i="35"/>
  <c r="AH89" i="35"/>
  <c r="B7" i="35"/>
  <c r="G226" i="35" l="1"/>
  <c r="F232" i="35"/>
  <c r="F108" i="35"/>
  <c r="K267" i="36"/>
  <c r="M231" i="36"/>
  <c r="F267" i="35"/>
  <c r="H231" i="35"/>
  <c r="N226" i="36"/>
  <c r="K6" i="35"/>
  <c r="A7" i="35"/>
  <c r="AH90" i="35"/>
  <c r="AI90" i="35"/>
  <c r="L267" i="36" l="1"/>
  <c r="N231" i="36"/>
  <c r="G267" i="35"/>
  <c r="I231" i="35"/>
  <c r="M108" i="36"/>
  <c r="G108" i="35"/>
  <c r="H226" i="35"/>
  <c r="G232" i="35"/>
  <c r="O226" i="36"/>
  <c r="N108" i="36"/>
  <c r="H267" i="35" l="1"/>
  <c r="J231" i="35"/>
  <c r="H108" i="35"/>
  <c r="H232" i="35"/>
  <c r="I226" i="35"/>
  <c r="M267" i="36"/>
  <c r="O231" i="36"/>
  <c r="O108" i="36"/>
  <c r="P226" i="36"/>
  <c r="P231" i="36" l="1"/>
  <c r="O267" i="36" s="1"/>
  <c r="N267" i="36"/>
  <c r="J226" i="35"/>
  <c r="I108" i="35"/>
  <c r="K231" i="35"/>
  <c r="I267" i="35"/>
  <c r="AI108" i="36"/>
  <c r="AH108" i="36"/>
  <c r="J267" i="35" l="1"/>
  <c r="L231" i="35"/>
  <c r="J108" i="35"/>
  <c r="K226" i="35"/>
  <c r="K108" i="35" l="1"/>
  <c r="L226" i="35"/>
  <c r="K267" i="35"/>
  <c r="M231" i="35"/>
  <c r="N231" i="35" l="1"/>
  <c r="L267" i="35"/>
  <c r="L108" i="35"/>
  <c r="M226" i="35"/>
  <c r="M108" i="35" l="1"/>
  <c r="N226" i="35"/>
  <c r="M267" i="35"/>
  <c r="O231" i="35"/>
  <c r="P231" i="35" l="1"/>
  <c r="O267" i="35" s="1"/>
  <c r="N267" i="35"/>
  <c r="O226" i="35"/>
  <c r="N108" i="35"/>
  <c r="P226" i="35" l="1"/>
  <c r="O108" i="35"/>
  <c r="AI108" i="35" s="1"/>
  <c r="P48" i="34"/>
  <c r="P52" i="34"/>
  <c r="P66" i="34"/>
  <c r="P70" i="34"/>
  <c r="P82" i="34"/>
  <c r="P98" i="34" s="1"/>
  <c r="O111" i="34"/>
  <c r="N111" i="34"/>
  <c r="L111" i="34"/>
  <c r="K111" i="34"/>
  <c r="J111" i="34"/>
  <c r="I111" i="34"/>
  <c r="F111" i="34"/>
  <c r="G111" i="34"/>
  <c r="H111" i="34"/>
  <c r="F48" i="34"/>
  <c r="G48" i="34"/>
  <c r="F52" i="34"/>
  <c r="G52" i="34"/>
  <c r="F66" i="34"/>
  <c r="G66" i="34"/>
  <c r="F82" i="34"/>
  <c r="F98" i="34" s="1"/>
  <c r="G82" i="34"/>
  <c r="F5" i="34" s="1"/>
  <c r="E111" i="34"/>
  <c r="AF271" i="34"/>
  <c r="AE271" i="34"/>
  <c r="AD271" i="34"/>
  <c r="AC271" i="34"/>
  <c r="AB271" i="34"/>
  <c r="AA271" i="34"/>
  <c r="Z271" i="34"/>
  <c r="Y271" i="34"/>
  <c r="X271" i="34"/>
  <c r="W271" i="34"/>
  <c r="V271" i="34"/>
  <c r="U271" i="34"/>
  <c r="T271" i="34"/>
  <c r="S271" i="34"/>
  <c r="R271" i="34"/>
  <c r="Q271" i="34"/>
  <c r="P271" i="34"/>
  <c r="O271" i="34"/>
  <c r="N271" i="34"/>
  <c r="M271" i="34"/>
  <c r="L271" i="34"/>
  <c r="K271" i="34"/>
  <c r="J271" i="34"/>
  <c r="I271" i="34"/>
  <c r="H271" i="34"/>
  <c r="G271" i="34"/>
  <c r="F271" i="34"/>
  <c r="E271" i="34"/>
  <c r="D271" i="34"/>
  <c r="C271" i="34"/>
  <c r="B271" i="34"/>
  <c r="A271" i="34"/>
  <c r="AF270" i="34"/>
  <c r="AE270" i="34"/>
  <c r="AD270" i="34"/>
  <c r="AC270" i="34"/>
  <c r="AB270" i="34"/>
  <c r="AA270" i="34"/>
  <c r="Z270" i="34"/>
  <c r="Y270" i="34"/>
  <c r="X270" i="34"/>
  <c r="W270" i="34"/>
  <c r="V270" i="34"/>
  <c r="U270" i="34"/>
  <c r="T270" i="34"/>
  <c r="S270" i="34"/>
  <c r="R270" i="34"/>
  <c r="Q270" i="34"/>
  <c r="P270" i="34"/>
  <c r="O270" i="34"/>
  <c r="N270" i="34"/>
  <c r="M270" i="34"/>
  <c r="L270" i="34"/>
  <c r="K270" i="34"/>
  <c r="J270" i="34"/>
  <c r="I270" i="34"/>
  <c r="H270" i="34"/>
  <c r="G270" i="34"/>
  <c r="F270" i="34"/>
  <c r="E270" i="34"/>
  <c r="D270" i="34"/>
  <c r="C270" i="34"/>
  <c r="B270" i="34"/>
  <c r="A270" i="34"/>
  <c r="AF269" i="34"/>
  <c r="AE269" i="34"/>
  <c r="AD269" i="34"/>
  <c r="AC269" i="34"/>
  <c r="AB269" i="34"/>
  <c r="AA269" i="34"/>
  <c r="Z269" i="34"/>
  <c r="Y269" i="34"/>
  <c r="X269" i="34"/>
  <c r="W269" i="34"/>
  <c r="V269" i="34"/>
  <c r="U269" i="34"/>
  <c r="T269" i="34"/>
  <c r="S269" i="34"/>
  <c r="R269" i="34"/>
  <c r="Q269" i="34"/>
  <c r="P269" i="34"/>
  <c r="O269" i="34"/>
  <c r="N269" i="34"/>
  <c r="M269" i="34"/>
  <c r="L269" i="34"/>
  <c r="K269" i="34"/>
  <c r="J269" i="34"/>
  <c r="I269" i="34"/>
  <c r="H269" i="34"/>
  <c r="G269" i="34"/>
  <c r="F269" i="34"/>
  <c r="E269" i="34"/>
  <c r="D269" i="34"/>
  <c r="C269" i="34"/>
  <c r="B269" i="34"/>
  <c r="A269" i="34"/>
  <c r="AF268" i="34"/>
  <c r="AE268" i="34"/>
  <c r="AD268" i="34"/>
  <c r="AC268" i="34"/>
  <c r="AB268" i="34"/>
  <c r="AA268" i="34"/>
  <c r="Z268" i="34"/>
  <c r="Y268" i="34"/>
  <c r="X268" i="34"/>
  <c r="W268" i="34"/>
  <c r="V268" i="34"/>
  <c r="U268" i="34"/>
  <c r="T268" i="34"/>
  <c r="S268" i="34"/>
  <c r="R268" i="34"/>
  <c r="Q268" i="34"/>
  <c r="P268" i="34"/>
  <c r="O268" i="34"/>
  <c r="N268" i="34"/>
  <c r="M268" i="34"/>
  <c r="L268" i="34"/>
  <c r="K268" i="34"/>
  <c r="J268" i="34"/>
  <c r="I268" i="34"/>
  <c r="H268" i="34"/>
  <c r="G268" i="34"/>
  <c r="F268" i="34"/>
  <c r="E268" i="34"/>
  <c r="D268" i="34"/>
  <c r="C268" i="34"/>
  <c r="B268" i="34"/>
  <c r="A268" i="34"/>
  <c r="AE267" i="34"/>
  <c r="AD267" i="34"/>
  <c r="AC267" i="34"/>
  <c r="AB267" i="34"/>
  <c r="AA267" i="34"/>
  <c r="Z267" i="34"/>
  <c r="Y267" i="34"/>
  <c r="X267" i="34"/>
  <c r="W267" i="34"/>
  <c r="V267" i="34"/>
  <c r="U267" i="34"/>
  <c r="T267" i="34"/>
  <c r="S267" i="34"/>
  <c r="R267" i="34"/>
  <c r="Q267" i="34"/>
  <c r="P267" i="34"/>
  <c r="C267" i="34"/>
  <c r="B267" i="34"/>
  <c r="S242" i="34"/>
  <c r="AG232" i="34"/>
  <c r="AG65" i="34" s="1"/>
  <c r="AG66" i="34" s="1"/>
  <c r="AG3" i="34" s="1"/>
  <c r="AF232" i="34"/>
  <c r="AE232" i="34"/>
  <c r="AD232" i="34"/>
  <c r="AC232" i="34"/>
  <c r="AB232" i="34"/>
  <c r="AA232" i="34"/>
  <c r="Z232" i="34"/>
  <c r="Y232" i="34"/>
  <c r="X232" i="34"/>
  <c r="W232" i="34"/>
  <c r="V232" i="34"/>
  <c r="U232" i="34"/>
  <c r="T232" i="34"/>
  <c r="S232" i="34"/>
  <c r="R232" i="34"/>
  <c r="Q232" i="34"/>
  <c r="C232" i="34"/>
  <c r="E231" i="34"/>
  <c r="F231" i="34" s="1"/>
  <c r="E267" i="34" s="1"/>
  <c r="D231" i="34"/>
  <c r="B231" i="34"/>
  <c r="AF267" i="34" s="1"/>
  <c r="D230" i="34"/>
  <c r="E230" i="34" s="1"/>
  <c r="F230" i="34" s="1"/>
  <c r="G230" i="34" s="1"/>
  <c r="H230" i="34" s="1"/>
  <c r="I230" i="34" s="1"/>
  <c r="J230" i="34" s="1"/>
  <c r="K230" i="34" s="1"/>
  <c r="L230" i="34" s="1"/>
  <c r="M230" i="34" s="1"/>
  <c r="N230" i="34" s="1"/>
  <c r="O230" i="34" s="1"/>
  <c r="P230" i="34" s="1"/>
  <c r="B230" i="34"/>
  <c r="D229" i="34"/>
  <c r="E229" i="34" s="1"/>
  <c r="F229" i="34" s="1"/>
  <c r="G229" i="34" s="1"/>
  <c r="H229" i="34" s="1"/>
  <c r="I229" i="34" s="1"/>
  <c r="B229" i="34"/>
  <c r="D228" i="34"/>
  <c r="E228" i="34" s="1"/>
  <c r="F228" i="34" s="1"/>
  <c r="G228" i="34" s="1"/>
  <c r="H228" i="34" s="1"/>
  <c r="B228" i="34"/>
  <c r="D227" i="34"/>
  <c r="E227" i="34" s="1"/>
  <c r="F227" i="34" s="1"/>
  <c r="G227" i="34" s="1"/>
  <c r="H227" i="34" s="1"/>
  <c r="I227" i="34" s="1"/>
  <c r="J227" i="34" s="1"/>
  <c r="K227" i="34" s="1"/>
  <c r="L227" i="34" s="1"/>
  <c r="M227" i="34" s="1"/>
  <c r="N227" i="34" s="1"/>
  <c r="O227" i="34" s="1"/>
  <c r="P227" i="34" s="1"/>
  <c r="B227" i="34"/>
  <c r="D226" i="34"/>
  <c r="B226" i="34"/>
  <c r="B108" i="34" s="1"/>
  <c r="AG224" i="34"/>
  <c r="AF224" i="34"/>
  <c r="AE224" i="34"/>
  <c r="AD224" i="34"/>
  <c r="AC224" i="34"/>
  <c r="AB224" i="34"/>
  <c r="AA224" i="34"/>
  <c r="Z224" i="34"/>
  <c r="Y224" i="34"/>
  <c r="X224" i="34"/>
  <c r="W224" i="34"/>
  <c r="V224" i="34"/>
  <c r="U224" i="34"/>
  <c r="T224" i="34"/>
  <c r="S224" i="34"/>
  <c r="R224" i="34"/>
  <c r="Q224" i="34"/>
  <c r="P224" i="34"/>
  <c r="O224" i="34"/>
  <c r="N224" i="34"/>
  <c r="M224" i="34"/>
  <c r="L224" i="34"/>
  <c r="K224" i="34"/>
  <c r="J224" i="34"/>
  <c r="I224" i="34"/>
  <c r="H224" i="34"/>
  <c r="G224" i="34"/>
  <c r="F224" i="34"/>
  <c r="E224" i="34"/>
  <c r="D224" i="34"/>
  <c r="C224" i="34"/>
  <c r="B224" i="34"/>
  <c r="AI117" i="34"/>
  <c r="AH117" i="34"/>
  <c r="AI116" i="34"/>
  <c r="AH116" i="34"/>
  <c r="AI115" i="34"/>
  <c r="AH115" i="34"/>
  <c r="AI114" i="34"/>
  <c r="AH114" i="34"/>
  <c r="AI113" i="34"/>
  <c r="AH113" i="34"/>
  <c r="AI112" i="34"/>
  <c r="AH112" i="34"/>
  <c r="AI111" i="34"/>
  <c r="AH111" i="34"/>
  <c r="AI110" i="34"/>
  <c r="AH110" i="34"/>
  <c r="AI109" i="34"/>
  <c r="AH109" i="34"/>
  <c r="AF108" i="34"/>
  <c r="AE108" i="34"/>
  <c r="AB108" i="34"/>
  <c r="AA108" i="34"/>
  <c r="Z108" i="34"/>
  <c r="Y108" i="34"/>
  <c r="X108" i="34"/>
  <c r="W108" i="34"/>
  <c r="V108" i="34"/>
  <c r="U108" i="34"/>
  <c r="T108" i="34"/>
  <c r="S108" i="34"/>
  <c r="R108" i="34"/>
  <c r="Q108" i="34"/>
  <c r="C108" i="34"/>
  <c r="AI107" i="34"/>
  <c r="AH107" i="34"/>
  <c r="AI106" i="34"/>
  <c r="AH106" i="34"/>
  <c r="AI105" i="34"/>
  <c r="AH105" i="34"/>
  <c r="AI104" i="34"/>
  <c r="AH104" i="34"/>
  <c r="AI103" i="34"/>
  <c r="AH103" i="34"/>
  <c r="AI102" i="34"/>
  <c r="AH102" i="34"/>
  <c r="AI101" i="34"/>
  <c r="AH101" i="34"/>
  <c r="AI100" i="34"/>
  <c r="AH100" i="34"/>
  <c r="AI99" i="34"/>
  <c r="AH99" i="34"/>
  <c r="AI97" i="34"/>
  <c r="AH97" i="34"/>
  <c r="AI96" i="34"/>
  <c r="AH96" i="34"/>
  <c r="AI95" i="34"/>
  <c r="AH95" i="34"/>
  <c r="AI94" i="34"/>
  <c r="AH94" i="34"/>
  <c r="AI93" i="34"/>
  <c r="AH93" i="34"/>
  <c r="AI92" i="34"/>
  <c r="AH92" i="34"/>
  <c r="AI91" i="34"/>
  <c r="AH91" i="34"/>
  <c r="AI88" i="34"/>
  <c r="AH88" i="34"/>
  <c r="AI86" i="34"/>
  <c r="AH86" i="34"/>
  <c r="AG86" i="34"/>
  <c r="AI85" i="34"/>
  <c r="AH85" i="34"/>
  <c r="AI84" i="34"/>
  <c r="AH84" i="34"/>
  <c r="AI83" i="34"/>
  <c r="AH83" i="34"/>
  <c r="AN82" i="34"/>
  <c r="AG82" i="34"/>
  <c r="AF82" i="34"/>
  <c r="AE5" i="34" s="1"/>
  <c r="AE82" i="34"/>
  <c r="AD5" i="34" s="1"/>
  <c r="AD82" i="34"/>
  <c r="AD98" i="34" s="1"/>
  <c r="AC82" i="34"/>
  <c r="AB82" i="34"/>
  <c r="AB98" i="34" s="1"/>
  <c r="AA82" i="34"/>
  <c r="AA98" i="34" s="1"/>
  <c r="Z82" i="34"/>
  <c r="Z98" i="34" s="1"/>
  <c r="Y82" i="34"/>
  <c r="X82" i="34"/>
  <c r="W5" i="34" s="1"/>
  <c r="W82" i="34"/>
  <c r="V5" i="34" s="1"/>
  <c r="V82" i="34"/>
  <c r="V98" i="34" s="1"/>
  <c r="U82" i="34"/>
  <c r="U98" i="34" s="1"/>
  <c r="T82" i="34"/>
  <c r="T98" i="34" s="1"/>
  <c r="S82" i="34"/>
  <c r="S98" i="34" s="1"/>
  <c r="R82" i="34"/>
  <c r="R98" i="34" s="1"/>
  <c r="Q82" i="34"/>
  <c r="O82" i="34"/>
  <c r="N5" i="34" s="1"/>
  <c r="N82" i="34"/>
  <c r="N98" i="34" s="1"/>
  <c r="M82" i="34"/>
  <c r="M98" i="34" s="1"/>
  <c r="L82" i="34"/>
  <c r="L98" i="34" s="1"/>
  <c r="K82" i="34"/>
  <c r="K98" i="34" s="1"/>
  <c r="J82" i="34"/>
  <c r="J98" i="34" s="1"/>
  <c r="I82" i="34"/>
  <c r="H82" i="34"/>
  <c r="G5" i="34" s="1"/>
  <c r="E82" i="34"/>
  <c r="D5" i="34" s="1"/>
  <c r="D82" i="34"/>
  <c r="C5" i="34" s="1"/>
  <c r="C82" i="34"/>
  <c r="C98" i="34" s="1"/>
  <c r="B98" i="34"/>
  <c r="AI81" i="34"/>
  <c r="AH81" i="34"/>
  <c r="AN80" i="34"/>
  <c r="AI80" i="34"/>
  <c r="AH80" i="34"/>
  <c r="AN79" i="34"/>
  <c r="AN81" i="34" s="1"/>
  <c r="AI79" i="34"/>
  <c r="AH79" i="34"/>
  <c r="AI78" i="34"/>
  <c r="AH78" i="34"/>
  <c r="AI77" i="34"/>
  <c r="AH77" i="34"/>
  <c r="AI76" i="34"/>
  <c r="AH76" i="34"/>
  <c r="AI75" i="34"/>
  <c r="AH75" i="34"/>
  <c r="AI74" i="34"/>
  <c r="AH74" i="34"/>
  <c r="AI73" i="34"/>
  <c r="AH73" i="34"/>
  <c r="AI72" i="34"/>
  <c r="AH72" i="34"/>
  <c r="AI71" i="34"/>
  <c r="AH71" i="34"/>
  <c r="AG70" i="34"/>
  <c r="AF70" i="34"/>
  <c r="AE70" i="34"/>
  <c r="AD70" i="34"/>
  <c r="AC70" i="34"/>
  <c r="AB70" i="34"/>
  <c r="AA70" i="34"/>
  <c r="Z70" i="34"/>
  <c r="Y70" i="34"/>
  <c r="X70" i="34"/>
  <c r="W70" i="34"/>
  <c r="V70" i="34"/>
  <c r="U70" i="34"/>
  <c r="T70" i="34"/>
  <c r="S70" i="34"/>
  <c r="R70" i="34"/>
  <c r="Q70" i="34"/>
  <c r="O70" i="34"/>
  <c r="N70" i="34"/>
  <c r="M70" i="34"/>
  <c r="L70" i="34"/>
  <c r="B70" i="34"/>
  <c r="AI69" i="34"/>
  <c r="AH69" i="34"/>
  <c r="AI68" i="34"/>
  <c r="AH68" i="34"/>
  <c r="AI67" i="34"/>
  <c r="AH67" i="34"/>
  <c r="AF66" i="34"/>
  <c r="AE66" i="34"/>
  <c r="AD66" i="34"/>
  <c r="AC66" i="34"/>
  <c r="AB66" i="34"/>
  <c r="AA66" i="34"/>
  <c r="Z66" i="34"/>
  <c r="Y66" i="34"/>
  <c r="X66" i="34"/>
  <c r="W66" i="34"/>
  <c r="V66" i="34"/>
  <c r="U66" i="34"/>
  <c r="T66" i="34"/>
  <c r="S66" i="34"/>
  <c r="R66" i="34"/>
  <c r="Q66" i="34"/>
  <c r="O66" i="34"/>
  <c r="N66" i="34"/>
  <c r="M66" i="34"/>
  <c r="L66" i="34"/>
  <c r="K66" i="34"/>
  <c r="J66" i="34"/>
  <c r="I66" i="34"/>
  <c r="H66" i="34"/>
  <c r="E66" i="34"/>
  <c r="D66" i="34"/>
  <c r="C66" i="34"/>
  <c r="B66" i="34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I56" i="34"/>
  <c r="AH56" i="34"/>
  <c r="AI55" i="34"/>
  <c r="AH55" i="34"/>
  <c r="AI54" i="34"/>
  <c r="AH54" i="34"/>
  <c r="AI53" i="34"/>
  <c r="AH53" i="34"/>
  <c r="AG52" i="34"/>
  <c r="AF52" i="34"/>
  <c r="AE52" i="34"/>
  <c r="AD52" i="34"/>
  <c r="AC52" i="34"/>
  <c r="AB52" i="34"/>
  <c r="AA52" i="34"/>
  <c r="Z52" i="34"/>
  <c r="Y52" i="34"/>
  <c r="X52" i="34"/>
  <c r="W52" i="34"/>
  <c r="V52" i="34"/>
  <c r="U52" i="34"/>
  <c r="T52" i="34"/>
  <c r="S52" i="34"/>
  <c r="R52" i="34"/>
  <c r="Q52" i="34"/>
  <c r="O52" i="34"/>
  <c r="N52" i="34"/>
  <c r="M52" i="34"/>
  <c r="L52" i="34"/>
  <c r="K52" i="34"/>
  <c r="J52" i="34"/>
  <c r="I52" i="34"/>
  <c r="H52" i="34"/>
  <c r="E52" i="34"/>
  <c r="D52" i="34"/>
  <c r="C52" i="34"/>
  <c r="B52" i="34"/>
  <c r="AI51" i="34"/>
  <c r="AH51" i="34"/>
  <c r="AI50" i="34"/>
  <c r="AH50" i="34"/>
  <c r="AI49" i="34"/>
  <c r="AH49" i="34"/>
  <c r="AG48" i="34"/>
  <c r="AF48" i="34"/>
  <c r="AE48" i="34"/>
  <c r="AD48" i="34"/>
  <c r="AC48" i="34"/>
  <c r="AB48" i="34"/>
  <c r="AA48" i="34"/>
  <c r="Z48" i="34"/>
  <c r="Y48" i="34"/>
  <c r="X48" i="34"/>
  <c r="W48" i="34"/>
  <c r="V48" i="34"/>
  <c r="U48" i="34"/>
  <c r="T48" i="34"/>
  <c r="S48" i="34"/>
  <c r="R48" i="34"/>
  <c r="Q48" i="34"/>
  <c r="O48" i="34"/>
  <c r="N48" i="34"/>
  <c r="M48" i="34"/>
  <c r="L48" i="34"/>
  <c r="K48" i="34"/>
  <c r="J48" i="34"/>
  <c r="I48" i="34"/>
  <c r="H48" i="34"/>
  <c r="E48" i="34"/>
  <c r="D48" i="34"/>
  <c r="C48" i="34"/>
  <c r="B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E5" i="34"/>
  <c r="AG4" i="34"/>
  <c r="K4" i="34"/>
  <c r="E4" i="34"/>
  <c r="H4" i="34" s="1"/>
  <c r="B4" i="34"/>
  <c r="S243" i="34" s="1"/>
  <c r="AG2" i="34"/>
  <c r="AG6" i="34" s="1"/>
  <c r="AG87" i="34" l="1"/>
  <c r="D267" i="34"/>
  <c r="AG89" i="34"/>
  <c r="AH108" i="35"/>
  <c r="AF98" i="34"/>
  <c r="AE98" i="34"/>
  <c r="AE87" i="34"/>
  <c r="AE89" i="34" s="1"/>
  <c r="AE90" i="34" s="1"/>
  <c r="AC5" i="34"/>
  <c r="AD87" i="34"/>
  <c r="AD89" i="34" s="1"/>
  <c r="AB5" i="34"/>
  <c r="AC87" i="34"/>
  <c r="AC89" i="34" s="1"/>
  <c r="AC7" i="34" s="1"/>
  <c r="AA5" i="34"/>
  <c r="AB87" i="34"/>
  <c r="AB89" i="34" s="1"/>
  <c r="Z5" i="34"/>
  <c r="Z87" i="34"/>
  <c r="Z89" i="34" s="1"/>
  <c r="Z90" i="34" s="1"/>
  <c r="Y87" i="34"/>
  <c r="Y89" i="34" s="1"/>
  <c r="Y7" i="34" s="1"/>
  <c r="X98" i="34"/>
  <c r="W98" i="34"/>
  <c r="W87" i="34"/>
  <c r="W89" i="34" s="1"/>
  <c r="AO246" i="34" s="1"/>
  <c r="U5" i="34"/>
  <c r="V87" i="34"/>
  <c r="V89" i="34" s="1"/>
  <c r="T5" i="34"/>
  <c r="U87" i="34"/>
  <c r="U89" i="34" s="1"/>
  <c r="AM246" i="34" s="1"/>
  <c r="S5" i="34"/>
  <c r="T87" i="34"/>
  <c r="T89" i="34" s="1"/>
  <c r="R5" i="34"/>
  <c r="R87" i="34"/>
  <c r="R89" i="34" s="1"/>
  <c r="R7" i="34" s="1"/>
  <c r="O5" i="34"/>
  <c r="P87" i="34"/>
  <c r="P89" i="34" s="1"/>
  <c r="P90" i="34" s="1"/>
  <c r="O98" i="34"/>
  <c r="O87" i="34"/>
  <c r="O89" i="34" s="1"/>
  <c r="O90" i="34" s="1"/>
  <c r="L5" i="34"/>
  <c r="M87" i="34"/>
  <c r="M89" i="34" s="1"/>
  <c r="M5" i="34"/>
  <c r="N87" i="34"/>
  <c r="N89" i="34" s="1"/>
  <c r="N7" i="34" s="1"/>
  <c r="K5" i="34"/>
  <c r="L87" i="34"/>
  <c r="L89" i="34" s="1"/>
  <c r="L90" i="34" s="1"/>
  <c r="J5" i="34"/>
  <c r="K87" i="34"/>
  <c r="K89" i="34" s="1"/>
  <c r="AC246" i="34" s="1"/>
  <c r="J87" i="34"/>
  <c r="J89" i="34" s="1"/>
  <c r="J90" i="34" s="1"/>
  <c r="F87" i="34"/>
  <c r="F89" i="34" s="1"/>
  <c r="F90" i="34" s="1"/>
  <c r="G98" i="34"/>
  <c r="H98" i="34"/>
  <c r="G87" i="34"/>
  <c r="G89" i="34" s="1"/>
  <c r="G90" i="34" s="1"/>
  <c r="E98" i="34"/>
  <c r="E87" i="34"/>
  <c r="E89" i="34" s="1"/>
  <c r="W246" i="34" s="1"/>
  <c r="D98" i="34"/>
  <c r="D87" i="34"/>
  <c r="D89" i="34" s="1"/>
  <c r="V246" i="34" s="1"/>
  <c r="B5" i="34"/>
  <c r="C87" i="34"/>
  <c r="C89" i="34" s="1"/>
  <c r="U246" i="34" s="1"/>
  <c r="B87" i="34"/>
  <c r="B89" i="34" s="1"/>
  <c r="M7" i="34"/>
  <c r="AE246" i="34"/>
  <c r="M90" i="34"/>
  <c r="N90" i="34"/>
  <c r="Y90" i="34"/>
  <c r="J229" i="34"/>
  <c r="K229" i="34" s="1"/>
  <c r="L229" i="34" s="1"/>
  <c r="M229" i="34" s="1"/>
  <c r="N229" i="34" s="1"/>
  <c r="O229" i="34" s="1"/>
  <c r="P229" i="34" s="1"/>
  <c r="AE7" i="34"/>
  <c r="I98" i="34"/>
  <c r="H5" i="34"/>
  <c r="P5" i="34"/>
  <c r="Q98" i="34"/>
  <c r="X5" i="34"/>
  <c r="Y98" i="34"/>
  <c r="AN246" i="34"/>
  <c r="V90" i="34"/>
  <c r="V7" i="34"/>
  <c r="H87" i="34"/>
  <c r="H89" i="34" s="1"/>
  <c r="X87" i="34"/>
  <c r="X89" i="34" s="1"/>
  <c r="AF87" i="34"/>
  <c r="AF89" i="34" s="1"/>
  <c r="AI52" i="34"/>
  <c r="AI70" i="34"/>
  <c r="S87" i="34"/>
  <c r="S89" i="34" s="1"/>
  <c r="AA87" i="34"/>
  <c r="AA89" i="34" s="1"/>
  <c r="AU246" i="34"/>
  <c r="G7" i="34"/>
  <c r="T90" i="34"/>
  <c r="T7" i="34"/>
  <c r="AL246" i="34"/>
  <c r="AB90" i="34"/>
  <c r="AB7" i="34"/>
  <c r="AT246" i="34"/>
  <c r="AV246" i="34"/>
  <c r="AD90" i="34"/>
  <c r="AD7" i="34"/>
  <c r="K90" i="34"/>
  <c r="I87" i="34"/>
  <c r="I89" i="34" s="1"/>
  <c r="Q87" i="34"/>
  <c r="Q89" i="34" s="1"/>
  <c r="AI66" i="34"/>
  <c r="AB246" i="34"/>
  <c r="AR246" i="34"/>
  <c r="AH66" i="34"/>
  <c r="W90" i="34"/>
  <c r="D232" i="34"/>
  <c r="E226" i="34"/>
  <c r="D108" i="34"/>
  <c r="AF5" i="34"/>
  <c r="I5" i="34"/>
  <c r="Q5" i="34"/>
  <c r="Y5" i="34"/>
  <c r="AH70" i="34"/>
  <c r="D243" i="34"/>
  <c r="G231" i="34"/>
  <c r="AH52" i="34"/>
  <c r="AI48" i="34"/>
  <c r="B232" i="34"/>
  <c r="AH82" i="34"/>
  <c r="AH48" i="34"/>
  <c r="AI82" i="34"/>
  <c r="R90" i="34" l="1"/>
  <c r="K7" i="34"/>
  <c r="U7" i="34"/>
  <c r="AW246" i="34"/>
  <c r="Z7" i="34"/>
  <c r="AC90" i="34"/>
  <c r="AQ246" i="34"/>
  <c r="AJ246" i="34"/>
  <c r="O7" i="34"/>
  <c r="W7" i="34"/>
  <c r="U90" i="34"/>
  <c r="AG246" i="34"/>
  <c r="D7" i="34"/>
  <c r="D90" i="34"/>
  <c r="F7" i="34"/>
  <c r="X246" i="34"/>
  <c r="AF246" i="34"/>
  <c r="AD246" i="34"/>
  <c r="L7" i="34"/>
  <c r="J7" i="34"/>
  <c r="E7" i="34"/>
  <c r="Y246" i="34"/>
  <c r="E90" i="34"/>
  <c r="AI98" i="34"/>
  <c r="AH98" i="34"/>
  <c r="B241" i="34"/>
  <c r="C7" i="34"/>
  <c r="C90" i="34"/>
  <c r="X90" i="34"/>
  <c r="X7" i="34"/>
  <c r="AP246" i="34"/>
  <c r="F267" i="34"/>
  <c r="H231" i="34"/>
  <c r="F226" i="34"/>
  <c r="E232" i="34"/>
  <c r="E108" i="34"/>
  <c r="AI87" i="34"/>
  <c r="P7" i="34"/>
  <c r="AH246" i="34"/>
  <c r="AF7" i="34"/>
  <c r="AX246" i="34"/>
  <c r="AF90" i="34"/>
  <c r="AI89" i="34"/>
  <c r="AH89" i="34"/>
  <c r="B90" i="34"/>
  <c r="T246" i="34"/>
  <c r="B7" i="34"/>
  <c r="H7" i="34"/>
  <c r="Z246" i="34"/>
  <c r="H90" i="34"/>
  <c r="AH87" i="34"/>
  <c r="AA90" i="34"/>
  <c r="AA7" i="34"/>
  <c r="AS246" i="34"/>
  <c r="I90" i="34"/>
  <c r="AA246" i="34"/>
  <c r="I7" i="34"/>
  <c r="C241" i="34"/>
  <c r="S90" i="34"/>
  <c r="S7" i="34"/>
  <c r="AK246" i="34"/>
  <c r="Q90" i="34"/>
  <c r="AI246" i="34"/>
  <c r="Q7" i="34"/>
  <c r="K6" i="34" l="1"/>
  <c r="G267" i="34"/>
  <c r="I231" i="34"/>
  <c r="F108" i="34"/>
  <c r="G226" i="34"/>
  <c r="F232" i="34"/>
  <c r="A7" i="34"/>
  <c r="AH90" i="34"/>
  <c r="AI90" i="34"/>
  <c r="H226" i="34" l="1"/>
  <c r="G108" i="34"/>
  <c r="G232" i="34"/>
  <c r="H267" i="34"/>
  <c r="J231" i="34"/>
  <c r="K231" i="34" l="1"/>
  <c r="I267" i="34"/>
  <c r="I226" i="34"/>
  <c r="H232" i="34"/>
  <c r="H108" i="34"/>
  <c r="I108" i="34" l="1"/>
  <c r="J226" i="34"/>
  <c r="J267" i="34"/>
  <c r="L231" i="34"/>
  <c r="K267" i="34" l="1"/>
  <c r="M231" i="34"/>
  <c r="J108" i="34"/>
  <c r="K226" i="34"/>
  <c r="L226" i="34" l="1"/>
  <c r="K108" i="34"/>
  <c r="L267" i="34"/>
  <c r="N231" i="34"/>
  <c r="M267" i="34" l="1"/>
  <c r="O231" i="34"/>
  <c r="L108" i="34"/>
  <c r="M226" i="34"/>
  <c r="N226" i="34" l="1"/>
  <c r="M108" i="34"/>
  <c r="N267" i="34"/>
  <c r="P231" i="34"/>
  <c r="O267" i="34" s="1"/>
  <c r="O226" i="34" l="1"/>
  <c r="N108" i="34"/>
  <c r="P226" i="34" l="1"/>
  <c r="O108" i="34"/>
  <c r="AI108" i="34" l="1"/>
  <c r="AH108" i="34"/>
  <c r="R111" i="33" l="1"/>
  <c r="R47" i="33"/>
  <c r="Q111" i="33"/>
  <c r="Q47" i="33"/>
  <c r="Q48" i="33"/>
  <c r="Q52" i="33"/>
  <c r="Q66" i="33"/>
  <c r="Q70" i="33"/>
  <c r="Q82" i="33"/>
  <c r="Q98" i="33" s="1"/>
  <c r="Q87" i="33" l="1"/>
  <c r="Q89" i="33" s="1"/>
  <c r="Q90" i="33" s="1"/>
  <c r="P111" i="33"/>
  <c r="O111" i="33"/>
  <c r="N66" i="33"/>
  <c r="N70" i="33"/>
  <c r="N82" i="33"/>
  <c r="N98" i="33" s="1"/>
  <c r="M82" i="33"/>
  <c r="M66" i="33"/>
  <c r="M48" i="33"/>
  <c r="M70" i="33"/>
  <c r="G48" i="33"/>
  <c r="B4" i="29"/>
  <c r="B4" i="30"/>
  <c r="B4" i="31"/>
  <c r="B4" i="32"/>
  <c r="B4" i="33"/>
  <c r="D243" i="33" s="1"/>
  <c r="F48" i="33"/>
  <c r="F52" i="33"/>
  <c r="F66" i="33"/>
  <c r="F82" i="33"/>
  <c r="F98" i="33" s="1"/>
  <c r="B82" i="33"/>
  <c r="B98" i="33" s="1"/>
  <c r="B70" i="33"/>
  <c r="B66" i="33"/>
  <c r="B52" i="33"/>
  <c r="B48" i="33"/>
  <c r="AF271" i="33"/>
  <c r="AE271" i="33"/>
  <c r="AD271" i="33"/>
  <c r="AC271" i="33"/>
  <c r="AB271" i="33"/>
  <c r="AA271" i="33"/>
  <c r="Z271" i="33"/>
  <c r="Y271" i="33"/>
  <c r="X271" i="33"/>
  <c r="W271" i="33"/>
  <c r="V271" i="33"/>
  <c r="U271" i="33"/>
  <c r="T271" i="33"/>
  <c r="S271" i="33"/>
  <c r="R271" i="33"/>
  <c r="Q271" i="33"/>
  <c r="P271" i="33"/>
  <c r="O271" i="33"/>
  <c r="N271" i="33"/>
  <c r="M271" i="33"/>
  <c r="L271" i="33"/>
  <c r="K271" i="33"/>
  <c r="J271" i="33"/>
  <c r="I271" i="33"/>
  <c r="H271" i="33"/>
  <c r="G271" i="33"/>
  <c r="F271" i="33"/>
  <c r="E271" i="33"/>
  <c r="D271" i="33"/>
  <c r="C271" i="33"/>
  <c r="B271" i="33"/>
  <c r="A271" i="33"/>
  <c r="AF270" i="33"/>
  <c r="AE270" i="33"/>
  <c r="AD270" i="33"/>
  <c r="AC270" i="33"/>
  <c r="AB270" i="33"/>
  <c r="AA270" i="33"/>
  <c r="Z270" i="33"/>
  <c r="Y270" i="33"/>
  <c r="X270" i="33"/>
  <c r="W270" i="33"/>
  <c r="V270" i="33"/>
  <c r="U270" i="33"/>
  <c r="T270" i="33"/>
  <c r="S270" i="33"/>
  <c r="R270" i="33"/>
  <c r="Q270" i="33"/>
  <c r="P270" i="33"/>
  <c r="O270" i="33"/>
  <c r="N270" i="33"/>
  <c r="M270" i="33"/>
  <c r="L270" i="33"/>
  <c r="K270" i="33"/>
  <c r="J270" i="33"/>
  <c r="I270" i="33"/>
  <c r="H270" i="33"/>
  <c r="G270" i="33"/>
  <c r="F270" i="33"/>
  <c r="E270" i="33"/>
  <c r="D270" i="33"/>
  <c r="C270" i="33"/>
  <c r="B270" i="33"/>
  <c r="A270" i="33"/>
  <c r="AF269" i="33"/>
  <c r="AE269" i="33"/>
  <c r="AD269" i="33"/>
  <c r="AC269" i="33"/>
  <c r="AB269" i="33"/>
  <c r="AA269" i="33"/>
  <c r="Z269" i="33"/>
  <c r="Y269" i="33"/>
  <c r="X269" i="33"/>
  <c r="W269" i="33"/>
  <c r="V269" i="33"/>
  <c r="U269" i="33"/>
  <c r="T269" i="33"/>
  <c r="S269" i="33"/>
  <c r="R269" i="33"/>
  <c r="Q269" i="33"/>
  <c r="P269" i="33"/>
  <c r="O269" i="33"/>
  <c r="N269" i="33"/>
  <c r="M269" i="33"/>
  <c r="L269" i="33"/>
  <c r="K269" i="33"/>
  <c r="J269" i="33"/>
  <c r="I269" i="33"/>
  <c r="H269" i="33"/>
  <c r="G269" i="33"/>
  <c r="F269" i="33"/>
  <c r="E269" i="33"/>
  <c r="D269" i="33"/>
  <c r="C269" i="33"/>
  <c r="B269" i="33"/>
  <c r="A269" i="33"/>
  <c r="AF268" i="33"/>
  <c r="AE268" i="33"/>
  <c r="AD268" i="33"/>
  <c r="AC268" i="33"/>
  <c r="AB268" i="33"/>
  <c r="AA268" i="33"/>
  <c r="Z268" i="33"/>
  <c r="Y268" i="33"/>
  <c r="X268" i="33"/>
  <c r="W268" i="33"/>
  <c r="V268" i="33"/>
  <c r="U268" i="33"/>
  <c r="T268" i="33"/>
  <c r="S268" i="33"/>
  <c r="R268" i="33"/>
  <c r="Q268" i="33"/>
  <c r="P268" i="33"/>
  <c r="O268" i="33"/>
  <c r="N268" i="33"/>
  <c r="M268" i="33"/>
  <c r="L268" i="33"/>
  <c r="K268" i="33"/>
  <c r="J268" i="33"/>
  <c r="I268" i="33"/>
  <c r="H268" i="33"/>
  <c r="G268" i="33"/>
  <c r="F268" i="33"/>
  <c r="E268" i="33"/>
  <c r="D268" i="33"/>
  <c r="C268" i="33"/>
  <c r="B268" i="33"/>
  <c r="A268" i="33"/>
  <c r="AE267" i="33"/>
  <c r="AD267" i="33"/>
  <c r="AC267" i="33"/>
  <c r="AB267" i="33"/>
  <c r="AA267" i="33"/>
  <c r="Z267" i="33"/>
  <c r="Y267" i="33"/>
  <c r="X267" i="33"/>
  <c r="W267" i="33"/>
  <c r="V267" i="33"/>
  <c r="U267" i="33"/>
  <c r="T267" i="33"/>
  <c r="S267" i="33"/>
  <c r="R267" i="33"/>
  <c r="Q267" i="33"/>
  <c r="P267" i="33"/>
  <c r="B267" i="33"/>
  <c r="S242" i="33"/>
  <c r="AG232" i="33"/>
  <c r="AF232" i="33"/>
  <c r="AE232" i="33"/>
  <c r="AD232" i="33"/>
  <c r="AC232" i="33"/>
  <c r="AB232" i="33"/>
  <c r="AA232" i="33"/>
  <c r="Z232" i="33"/>
  <c r="Y232" i="33"/>
  <c r="X232" i="33"/>
  <c r="W232" i="33"/>
  <c r="V232" i="33"/>
  <c r="U232" i="33"/>
  <c r="T232" i="33"/>
  <c r="S232" i="33"/>
  <c r="R232" i="33"/>
  <c r="Q232" i="33"/>
  <c r="C232" i="33"/>
  <c r="D231" i="33"/>
  <c r="E231" i="33" s="1"/>
  <c r="B231" i="33"/>
  <c r="AF267" i="33" s="1"/>
  <c r="D230" i="33"/>
  <c r="E230" i="33" s="1"/>
  <c r="F230" i="33" s="1"/>
  <c r="G230" i="33" s="1"/>
  <c r="H230" i="33" s="1"/>
  <c r="I230" i="33" s="1"/>
  <c r="J230" i="33" s="1"/>
  <c r="K230" i="33" s="1"/>
  <c r="L230" i="33" s="1"/>
  <c r="M230" i="33" s="1"/>
  <c r="N230" i="33" s="1"/>
  <c r="O230" i="33" s="1"/>
  <c r="P230" i="33" s="1"/>
  <c r="B230" i="33"/>
  <c r="D229" i="33"/>
  <c r="E229" i="33" s="1"/>
  <c r="F229" i="33" s="1"/>
  <c r="G229" i="33" s="1"/>
  <c r="H229" i="33" s="1"/>
  <c r="I229" i="33" s="1"/>
  <c r="J229" i="33" s="1"/>
  <c r="K229" i="33" s="1"/>
  <c r="L229" i="33" s="1"/>
  <c r="M229" i="33" s="1"/>
  <c r="N229" i="33" s="1"/>
  <c r="O229" i="33" s="1"/>
  <c r="P229" i="33" s="1"/>
  <c r="B229" i="33"/>
  <c r="D228" i="33"/>
  <c r="E228" i="33" s="1"/>
  <c r="F228" i="33" s="1"/>
  <c r="G228" i="33" s="1"/>
  <c r="H228" i="33" s="1"/>
  <c r="B228" i="33"/>
  <c r="D227" i="33"/>
  <c r="E227" i="33" s="1"/>
  <c r="F227" i="33" s="1"/>
  <c r="G227" i="33" s="1"/>
  <c r="H227" i="33" s="1"/>
  <c r="I227" i="33" s="1"/>
  <c r="J227" i="33" s="1"/>
  <c r="K227" i="33" s="1"/>
  <c r="L227" i="33" s="1"/>
  <c r="M227" i="33" s="1"/>
  <c r="N227" i="33" s="1"/>
  <c r="O227" i="33" s="1"/>
  <c r="P227" i="33" s="1"/>
  <c r="B227" i="33"/>
  <c r="D226" i="33"/>
  <c r="B226" i="33"/>
  <c r="AG224" i="33"/>
  <c r="AF224" i="33"/>
  <c r="AE224" i="33"/>
  <c r="AD224" i="33"/>
  <c r="AC224" i="33"/>
  <c r="AB224" i="33"/>
  <c r="AA224" i="33"/>
  <c r="Z224" i="33"/>
  <c r="Y224" i="33"/>
  <c r="X224" i="33"/>
  <c r="W224" i="33"/>
  <c r="V224" i="33"/>
  <c r="U224" i="33"/>
  <c r="T224" i="33"/>
  <c r="S224" i="33"/>
  <c r="R224" i="33"/>
  <c r="Q224" i="33"/>
  <c r="P224" i="33"/>
  <c r="O224" i="33"/>
  <c r="N224" i="33"/>
  <c r="M224" i="33"/>
  <c r="L224" i="33"/>
  <c r="K224" i="33"/>
  <c r="J224" i="33"/>
  <c r="I224" i="33"/>
  <c r="H224" i="33"/>
  <c r="G224" i="33"/>
  <c r="F224" i="33"/>
  <c r="E224" i="33"/>
  <c r="D224" i="33"/>
  <c r="C224" i="33"/>
  <c r="B224" i="33"/>
  <c r="AI117" i="33"/>
  <c r="AH117" i="33"/>
  <c r="AI116" i="33"/>
  <c r="AH116" i="33"/>
  <c r="AI115" i="33"/>
  <c r="AH115" i="33"/>
  <c r="AI114" i="33"/>
  <c r="AH114" i="33"/>
  <c r="AI113" i="33"/>
  <c r="AH113" i="33"/>
  <c r="AI112" i="33"/>
  <c r="AH112" i="33"/>
  <c r="AB108" i="33"/>
  <c r="AA108" i="33"/>
  <c r="Z108" i="33"/>
  <c r="U108" i="33"/>
  <c r="T108" i="33"/>
  <c r="AI110" i="33"/>
  <c r="AH110" i="33"/>
  <c r="S108" i="33"/>
  <c r="AI109" i="33"/>
  <c r="AH109" i="33"/>
  <c r="AF108" i="33"/>
  <c r="AE108" i="33"/>
  <c r="AD108" i="33"/>
  <c r="AC108" i="33"/>
  <c r="Y108" i="33"/>
  <c r="X108" i="33"/>
  <c r="W108" i="33"/>
  <c r="V108" i="33"/>
  <c r="R108" i="33"/>
  <c r="Q108" i="33"/>
  <c r="C108" i="33"/>
  <c r="AI107" i="33"/>
  <c r="AH107" i="33"/>
  <c r="AI106" i="33"/>
  <c r="AH106" i="33"/>
  <c r="AI105" i="33"/>
  <c r="AH105" i="33"/>
  <c r="AI104" i="33"/>
  <c r="AH104" i="33"/>
  <c r="AI103" i="33"/>
  <c r="AH103" i="33"/>
  <c r="AI102" i="33"/>
  <c r="AH102" i="33"/>
  <c r="AI101" i="33"/>
  <c r="AH101" i="33"/>
  <c r="AI100" i="33"/>
  <c r="AH100" i="33"/>
  <c r="AI99" i="33"/>
  <c r="AH99" i="33"/>
  <c r="AI97" i="33"/>
  <c r="AH97" i="33"/>
  <c r="AI96" i="33"/>
  <c r="AH96" i="33"/>
  <c r="AI95" i="33"/>
  <c r="AH95" i="33"/>
  <c r="AI94" i="33"/>
  <c r="AH94" i="33"/>
  <c r="AI93" i="33"/>
  <c r="AH93" i="33"/>
  <c r="AI92" i="33"/>
  <c r="AH92" i="33"/>
  <c r="AI91" i="33"/>
  <c r="AH91" i="33"/>
  <c r="L88" i="33"/>
  <c r="K88" i="33"/>
  <c r="J88" i="33"/>
  <c r="AI86" i="33"/>
  <c r="AH86" i="33"/>
  <c r="AG86" i="33"/>
  <c r="AI85" i="33"/>
  <c r="AH85" i="33"/>
  <c r="AI84" i="33"/>
  <c r="AH84" i="33"/>
  <c r="AI83" i="33"/>
  <c r="AH83" i="33"/>
  <c r="AN82" i="33"/>
  <c r="AG82" i="33"/>
  <c r="AF82" i="33"/>
  <c r="AF98" i="33" s="1"/>
  <c r="AE82" i="33"/>
  <c r="AE98" i="33" s="1"/>
  <c r="AD82" i="33"/>
  <c r="AC82" i="33"/>
  <c r="AB82" i="33"/>
  <c r="AA5" i="33" s="1"/>
  <c r="AA82" i="33"/>
  <c r="AA98" i="33" s="1"/>
  <c r="Z82" i="33"/>
  <c r="Z98" i="33" s="1"/>
  <c r="Y82" i="33"/>
  <c r="Y98" i="33" s="1"/>
  <c r="X82" i="33"/>
  <c r="X98" i="33" s="1"/>
  <c r="W82" i="33"/>
  <c r="W98" i="33" s="1"/>
  <c r="V82" i="33"/>
  <c r="U82" i="33"/>
  <c r="T82" i="33"/>
  <c r="S5" i="33" s="1"/>
  <c r="S82" i="33"/>
  <c r="S98" i="33" s="1"/>
  <c r="R82" i="33"/>
  <c r="R98" i="33" s="1"/>
  <c r="P82" i="33"/>
  <c r="P98" i="33" s="1"/>
  <c r="O82" i="33"/>
  <c r="O98" i="33" s="1"/>
  <c r="L82" i="33"/>
  <c r="K5" i="33" s="1"/>
  <c r="K82" i="33"/>
  <c r="K98" i="33" s="1"/>
  <c r="J82" i="33"/>
  <c r="J98" i="33" s="1"/>
  <c r="I82" i="33"/>
  <c r="I98" i="33" s="1"/>
  <c r="H82" i="33"/>
  <c r="H98" i="33" s="1"/>
  <c r="G82" i="33"/>
  <c r="G98" i="33" s="1"/>
  <c r="E82" i="33"/>
  <c r="D82" i="33"/>
  <c r="D98" i="33" s="1"/>
  <c r="C82" i="33"/>
  <c r="C98" i="33" s="1"/>
  <c r="AI81" i="33"/>
  <c r="AH81" i="33"/>
  <c r="AN80" i="33"/>
  <c r="AI80" i="33"/>
  <c r="AH80" i="33"/>
  <c r="AN79" i="33"/>
  <c r="AI79" i="33"/>
  <c r="AH79" i="33"/>
  <c r="AI78" i="33"/>
  <c r="AH78" i="33"/>
  <c r="AI77" i="33"/>
  <c r="AH77" i="33"/>
  <c r="AI76" i="33"/>
  <c r="AH76" i="33"/>
  <c r="AI75" i="33"/>
  <c r="AH75" i="33"/>
  <c r="AI74" i="33"/>
  <c r="AH74" i="33"/>
  <c r="AI73" i="33"/>
  <c r="AH73" i="33"/>
  <c r="AI72" i="33"/>
  <c r="AH72" i="33"/>
  <c r="AI71" i="33"/>
  <c r="AH71" i="33"/>
  <c r="AG70" i="33"/>
  <c r="AF70" i="33"/>
  <c r="AE70" i="33"/>
  <c r="AD70" i="33"/>
  <c r="AC70" i="33"/>
  <c r="AB70" i="33"/>
  <c r="AA70" i="33"/>
  <c r="Z70" i="33"/>
  <c r="Y70" i="33"/>
  <c r="X70" i="33"/>
  <c r="W70" i="33"/>
  <c r="V70" i="33"/>
  <c r="U70" i="33"/>
  <c r="T70" i="33"/>
  <c r="S70" i="33"/>
  <c r="R70" i="33"/>
  <c r="P70" i="33"/>
  <c r="O70" i="33"/>
  <c r="L70" i="33"/>
  <c r="AI69" i="33"/>
  <c r="AH69" i="33"/>
  <c r="AI68" i="33"/>
  <c r="AH68" i="33"/>
  <c r="AI67" i="33"/>
  <c r="AH67" i="33"/>
  <c r="AF66" i="33"/>
  <c r="AE66" i="33"/>
  <c r="AD66" i="33"/>
  <c r="AC66" i="33"/>
  <c r="AB66" i="33"/>
  <c r="AA66" i="33"/>
  <c r="Z66" i="33"/>
  <c r="Y66" i="33"/>
  <c r="X66" i="33"/>
  <c r="W66" i="33"/>
  <c r="V66" i="33"/>
  <c r="U66" i="33"/>
  <c r="T66" i="33"/>
  <c r="S66" i="33"/>
  <c r="R66" i="33"/>
  <c r="P66" i="33"/>
  <c r="O66" i="33"/>
  <c r="L66" i="33"/>
  <c r="K66" i="33"/>
  <c r="J66" i="33"/>
  <c r="I66" i="33"/>
  <c r="H66" i="33"/>
  <c r="G66" i="33"/>
  <c r="E66" i="33"/>
  <c r="D66" i="33"/>
  <c r="C66" i="33"/>
  <c r="AI65" i="33"/>
  <c r="AH65" i="33"/>
  <c r="AG65" i="33"/>
  <c r="AG66" i="33" s="1"/>
  <c r="AG3" i="33" s="1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I56" i="33"/>
  <c r="AH56" i="33"/>
  <c r="AI55" i="33"/>
  <c r="AH55" i="33"/>
  <c r="AI54" i="33"/>
  <c r="AH54" i="33"/>
  <c r="AI53" i="33"/>
  <c r="AH53" i="33"/>
  <c r="AG52" i="33"/>
  <c r="AF52" i="33"/>
  <c r="AE52" i="33"/>
  <c r="AD52" i="33"/>
  <c r="AC52" i="33"/>
  <c r="AB52" i="33"/>
  <c r="AA52" i="33"/>
  <c r="Z52" i="33"/>
  <c r="Y52" i="33"/>
  <c r="X52" i="33"/>
  <c r="W52" i="33"/>
  <c r="V52" i="33"/>
  <c r="U52" i="33"/>
  <c r="T52" i="33"/>
  <c r="S52" i="33"/>
  <c r="R52" i="33"/>
  <c r="P52" i="33"/>
  <c r="O52" i="33"/>
  <c r="N52" i="33"/>
  <c r="M52" i="33"/>
  <c r="L52" i="33"/>
  <c r="K52" i="33"/>
  <c r="J52" i="33"/>
  <c r="I52" i="33"/>
  <c r="H52" i="33"/>
  <c r="G52" i="33"/>
  <c r="E52" i="33"/>
  <c r="D52" i="33"/>
  <c r="C52" i="33"/>
  <c r="AI51" i="33"/>
  <c r="AH51" i="33"/>
  <c r="AI50" i="33"/>
  <c r="AH50" i="33"/>
  <c r="AI49" i="33"/>
  <c r="AH49" i="33"/>
  <c r="AG48" i="33"/>
  <c r="AG2" i="33" s="1"/>
  <c r="AF48" i="33"/>
  <c r="AE48" i="33"/>
  <c r="AD48" i="33"/>
  <c r="AC48" i="33"/>
  <c r="AB48" i="33"/>
  <c r="AA48" i="33"/>
  <c r="Z48" i="33"/>
  <c r="Y48" i="33"/>
  <c r="X48" i="33"/>
  <c r="W48" i="33"/>
  <c r="V48" i="33"/>
  <c r="U48" i="33"/>
  <c r="T48" i="33"/>
  <c r="S48" i="33"/>
  <c r="R48" i="33"/>
  <c r="P48" i="33"/>
  <c r="O48" i="33"/>
  <c r="N48" i="33"/>
  <c r="L48" i="33"/>
  <c r="K48" i="33"/>
  <c r="J48" i="33"/>
  <c r="I48" i="33"/>
  <c r="H48" i="33"/>
  <c r="E48" i="33"/>
  <c r="D48" i="33"/>
  <c r="C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F5" i="33"/>
  <c r="Z5" i="33"/>
  <c r="X5" i="33"/>
  <c r="W5" i="33"/>
  <c r="P5" i="33"/>
  <c r="G5" i="33"/>
  <c r="AG4" i="33"/>
  <c r="K4" i="33"/>
  <c r="E4" i="33"/>
  <c r="H4" i="33" s="1"/>
  <c r="AB111" i="32"/>
  <c r="AA111" i="32"/>
  <c r="Z111" i="32"/>
  <c r="Y111" i="32"/>
  <c r="X111" i="32"/>
  <c r="W111" i="32"/>
  <c r="W52" i="32"/>
  <c r="V111" i="32"/>
  <c r="N87" i="33" l="1"/>
  <c r="N89" i="33" s="1"/>
  <c r="N90" i="33" s="1"/>
  <c r="B232" i="33"/>
  <c r="AN81" i="33"/>
  <c r="AD5" i="33"/>
  <c r="Y5" i="33"/>
  <c r="Z87" i="33"/>
  <c r="Z89" i="33" s="1"/>
  <c r="Z7" i="33" s="1"/>
  <c r="V5" i="33"/>
  <c r="R5" i="33"/>
  <c r="Q5" i="33"/>
  <c r="R87" i="33"/>
  <c r="R89" i="33" s="1"/>
  <c r="AJ246" i="33" s="1"/>
  <c r="O5" i="33"/>
  <c r="N5" i="33"/>
  <c r="J87" i="33"/>
  <c r="J89" i="33" s="1"/>
  <c r="H5" i="33"/>
  <c r="F5" i="33"/>
  <c r="F231" i="33"/>
  <c r="G231" i="33" s="1"/>
  <c r="D267" i="33"/>
  <c r="J5" i="33"/>
  <c r="B108" i="33"/>
  <c r="AH88" i="33"/>
  <c r="C267" i="33"/>
  <c r="I5" i="33"/>
  <c r="AI88" i="33"/>
  <c r="Y87" i="33"/>
  <c r="Y89" i="33" s="1"/>
  <c r="AQ246" i="33" s="1"/>
  <c r="AA87" i="33"/>
  <c r="AA89" i="33" s="1"/>
  <c r="AS246" i="33" s="1"/>
  <c r="S87" i="33"/>
  <c r="S89" i="33" s="1"/>
  <c r="S7" i="33" s="1"/>
  <c r="F87" i="33"/>
  <c r="F89" i="33" s="1"/>
  <c r="F90" i="33" s="1"/>
  <c r="AH48" i="33"/>
  <c r="B5" i="33"/>
  <c r="B87" i="33"/>
  <c r="B89" i="33" s="1"/>
  <c r="B90" i="33" s="1"/>
  <c r="AI52" i="33"/>
  <c r="I87" i="33"/>
  <c r="I89" i="33" s="1"/>
  <c r="I90" i="33" s="1"/>
  <c r="H87" i="33"/>
  <c r="H89" i="33" s="1"/>
  <c r="H90" i="33" s="1"/>
  <c r="AE5" i="33"/>
  <c r="AI70" i="33"/>
  <c r="AI48" i="33"/>
  <c r="S243" i="33"/>
  <c r="Y7" i="33"/>
  <c r="Q7" i="33"/>
  <c r="AI246" i="33"/>
  <c r="AR246" i="33"/>
  <c r="J90" i="33"/>
  <c r="J7" i="33"/>
  <c r="AB246" i="33"/>
  <c r="AH82" i="33"/>
  <c r="AH52" i="33"/>
  <c r="AG6" i="33"/>
  <c r="AI82" i="33"/>
  <c r="AG87" i="33"/>
  <c r="E267" i="33"/>
  <c r="D232" i="33"/>
  <c r="D108" i="33"/>
  <c r="E226" i="33"/>
  <c r="D5" i="33"/>
  <c r="E98" i="33"/>
  <c r="E5" i="33"/>
  <c r="AH111" i="33"/>
  <c r="AI111" i="33"/>
  <c r="L5" i="33"/>
  <c r="M98" i="33"/>
  <c r="R90" i="33"/>
  <c r="R7" i="33"/>
  <c r="AB87" i="33"/>
  <c r="AB89" i="33" s="1"/>
  <c r="M5" i="33"/>
  <c r="E87" i="33"/>
  <c r="E89" i="33" s="1"/>
  <c r="M87" i="33"/>
  <c r="M89" i="33" s="1"/>
  <c r="U87" i="33"/>
  <c r="U89" i="33" s="1"/>
  <c r="AC87" i="33"/>
  <c r="AC89" i="33" s="1"/>
  <c r="T5" i="33"/>
  <c r="U98" i="33"/>
  <c r="L87" i="33"/>
  <c r="L89" i="33" s="1"/>
  <c r="U5" i="33"/>
  <c r="V98" i="33"/>
  <c r="V87" i="33"/>
  <c r="V89" i="33" s="1"/>
  <c r="AD87" i="33"/>
  <c r="AD89" i="33" s="1"/>
  <c r="AH70" i="33"/>
  <c r="P87" i="33"/>
  <c r="P89" i="33" s="1"/>
  <c r="X87" i="33"/>
  <c r="X89" i="33" s="1"/>
  <c r="AF87" i="33"/>
  <c r="AF89" i="33" s="1"/>
  <c r="C87" i="33"/>
  <c r="C89" i="33" s="1"/>
  <c r="K87" i="33"/>
  <c r="K89" i="33" s="1"/>
  <c r="AB5" i="33"/>
  <c r="AC98" i="33"/>
  <c r="D87" i="33"/>
  <c r="D89" i="33" s="1"/>
  <c r="T87" i="33"/>
  <c r="T89" i="33" s="1"/>
  <c r="AH66" i="33"/>
  <c r="AC5" i="33"/>
  <c r="AD98" i="33"/>
  <c r="G87" i="33"/>
  <c r="G89" i="33" s="1"/>
  <c r="O87" i="33"/>
  <c r="O89" i="33" s="1"/>
  <c r="W87" i="33"/>
  <c r="W89" i="33" s="1"/>
  <c r="AE87" i="33"/>
  <c r="AE89" i="33" s="1"/>
  <c r="AG89" i="33"/>
  <c r="L98" i="33"/>
  <c r="T98" i="33"/>
  <c r="AB98" i="33"/>
  <c r="C5" i="33"/>
  <c r="AI66" i="33"/>
  <c r="Z90" i="33" l="1"/>
  <c r="AA7" i="33"/>
  <c r="AA90" i="33"/>
  <c r="Y90" i="33"/>
  <c r="AK246" i="33"/>
  <c r="S90" i="33"/>
  <c r="Z246" i="33"/>
  <c r="AH98" i="33"/>
  <c r="AI98" i="33"/>
  <c r="AA246" i="33"/>
  <c r="I7" i="33"/>
  <c r="H7" i="33"/>
  <c r="C7" i="33"/>
  <c r="C90" i="33"/>
  <c r="U246" i="33"/>
  <c r="AF246" i="33"/>
  <c r="N7" i="33"/>
  <c r="U90" i="33"/>
  <c r="AM246" i="33"/>
  <c r="U7" i="33"/>
  <c r="AI87" i="33"/>
  <c r="X246" i="33"/>
  <c r="F7" i="33"/>
  <c r="M90" i="33"/>
  <c r="AE246" i="33"/>
  <c r="M7" i="33"/>
  <c r="B7" i="33"/>
  <c r="AH89" i="33"/>
  <c r="T246" i="33"/>
  <c r="AI89" i="33"/>
  <c r="AF7" i="33"/>
  <c r="AX246" i="33"/>
  <c r="AF90" i="33"/>
  <c r="E90" i="33"/>
  <c r="W246" i="33"/>
  <c r="E7" i="33"/>
  <c r="F267" i="33"/>
  <c r="H231" i="33"/>
  <c r="AL246" i="33"/>
  <c r="T90" i="33"/>
  <c r="T7" i="33"/>
  <c r="X7" i="33"/>
  <c r="AP246" i="33"/>
  <c r="X90" i="33"/>
  <c r="F226" i="33"/>
  <c r="F108" i="33" s="1"/>
  <c r="E232" i="33"/>
  <c r="AW246" i="33"/>
  <c r="AE90" i="33"/>
  <c r="AE7" i="33"/>
  <c r="D90" i="33"/>
  <c r="V246" i="33"/>
  <c r="D7" i="33"/>
  <c r="P7" i="33"/>
  <c r="AH246" i="33"/>
  <c r="P90" i="33"/>
  <c r="L90" i="33"/>
  <c r="AD246" i="33"/>
  <c r="L7" i="33"/>
  <c r="E108" i="33"/>
  <c r="AO246" i="33"/>
  <c r="W90" i="33"/>
  <c r="W7" i="33"/>
  <c r="AB90" i="33"/>
  <c r="AT246" i="33"/>
  <c r="AB7" i="33"/>
  <c r="AG246" i="33"/>
  <c r="O90" i="33"/>
  <c r="O7" i="33"/>
  <c r="AD90" i="33"/>
  <c r="AV246" i="33"/>
  <c r="AD7" i="33"/>
  <c r="Y246" i="33"/>
  <c r="C241" i="33"/>
  <c r="B241" i="33"/>
  <c r="G90" i="33"/>
  <c r="G7" i="33"/>
  <c r="K7" i="33"/>
  <c r="K90" i="33"/>
  <c r="AC246" i="33"/>
  <c r="V90" i="33"/>
  <c r="AN246" i="33"/>
  <c r="V7" i="33"/>
  <c r="AC90" i="33"/>
  <c r="AU246" i="33"/>
  <c r="AC7" i="33"/>
  <c r="AH87" i="33"/>
  <c r="G267" i="33" l="1"/>
  <c r="I231" i="33"/>
  <c r="G226" i="33"/>
  <c r="F232" i="33"/>
  <c r="K6" i="33"/>
  <c r="AI90" i="33"/>
  <c r="AH90" i="33"/>
  <c r="A7" i="33"/>
  <c r="H226" i="33" l="1"/>
  <c r="G232" i="33"/>
  <c r="G108" i="33"/>
  <c r="H267" i="33"/>
  <c r="J231" i="33"/>
  <c r="K231" i="33" l="1"/>
  <c r="I267" i="33"/>
  <c r="I226" i="33"/>
  <c r="H108" i="33"/>
  <c r="H232" i="33"/>
  <c r="I108" i="33" l="1"/>
  <c r="J226" i="33"/>
  <c r="J267" i="33"/>
  <c r="L231" i="33"/>
  <c r="K267" i="33" l="1"/>
  <c r="M231" i="33"/>
  <c r="K226" i="33"/>
  <c r="J108" i="33"/>
  <c r="L226" i="33" l="1"/>
  <c r="K108" i="33"/>
  <c r="L267" i="33"/>
  <c r="N231" i="33"/>
  <c r="M267" i="33" l="1"/>
  <c r="O231" i="33"/>
  <c r="L108" i="33"/>
  <c r="M226" i="33"/>
  <c r="M108" i="33" s="1"/>
  <c r="N226" i="33" l="1"/>
  <c r="N108" i="33" s="1"/>
  <c r="N267" i="33"/>
  <c r="P231" i="33"/>
  <c r="O267" i="33" s="1"/>
  <c r="O226" i="33" l="1"/>
  <c r="P226" i="33" l="1"/>
  <c r="O108" i="33"/>
  <c r="AH108" i="33" l="1"/>
  <c r="AI108" i="33"/>
  <c r="U111" i="32" l="1"/>
  <c r="T111" i="32" l="1"/>
  <c r="S111" i="32"/>
  <c r="S110" i="32"/>
  <c r="K111" i="32" l="1"/>
  <c r="K88" i="32"/>
  <c r="L88" i="32"/>
  <c r="J111" i="32"/>
  <c r="J88" i="32"/>
  <c r="I111" i="32"/>
  <c r="H111" i="32"/>
  <c r="G111" i="32"/>
  <c r="F111" i="32"/>
  <c r="E111" i="32"/>
  <c r="AF271" i="32"/>
  <c r="AE271" i="32"/>
  <c r="AD271" i="32"/>
  <c r="AC271" i="32"/>
  <c r="AB271" i="32"/>
  <c r="AA271" i="32"/>
  <c r="Z271" i="32"/>
  <c r="Y271" i="32"/>
  <c r="X271" i="32"/>
  <c r="W271" i="32"/>
  <c r="V271" i="32"/>
  <c r="U271" i="32"/>
  <c r="T271" i="32"/>
  <c r="S271" i="32"/>
  <c r="R271" i="32"/>
  <c r="Q271" i="32"/>
  <c r="P271" i="32"/>
  <c r="O271" i="32"/>
  <c r="N271" i="32"/>
  <c r="M271" i="32"/>
  <c r="L271" i="32"/>
  <c r="K271" i="32"/>
  <c r="J271" i="32"/>
  <c r="I271" i="32"/>
  <c r="H271" i="32"/>
  <c r="G271" i="32"/>
  <c r="F271" i="32"/>
  <c r="E271" i="32"/>
  <c r="D271" i="32"/>
  <c r="C271" i="32"/>
  <c r="B271" i="32"/>
  <c r="A271" i="32"/>
  <c r="AF270" i="32"/>
  <c r="AE270" i="32"/>
  <c r="AD270" i="32"/>
  <c r="AC270" i="32"/>
  <c r="AB270" i="32"/>
  <c r="AA270" i="32"/>
  <c r="Z270" i="32"/>
  <c r="Y270" i="32"/>
  <c r="X270" i="32"/>
  <c r="W270" i="32"/>
  <c r="V270" i="32"/>
  <c r="U270" i="32"/>
  <c r="T270" i="32"/>
  <c r="S270" i="32"/>
  <c r="R270" i="32"/>
  <c r="Q270" i="32"/>
  <c r="P270" i="32"/>
  <c r="O270" i="32"/>
  <c r="N270" i="32"/>
  <c r="M270" i="32"/>
  <c r="L270" i="32"/>
  <c r="K270" i="32"/>
  <c r="J270" i="32"/>
  <c r="I270" i="32"/>
  <c r="H270" i="32"/>
  <c r="G270" i="32"/>
  <c r="F270" i="32"/>
  <c r="E270" i="32"/>
  <c r="D270" i="32"/>
  <c r="C270" i="32"/>
  <c r="B270" i="32"/>
  <c r="A270" i="32"/>
  <c r="AF269" i="32"/>
  <c r="AE269" i="32"/>
  <c r="AD269" i="32"/>
  <c r="AC269" i="32"/>
  <c r="AB269" i="32"/>
  <c r="AA269" i="32"/>
  <c r="Z269" i="32"/>
  <c r="Y269" i="32"/>
  <c r="X269" i="32"/>
  <c r="W269" i="32"/>
  <c r="V269" i="32"/>
  <c r="U269" i="32"/>
  <c r="T269" i="32"/>
  <c r="S269" i="32"/>
  <c r="R269" i="32"/>
  <c r="Q269" i="32"/>
  <c r="P269" i="32"/>
  <c r="O269" i="32"/>
  <c r="N269" i="32"/>
  <c r="M269" i="32"/>
  <c r="L269" i="32"/>
  <c r="K269" i="32"/>
  <c r="J269" i="32"/>
  <c r="I269" i="32"/>
  <c r="H269" i="32"/>
  <c r="G269" i="32"/>
  <c r="F269" i="32"/>
  <c r="E269" i="32"/>
  <c r="D269" i="32"/>
  <c r="C269" i="32"/>
  <c r="B269" i="32"/>
  <c r="A269" i="32"/>
  <c r="AF268" i="32"/>
  <c r="AE268" i="32"/>
  <c r="AD268" i="32"/>
  <c r="AC268" i="32"/>
  <c r="AB268" i="32"/>
  <c r="AA268" i="32"/>
  <c r="Z268" i="32"/>
  <c r="Y268" i="32"/>
  <c r="X268" i="32"/>
  <c r="W268" i="32"/>
  <c r="V268" i="32"/>
  <c r="U268" i="32"/>
  <c r="T268" i="32"/>
  <c r="S268" i="32"/>
  <c r="R268" i="32"/>
  <c r="Q268" i="32"/>
  <c r="P268" i="32"/>
  <c r="O268" i="32"/>
  <c r="N268" i="32"/>
  <c r="M268" i="32"/>
  <c r="L268" i="32"/>
  <c r="K268" i="32"/>
  <c r="J268" i="32"/>
  <c r="I268" i="32"/>
  <c r="H268" i="32"/>
  <c r="G268" i="32"/>
  <c r="F268" i="32"/>
  <c r="E268" i="32"/>
  <c r="D268" i="32"/>
  <c r="C268" i="32"/>
  <c r="B268" i="32"/>
  <c r="A268" i="32"/>
  <c r="AE267" i="32"/>
  <c r="AD267" i="32"/>
  <c r="AC267" i="32"/>
  <c r="AB267" i="32"/>
  <c r="AA267" i="32"/>
  <c r="Z267" i="32"/>
  <c r="Y267" i="32"/>
  <c r="X267" i="32"/>
  <c r="W267" i="32"/>
  <c r="V267" i="32"/>
  <c r="U267" i="32"/>
  <c r="T267" i="32"/>
  <c r="S267" i="32"/>
  <c r="R267" i="32"/>
  <c r="Q267" i="32"/>
  <c r="P267" i="32"/>
  <c r="B267" i="32"/>
  <c r="S242" i="32"/>
  <c r="AG232" i="32"/>
  <c r="AG65" i="32" s="1"/>
  <c r="AG66" i="32" s="1"/>
  <c r="AF232" i="32"/>
  <c r="AE232" i="32"/>
  <c r="AD232" i="32"/>
  <c r="AC232" i="32"/>
  <c r="AB232" i="32"/>
  <c r="AA232" i="32"/>
  <c r="Z232" i="32"/>
  <c r="Y232" i="32"/>
  <c r="X232" i="32"/>
  <c r="W232" i="32"/>
  <c r="V232" i="32"/>
  <c r="U232" i="32"/>
  <c r="T232" i="32"/>
  <c r="S232" i="32"/>
  <c r="R232" i="32"/>
  <c r="Q232" i="32"/>
  <c r="C232" i="32"/>
  <c r="D231" i="32"/>
  <c r="E231" i="32" s="1"/>
  <c r="B231" i="32"/>
  <c r="AF267" i="32" s="1"/>
  <c r="D230" i="32"/>
  <c r="E230" i="32" s="1"/>
  <c r="F230" i="32" s="1"/>
  <c r="G230" i="32" s="1"/>
  <c r="H230" i="32" s="1"/>
  <c r="I230" i="32" s="1"/>
  <c r="J230" i="32" s="1"/>
  <c r="K230" i="32" s="1"/>
  <c r="L230" i="32" s="1"/>
  <c r="M230" i="32" s="1"/>
  <c r="N230" i="32" s="1"/>
  <c r="O230" i="32" s="1"/>
  <c r="P230" i="32" s="1"/>
  <c r="B230" i="32"/>
  <c r="D229" i="32"/>
  <c r="E229" i="32" s="1"/>
  <c r="F229" i="32" s="1"/>
  <c r="G229" i="32" s="1"/>
  <c r="H229" i="32" s="1"/>
  <c r="I229" i="32" s="1"/>
  <c r="B229" i="32"/>
  <c r="D228" i="32"/>
  <c r="E228" i="32" s="1"/>
  <c r="F228" i="32" s="1"/>
  <c r="G228" i="32" s="1"/>
  <c r="H228" i="32" s="1"/>
  <c r="B228" i="32"/>
  <c r="F227" i="32"/>
  <c r="G227" i="32" s="1"/>
  <c r="H227" i="32" s="1"/>
  <c r="I227" i="32" s="1"/>
  <c r="J227" i="32" s="1"/>
  <c r="K227" i="32" s="1"/>
  <c r="L227" i="32" s="1"/>
  <c r="M227" i="32" s="1"/>
  <c r="N227" i="32" s="1"/>
  <c r="O227" i="32" s="1"/>
  <c r="P227" i="32" s="1"/>
  <c r="E227" i="32"/>
  <c r="D227" i="32"/>
  <c r="B227" i="32"/>
  <c r="E226" i="32"/>
  <c r="D226" i="32"/>
  <c r="B226" i="32"/>
  <c r="B108" i="32" s="1"/>
  <c r="AG224" i="32"/>
  <c r="AF224" i="32"/>
  <c r="AE224" i="32"/>
  <c r="AD224" i="32"/>
  <c r="AC224" i="32"/>
  <c r="AB224" i="32"/>
  <c r="AA224" i="32"/>
  <c r="Z224" i="32"/>
  <c r="Y224" i="32"/>
  <c r="X224" i="32"/>
  <c r="W224" i="32"/>
  <c r="V224" i="32"/>
  <c r="U224" i="32"/>
  <c r="T224" i="32"/>
  <c r="S224" i="32"/>
  <c r="R224" i="32"/>
  <c r="Q224" i="32"/>
  <c r="P224" i="32"/>
  <c r="O224" i="32"/>
  <c r="N224" i="32"/>
  <c r="M224" i="32"/>
  <c r="L224" i="32"/>
  <c r="K224" i="32"/>
  <c r="J224" i="32"/>
  <c r="I224" i="32"/>
  <c r="H224" i="32"/>
  <c r="G224" i="32"/>
  <c r="F224" i="32"/>
  <c r="E224" i="32"/>
  <c r="D224" i="32"/>
  <c r="C224" i="32"/>
  <c r="B224" i="32"/>
  <c r="AI117" i="32"/>
  <c r="AH117" i="32"/>
  <c r="AI116" i="32"/>
  <c r="AH116" i="32"/>
  <c r="AI115" i="32"/>
  <c r="AH115" i="32"/>
  <c r="AI114" i="32"/>
  <c r="AH114" i="32"/>
  <c r="AI113" i="32"/>
  <c r="AH113" i="32"/>
  <c r="AI112" i="32"/>
  <c r="AH112" i="32"/>
  <c r="AI111" i="32"/>
  <c r="AH111" i="32"/>
  <c r="AI110" i="32"/>
  <c r="AH110" i="32"/>
  <c r="AI109" i="32"/>
  <c r="AH109" i="32"/>
  <c r="AF108" i="32"/>
  <c r="AE108" i="32"/>
  <c r="AD108" i="32"/>
  <c r="AC108" i="32"/>
  <c r="AB108" i="32"/>
  <c r="AA108" i="32"/>
  <c r="Z108" i="32"/>
  <c r="Y108" i="32"/>
  <c r="X108" i="32"/>
  <c r="W108" i="32"/>
  <c r="V108" i="32"/>
  <c r="U108" i="32"/>
  <c r="T108" i="32"/>
  <c r="S108" i="32"/>
  <c r="R108" i="32"/>
  <c r="Q108" i="32"/>
  <c r="C108" i="32"/>
  <c r="AI107" i="32"/>
  <c r="AH107" i="32"/>
  <c r="AI106" i="32"/>
  <c r="AH106" i="32"/>
  <c r="AI105" i="32"/>
  <c r="AH105" i="32"/>
  <c r="AI104" i="32"/>
  <c r="AH104" i="32"/>
  <c r="AI103" i="32"/>
  <c r="AH103" i="32"/>
  <c r="AI102" i="32"/>
  <c r="AH102" i="32"/>
  <c r="AI101" i="32"/>
  <c r="AH101" i="32"/>
  <c r="AI100" i="32"/>
  <c r="AH100" i="32"/>
  <c r="AI99" i="32"/>
  <c r="AH99" i="32"/>
  <c r="AI97" i="32"/>
  <c r="AH97" i="32"/>
  <c r="AI96" i="32"/>
  <c r="AH96" i="32"/>
  <c r="AI95" i="32"/>
  <c r="AH95" i="32"/>
  <c r="AI94" i="32"/>
  <c r="AH94" i="32"/>
  <c r="AI93" i="32"/>
  <c r="AH93" i="32"/>
  <c r="AI92" i="32"/>
  <c r="AH92" i="32"/>
  <c r="AI91" i="32"/>
  <c r="AH91" i="32"/>
  <c r="AI88" i="32"/>
  <c r="AH88" i="32"/>
  <c r="AI86" i="32"/>
  <c r="AH86" i="32"/>
  <c r="AG86" i="32"/>
  <c r="AG89" i="32" s="1"/>
  <c r="AI85" i="32"/>
  <c r="AH85" i="32"/>
  <c r="AI84" i="32"/>
  <c r="AH84" i="32"/>
  <c r="AI83" i="32"/>
  <c r="AH83" i="32"/>
  <c r="AN82" i="32"/>
  <c r="AG82" i="32"/>
  <c r="AF82" i="32"/>
  <c r="AE5" i="32" s="1"/>
  <c r="AE82" i="32"/>
  <c r="AD5" i="32" s="1"/>
  <c r="AD82" i="32"/>
  <c r="AD98" i="32" s="1"/>
  <c r="AC82" i="32"/>
  <c r="AC98" i="32" s="1"/>
  <c r="AB82" i="32"/>
  <c r="AB98" i="32" s="1"/>
  <c r="AA82" i="32"/>
  <c r="AA98" i="32" s="1"/>
  <c r="Z82" i="32"/>
  <c r="Y82" i="32"/>
  <c r="X5" i="32" s="1"/>
  <c r="X82" i="32"/>
  <c r="W5" i="32" s="1"/>
  <c r="W82" i="32"/>
  <c r="V5" i="32" s="1"/>
  <c r="V82" i="32"/>
  <c r="V98" i="32" s="1"/>
  <c r="U82" i="32"/>
  <c r="U98" i="32" s="1"/>
  <c r="T82" i="32"/>
  <c r="S5" i="32" s="1"/>
  <c r="S82" i="32"/>
  <c r="S98" i="32" s="1"/>
  <c r="R82" i="32"/>
  <c r="Q82" i="32"/>
  <c r="P5" i="32" s="1"/>
  <c r="P82" i="32"/>
  <c r="O5" i="32" s="1"/>
  <c r="O82" i="32"/>
  <c r="N5" i="32" s="1"/>
  <c r="N82" i="32"/>
  <c r="N98" i="32" s="1"/>
  <c r="M82" i="32"/>
  <c r="M98" i="32" s="1"/>
  <c r="L82" i="32"/>
  <c r="K5" i="32" s="1"/>
  <c r="K82" i="32"/>
  <c r="K98" i="32" s="1"/>
  <c r="J82" i="32"/>
  <c r="I82" i="32"/>
  <c r="H5" i="32" s="1"/>
  <c r="H82" i="32"/>
  <c r="G5" i="32" s="1"/>
  <c r="G82" i="32"/>
  <c r="F5" i="32" s="1"/>
  <c r="F82" i="32"/>
  <c r="F98" i="32" s="1"/>
  <c r="E82" i="32"/>
  <c r="D5" i="32" s="1"/>
  <c r="D82" i="32"/>
  <c r="D98" i="32" s="1"/>
  <c r="C82" i="32"/>
  <c r="C98" i="32" s="1"/>
  <c r="B82" i="32"/>
  <c r="AI81" i="32"/>
  <c r="AH81" i="32"/>
  <c r="AN80" i="32"/>
  <c r="AI80" i="32"/>
  <c r="AH80" i="32"/>
  <c r="AN79" i="32"/>
  <c r="AN81" i="32" s="1"/>
  <c r="AI79" i="32"/>
  <c r="AH79" i="32"/>
  <c r="AI78" i="32"/>
  <c r="AH78" i="32"/>
  <c r="AI77" i="32"/>
  <c r="AH77" i="32"/>
  <c r="AI76" i="32"/>
  <c r="AH76" i="32"/>
  <c r="AI75" i="32"/>
  <c r="AH75" i="32"/>
  <c r="AI74" i="32"/>
  <c r="AH74" i="32"/>
  <c r="AI73" i="32"/>
  <c r="AH73" i="32"/>
  <c r="AI72" i="32"/>
  <c r="AH72" i="32"/>
  <c r="AI71" i="32"/>
  <c r="AH71" i="32"/>
  <c r="AG70" i="32"/>
  <c r="AF70" i="32"/>
  <c r="AE70" i="32"/>
  <c r="AD70" i="32"/>
  <c r="AC70" i="32"/>
  <c r="AB70" i="32"/>
  <c r="AA70" i="32"/>
  <c r="Z70" i="32"/>
  <c r="Y70" i="32"/>
  <c r="X70" i="32"/>
  <c r="W70" i="32"/>
  <c r="V70" i="32"/>
  <c r="U70" i="32"/>
  <c r="T70" i="32"/>
  <c r="S70" i="32"/>
  <c r="R70" i="32"/>
  <c r="Q70" i="32"/>
  <c r="P70" i="32"/>
  <c r="O70" i="32"/>
  <c r="N70" i="32"/>
  <c r="M70" i="32"/>
  <c r="L70" i="32"/>
  <c r="B70" i="32"/>
  <c r="AI69" i="32"/>
  <c r="AH69" i="32"/>
  <c r="AI68" i="32"/>
  <c r="AH68" i="32"/>
  <c r="AI67" i="32"/>
  <c r="AH67" i="32"/>
  <c r="AF66" i="32"/>
  <c r="AE66" i="32"/>
  <c r="AD66" i="32"/>
  <c r="AC66" i="32"/>
  <c r="AB66" i="32"/>
  <c r="AA66" i="32"/>
  <c r="Z66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AI65" i="32"/>
  <c r="AH65" i="32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I56" i="32"/>
  <c r="AH56" i="32"/>
  <c r="AI55" i="32"/>
  <c r="AH55" i="32"/>
  <c r="AI54" i="32"/>
  <c r="AH54" i="32"/>
  <c r="AI53" i="32"/>
  <c r="AH53" i="32"/>
  <c r="AG52" i="32"/>
  <c r="AF52" i="32"/>
  <c r="AE52" i="32"/>
  <c r="AD52" i="32"/>
  <c r="AC52" i="32"/>
  <c r="AB52" i="32"/>
  <c r="AA52" i="32"/>
  <c r="Z52" i="32"/>
  <c r="Y52" i="32"/>
  <c r="X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AI51" i="32"/>
  <c r="AH51" i="32"/>
  <c r="AI50" i="32"/>
  <c r="AH50" i="32"/>
  <c r="AI49" i="32"/>
  <c r="AH49" i="32"/>
  <c r="AG48" i="32"/>
  <c r="AG2" i="32" s="1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B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A5" i="32"/>
  <c r="AG4" i="32"/>
  <c r="K4" i="32"/>
  <c r="E4" i="32"/>
  <c r="H4" i="32" s="1"/>
  <c r="S243" i="32"/>
  <c r="AG3" i="32"/>
  <c r="Z111" i="31"/>
  <c r="Y111" i="31"/>
  <c r="X111" i="31"/>
  <c r="W111" i="31"/>
  <c r="V111" i="31"/>
  <c r="U111" i="31"/>
  <c r="T111" i="31"/>
  <c r="S111" i="31"/>
  <c r="F231" i="32" l="1"/>
  <c r="D267" i="32"/>
  <c r="E108" i="32"/>
  <c r="AG6" i="32"/>
  <c r="L98" i="32"/>
  <c r="O98" i="32"/>
  <c r="C267" i="32"/>
  <c r="AE98" i="32"/>
  <c r="AE87" i="32"/>
  <c r="AE89" i="32" s="1"/>
  <c r="AE90" i="32" s="1"/>
  <c r="AC5" i="32"/>
  <c r="AD87" i="32"/>
  <c r="AD89" i="32" s="1"/>
  <c r="AD7" i="32" s="1"/>
  <c r="AB5" i="32"/>
  <c r="AB87" i="32"/>
  <c r="AB89" i="32" s="1"/>
  <c r="AC87" i="32"/>
  <c r="AC89" i="32" s="1"/>
  <c r="AU246" i="32" s="1"/>
  <c r="Z5" i="32"/>
  <c r="AA87" i="32"/>
  <c r="AA89" i="32" s="1"/>
  <c r="Z87" i="32"/>
  <c r="Z89" i="32" s="1"/>
  <c r="W98" i="32"/>
  <c r="W87" i="32"/>
  <c r="W89" i="32" s="1"/>
  <c r="W7" i="32" s="1"/>
  <c r="U5" i="32"/>
  <c r="V87" i="32"/>
  <c r="V89" i="32" s="1"/>
  <c r="R5" i="32"/>
  <c r="T5" i="32"/>
  <c r="U87" i="32"/>
  <c r="U89" i="32" s="1"/>
  <c r="T98" i="32"/>
  <c r="T87" i="32"/>
  <c r="T89" i="32" s="1"/>
  <c r="S87" i="32"/>
  <c r="S89" i="32" s="1"/>
  <c r="S7" i="32" s="1"/>
  <c r="R87" i="32"/>
  <c r="R89" i="32" s="1"/>
  <c r="Q98" i="32"/>
  <c r="P98" i="32"/>
  <c r="M5" i="32"/>
  <c r="AH70" i="32"/>
  <c r="O87" i="32"/>
  <c r="O89" i="32" s="1"/>
  <c r="O90" i="32" s="1"/>
  <c r="N87" i="32"/>
  <c r="N89" i="32" s="1"/>
  <c r="L5" i="32"/>
  <c r="M87" i="32"/>
  <c r="M89" i="32" s="1"/>
  <c r="M90" i="32" s="1"/>
  <c r="J5" i="32"/>
  <c r="K87" i="32"/>
  <c r="K89" i="32" s="1"/>
  <c r="K90" i="32" s="1"/>
  <c r="L87" i="32"/>
  <c r="L89" i="32" s="1"/>
  <c r="L90" i="32" s="1"/>
  <c r="J87" i="32"/>
  <c r="J89" i="32" s="1"/>
  <c r="J90" i="32" s="1"/>
  <c r="G87" i="32"/>
  <c r="G89" i="32" s="1"/>
  <c r="G98" i="32"/>
  <c r="F87" i="32"/>
  <c r="F89" i="32" s="1"/>
  <c r="F90" i="32" s="1"/>
  <c r="E5" i="32"/>
  <c r="E98" i="32"/>
  <c r="E87" i="32"/>
  <c r="E89" i="32" s="1"/>
  <c r="E90" i="32" s="1"/>
  <c r="C5" i="32"/>
  <c r="D87" i="32"/>
  <c r="D89" i="32" s="1"/>
  <c r="V246" i="32" s="1"/>
  <c r="B5" i="32"/>
  <c r="AI66" i="32"/>
  <c r="C87" i="32"/>
  <c r="C89" i="32" s="1"/>
  <c r="C90" i="32" s="1"/>
  <c r="AH66" i="32"/>
  <c r="Z90" i="32"/>
  <c r="AR246" i="32"/>
  <c r="Z7" i="32"/>
  <c r="AC7" i="32"/>
  <c r="AB246" i="32"/>
  <c r="R90" i="32"/>
  <c r="R7" i="32"/>
  <c r="AJ246" i="32"/>
  <c r="Y246" i="32"/>
  <c r="G7" i="32"/>
  <c r="G231" i="32"/>
  <c r="E267" i="32"/>
  <c r="Y87" i="32"/>
  <c r="Y89" i="32" s="1"/>
  <c r="AA7" i="32"/>
  <c r="AA90" i="32"/>
  <c r="AS246" i="32"/>
  <c r="B87" i="32"/>
  <c r="F226" i="32"/>
  <c r="E232" i="32"/>
  <c r="H87" i="32"/>
  <c r="H89" i="32" s="1"/>
  <c r="P87" i="32"/>
  <c r="P89" i="32" s="1"/>
  <c r="X87" i="32"/>
  <c r="X89" i="32" s="1"/>
  <c r="AF87" i="32"/>
  <c r="AF89" i="32" s="1"/>
  <c r="AI52" i="32"/>
  <c r="AI70" i="32"/>
  <c r="N7" i="32"/>
  <c r="AF246" i="32"/>
  <c r="N90" i="32"/>
  <c r="G90" i="32"/>
  <c r="AF98" i="32"/>
  <c r="AG87" i="32"/>
  <c r="U7" i="32"/>
  <c r="AM246" i="32"/>
  <c r="U90" i="32"/>
  <c r="H98" i="32"/>
  <c r="AW246" i="32"/>
  <c r="AE7" i="32"/>
  <c r="Q87" i="32"/>
  <c r="Q89" i="32" s="1"/>
  <c r="AB90" i="32"/>
  <c r="AT246" i="32"/>
  <c r="AB7" i="32"/>
  <c r="AF5" i="32"/>
  <c r="B98" i="32"/>
  <c r="AI82" i="32"/>
  <c r="J98" i="32"/>
  <c r="I5" i="32"/>
  <c r="R98" i="32"/>
  <c r="Q5" i="32"/>
  <c r="Z98" i="32"/>
  <c r="Y5" i="32"/>
  <c r="AH82" i="32"/>
  <c r="V7" i="32"/>
  <c r="AN246" i="32"/>
  <c r="V90" i="32"/>
  <c r="I98" i="32"/>
  <c r="F7" i="32"/>
  <c r="K7" i="32"/>
  <c r="AC246" i="32"/>
  <c r="X98" i="32"/>
  <c r="AG246" i="32"/>
  <c r="O7" i="32"/>
  <c r="J229" i="32"/>
  <c r="K229" i="32" s="1"/>
  <c r="L229" i="32" s="1"/>
  <c r="M229" i="32" s="1"/>
  <c r="N229" i="32" s="1"/>
  <c r="O229" i="32" s="1"/>
  <c r="P229" i="32" s="1"/>
  <c r="I87" i="32"/>
  <c r="I89" i="32" s="1"/>
  <c r="AK246" i="32"/>
  <c r="T90" i="32"/>
  <c r="T7" i="32"/>
  <c r="AL246" i="32"/>
  <c r="D90" i="32"/>
  <c r="AD90" i="32"/>
  <c r="W90" i="32"/>
  <c r="Y98" i="32"/>
  <c r="D232" i="32"/>
  <c r="D108" i="32"/>
  <c r="D243" i="32"/>
  <c r="AH52" i="32"/>
  <c r="AI48" i="32"/>
  <c r="B232" i="32"/>
  <c r="AH48" i="32"/>
  <c r="AO246" i="32" l="1"/>
  <c r="S90" i="32"/>
  <c r="AV246" i="32"/>
  <c r="X246" i="32"/>
  <c r="J7" i="32"/>
  <c r="W246" i="32"/>
  <c r="E7" i="32"/>
  <c r="AC90" i="32"/>
  <c r="AE246" i="32"/>
  <c r="M7" i="32"/>
  <c r="L7" i="32"/>
  <c r="AD246" i="32"/>
  <c r="B241" i="32"/>
  <c r="D7" i="32"/>
  <c r="U246" i="32"/>
  <c r="C7" i="32"/>
  <c r="Z246" i="32"/>
  <c r="H90" i="32"/>
  <c r="H7" i="32"/>
  <c r="C241" i="32"/>
  <c r="AI98" i="32"/>
  <c r="AH98" i="32"/>
  <c r="Q90" i="32"/>
  <c r="AI246" i="32"/>
  <c r="Q7" i="32"/>
  <c r="AP246" i="32"/>
  <c r="X7" i="32"/>
  <c r="X90" i="32"/>
  <c r="AH87" i="32"/>
  <c r="AI87" i="32"/>
  <c r="B89" i="32"/>
  <c r="G226" i="32"/>
  <c r="F232" i="32"/>
  <c r="F108" i="32"/>
  <c r="Y90" i="32"/>
  <c r="AQ246" i="32"/>
  <c r="Y7" i="32"/>
  <c r="AH246" i="32"/>
  <c r="P7" i="32"/>
  <c r="P90" i="32"/>
  <c r="I90" i="32"/>
  <c r="AA246" i="32"/>
  <c r="I7" i="32"/>
  <c r="AX246" i="32"/>
  <c r="AF90" i="32"/>
  <c r="AF7" i="32"/>
  <c r="F267" i="32"/>
  <c r="H231" i="32"/>
  <c r="K6" i="32" l="1"/>
  <c r="AI89" i="32"/>
  <c r="B90" i="32"/>
  <c r="AH89" i="32"/>
  <c r="T246" i="32"/>
  <c r="B7" i="32"/>
  <c r="A7" i="32" s="1"/>
  <c r="G267" i="32"/>
  <c r="I231" i="32"/>
  <c r="H226" i="32"/>
  <c r="G108" i="32"/>
  <c r="G232" i="32"/>
  <c r="I226" i="32" l="1"/>
  <c r="H232" i="32"/>
  <c r="H108" i="32"/>
  <c r="AI90" i="32"/>
  <c r="AH90" i="32"/>
  <c r="H267" i="32"/>
  <c r="J231" i="32"/>
  <c r="K231" i="32" l="1"/>
  <c r="I267" i="32"/>
  <c r="I108" i="32"/>
  <c r="J226" i="32"/>
  <c r="J108" i="32" l="1"/>
  <c r="K226" i="32"/>
  <c r="J267" i="32"/>
  <c r="L231" i="32"/>
  <c r="K267" i="32" l="1"/>
  <c r="M231" i="32"/>
  <c r="K108" i="32"/>
  <c r="L226" i="32"/>
  <c r="L108" i="32" l="1"/>
  <c r="M226" i="32"/>
  <c r="L267" i="32"/>
  <c r="N231" i="32"/>
  <c r="M267" i="32" l="1"/>
  <c r="O231" i="32"/>
  <c r="N226" i="32"/>
  <c r="M108" i="32"/>
  <c r="O226" i="32" l="1"/>
  <c r="N108" i="32"/>
  <c r="N267" i="32"/>
  <c r="P231" i="32"/>
  <c r="O267" i="32" s="1"/>
  <c r="P226" i="32" l="1"/>
  <c r="O108" i="32"/>
  <c r="AI108" i="32" l="1"/>
  <c r="AH108" i="32"/>
  <c r="D111" i="31" l="1"/>
  <c r="D48" i="31"/>
  <c r="D52" i="31"/>
  <c r="D66" i="31"/>
  <c r="D70" i="31"/>
  <c r="D82" i="31"/>
  <c r="C5" i="31" s="1"/>
  <c r="C111" i="31"/>
  <c r="C108" i="31" s="1"/>
  <c r="C48" i="31"/>
  <c r="C52" i="31"/>
  <c r="C66" i="31"/>
  <c r="C70" i="31"/>
  <c r="C82" i="31"/>
  <c r="C98" i="31" s="1"/>
  <c r="B111" i="31"/>
  <c r="B82" i="31"/>
  <c r="B98" i="31" s="1"/>
  <c r="B70" i="31"/>
  <c r="B66" i="31"/>
  <c r="B52" i="31"/>
  <c r="B48" i="31"/>
  <c r="AF271" i="31"/>
  <c r="AE271" i="31"/>
  <c r="AD271" i="31"/>
  <c r="AC271" i="31"/>
  <c r="AB271" i="31"/>
  <c r="AA271" i="31"/>
  <c r="Z271" i="31"/>
  <c r="Y271" i="31"/>
  <c r="X271" i="31"/>
  <c r="W271" i="31"/>
  <c r="V271" i="31"/>
  <c r="U271" i="31"/>
  <c r="T271" i="31"/>
  <c r="S271" i="31"/>
  <c r="R271" i="31"/>
  <c r="Q271" i="31"/>
  <c r="P271" i="31"/>
  <c r="O271" i="31"/>
  <c r="N271" i="31"/>
  <c r="M271" i="31"/>
  <c r="L271" i="31"/>
  <c r="K271" i="31"/>
  <c r="J271" i="31"/>
  <c r="I271" i="31"/>
  <c r="H271" i="31"/>
  <c r="G271" i="31"/>
  <c r="F271" i="31"/>
  <c r="E271" i="31"/>
  <c r="D271" i="31"/>
  <c r="C271" i="31"/>
  <c r="B271" i="31"/>
  <c r="A271" i="31"/>
  <c r="AF270" i="31"/>
  <c r="AE270" i="31"/>
  <c r="AD270" i="31"/>
  <c r="AC270" i="31"/>
  <c r="AB270" i="31"/>
  <c r="AA270" i="31"/>
  <c r="Z270" i="31"/>
  <c r="Y270" i="31"/>
  <c r="X270" i="31"/>
  <c r="W270" i="31"/>
  <c r="V270" i="31"/>
  <c r="U270" i="31"/>
  <c r="T270" i="31"/>
  <c r="S270" i="31"/>
  <c r="R270" i="31"/>
  <c r="Q270" i="31"/>
  <c r="P270" i="31"/>
  <c r="O270" i="31"/>
  <c r="N270" i="31"/>
  <c r="M270" i="31"/>
  <c r="L270" i="31"/>
  <c r="K270" i="31"/>
  <c r="J270" i="31"/>
  <c r="I270" i="31"/>
  <c r="H270" i="31"/>
  <c r="G270" i="31"/>
  <c r="F270" i="31"/>
  <c r="E270" i="31"/>
  <c r="D270" i="31"/>
  <c r="C270" i="31"/>
  <c r="B270" i="31"/>
  <c r="A270" i="31"/>
  <c r="AF269" i="31"/>
  <c r="AE269" i="31"/>
  <c r="AD269" i="31"/>
  <c r="AC269" i="31"/>
  <c r="AB269" i="31"/>
  <c r="AA269" i="31"/>
  <c r="Z269" i="31"/>
  <c r="Y269" i="31"/>
  <c r="X269" i="31"/>
  <c r="W269" i="31"/>
  <c r="V269" i="31"/>
  <c r="U269" i="31"/>
  <c r="T269" i="31"/>
  <c r="S269" i="31"/>
  <c r="R269" i="31"/>
  <c r="Q269" i="31"/>
  <c r="P269" i="31"/>
  <c r="O269" i="31"/>
  <c r="N269" i="31"/>
  <c r="M269" i="31"/>
  <c r="L269" i="31"/>
  <c r="K269" i="31"/>
  <c r="J269" i="31"/>
  <c r="I269" i="31"/>
  <c r="H269" i="31"/>
  <c r="G269" i="31"/>
  <c r="F269" i="31"/>
  <c r="E269" i="31"/>
  <c r="D269" i="31"/>
  <c r="C269" i="31"/>
  <c r="B269" i="31"/>
  <c r="A269" i="31"/>
  <c r="AF268" i="31"/>
  <c r="AE268" i="31"/>
  <c r="AD268" i="31"/>
  <c r="AC268" i="31"/>
  <c r="AB268" i="31"/>
  <c r="AA268" i="31"/>
  <c r="Z268" i="31"/>
  <c r="Y268" i="31"/>
  <c r="X268" i="31"/>
  <c r="W268" i="31"/>
  <c r="V268" i="31"/>
  <c r="U268" i="31"/>
  <c r="T268" i="31"/>
  <c r="S268" i="31"/>
  <c r="R268" i="31"/>
  <c r="Q268" i="31"/>
  <c r="P268" i="31"/>
  <c r="O268" i="31"/>
  <c r="N268" i="31"/>
  <c r="M268" i="31"/>
  <c r="L268" i="31"/>
  <c r="K268" i="31"/>
  <c r="J268" i="31"/>
  <c r="I268" i="31"/>
  <c r="H268" i="31"/>
  <c r="G268" i="31"/>
  <c r="F268" i="31"/>
  <c r="E268" i="31"/>
  <c r="D268" i="31"/>
  <c r="C268" i="31"/>
  <c r="B268" i="31"/>
  <c r="A268" i="31"/>
  <c r="AE267" i="31"/>
  <c r="AD267" i="31"/>
  <c r="AC267" i="31"/>
  <c r="AB267" i="31"/>
  <c r="AA267" i="31"/>
  <c r="Z267" i="31"/>
  <c r="Y267" i="31"/>
  <c r="X267" i="31"/>
  <c r="W267" i="31"/>
  <c r="V267" i="31"/>
  <c r="U267" i="31"/>
  <c r="T267" i="31"/>
  <c r="S267" i="31"/>
  <c r="R267" i="31"/>
  <c r="Q267" i="31"/>
  <c r="P267" i="31"/>
  <c r="B267" i="31"/>
  <c r="S242" i="31"/>
  <c r="AG232" i="31"/>
  <c r="AG65" i="31" s="1"/>
  <c r="AF232" i="31"/>
  <c r="AE232" i="31"/>
  <c r="AD232" i="31"/>
  <c r="AC232" i="31"/>
  <c r="AB232" i="31"/>
  <c r="AA232" i="31"/>
  <c r="Z232" i="31"/>
  <c r="Y232" i="31"/>
  <c r="X232" i="31"/>
  <c r="W232" i="31"/>
  <c r="V232" i="31"/>
  <c r="U232" i="31"/>
  <c r="T232" i="31"/>
  <c r="S232" i="31"/>
  <c r="R232" i="31"/>
  <c r="Q232" i="31"/>
  <c r="C232" i="31"/>
  <c r="D231" i="31"/>
  <c r="C267" i="31" s="1"/>
  <c r="B231" i="31"/>
  <c r="AF267" i="31" s="1"/>
  <c r="D230" i="31"/>
  <c r="E230" i="31" s="1"/>
  <c r="F230" i="31" s="1"/>
  <c r="G230" i="31" s="1"/>
  <c r="H230" i="31" s="1"/>
  <c r="I230" i="31" s="1"/>
  <c r="J230" i="31" s="1"/>
  <c r="K230" i="31" s="1"/>
  <c r="L230" i="31" s="1"/>
  <c r="M230" i="31" s="1"/>
  <c r="N230" i="31" s="1"/>
  <c r="O230" i="31" s="1"/>
  <c r="P230" i="31" s="1"/>
  <c r="B230" i="31"/>
  <c r="D229" i="31"/>
  <c r="E229" i="31" s="1"/>
  <c r="F229" i="31" s="1"/>
  <c r="G229" i="31" s="1"/>
  <c r="H229" i="31" s="1"/>
  <c r="I229" i="31" s="1"/>
  <c r="B229" i="31"/>
  <c r="D228" i="31"/>
  <c r="E228" i="31" s="1"/>
  <c r="F228" i="31" s="1"/>
  <c r="G228" i="31" s="1"/>
  <c r="H228" i="31" s="1"/>
  <c r="B228" i="31"/>
  <c r="D227" i="31"/>
  <c r="E227" i="31" s="1"/>
  <c r="F227" i="31" s="1"/>
  <c r="G227" i="31" s="1"/>
  <c r="H227" i="31" s="1"/>
  <c r="I227" i="31" s="1"/>
  <c r="J227" i="31" s="1"/>
  <c r="K227" i="31" s="1"/>
  <c r="L227" i="31" s="1"/>
  <c r="M227" i="31" s="1"/>
  <c r="N227" i="31" s="1"/>
  <c r="O227" i="31" s="1"/>
  <c r="P227" i="31" s="1"/>
  <c r="B227" i="31"/>
  <c r="D226" i="31"/>
  <c r="D108" i="31" s="1"/>
  <c r="B226" i="31"/>
  <c r="B108" i="31" s="1"/>
  <c r="AG224" i="31"/>
  <c r="AF224" i="31"/>
  <c r="AE224" i="31"/>
  <c r="AD224" i="31"/>
  <c r="AC224" i="31"/>
  <c r="AB224" i="31"/>
  <c r="AA224" i="31"/>
  <c r="Z224" i="31"/>
  <c r="Y224" i="31"/>
  <c r="X224" i="31"/>
  <c r="W224" i="31"/>
  <c r="V224" i="31"/>
  <c r="U224" i="31"/>
  <c r="T224" i="31"/>
  <c r="S224" i="31"/>
  <c r="R224" i="31"/>
  <c r="Q224" i="31"/>
  <c r="P224" i="31"/>
  <c r="O224" i="31"/>
  <c r="N224" i="31"/>
  <c r="M224" i="31"/>
  <c r="L224" i="31"/>
  <c r="K224" i="31"/>
  <c r="J224" i="31"/>
  <c r="I224" i="31"/>
  <c r="H224" i="31"/>
  <c r="G224" i="31"/>
  <c r="F224" i="31"/>
  <c r="E224" i="31"/>
  <c r="D224" i="31"/>
  <c r="C224" i="31"/>
  <c r="B224" i="31"/>
  <c r="AI117" i="31"/>
  <c r="AH117" i="31"/>
  <c r="AI116" i="31"/>
  <c r="AH116" i="31"/>
  <c r="AI115" i="31"/>
  <c r="AH115" i="31"/>
  <c r="AI114" i="31"/>
  <c r="AH114" i="31"/>
  <c r="AI113" i="31"/>
  <c r="AH113" i="31"/>
  <c r="AI112" i="31"/>
  <c r="AH112" i="31"/>
  <c r="AH111" i="31"/>
  <c r="AI110" i="31"/>
  <c r="AH110" i="31"/>
  <c r="AI109" i="31"/>
  <c r="AH109" i="31"/>
  <c r="AF108" i="31"/>
  <c r="AE108" i="31"/>
  <c r="AD108" i="31"/>
  <c r="AC108" i="31"/>
  <c r="AB108" i="31"/>
  <c r="AA108" i="31"/>
  <c r="Z108" i="31"/>
  <c r="Y108" i="31"/>
  <c r="X108" i="31"/>
  <c r="W108" i="31"/>
  <c r="V108" i="31"/>
  <c r="U108" i="31"/>
  <c r="T108" i="31"/>
  <c r="S108" i="31"/>
  <c r="R108" i="31"/>
  <c r="Q108" i="31"/>
  <c r="AI107" i="31"/>
  <c r="AH107" i="31"/>
  <c r="AI106" i="31"/>
  <c r="AH106" i="31"/>
  <c r="AI105" i="31"/>
  <c r="AH105" i="31"/>
  <c r="AI104" i="31"/>
  <c r="AH104" i="31"/>
  <c r="AI103" i="31"/>
  <c r="AH103" i="31"/>
  <c r="AI102" i="31"/>
  <c r="AH102" i="31"/>
  <c r="AI101" i="31"/>
  <c r="AH101" i="31"/>
  <c r="AI100" i="31"/>
  <c r="AH100" i="31"/>
  <c r="AI99" i="31"/>
  <c r="AH99" i="31"/>
  <c r="AI97" i="31"/>
  <c r="AH97" i="31"/>
  <c r="AI96" i="31"/>
  <c r="AH96" i="31"/>
  <c r="AI95" i="31"/>
  <c r="AH95" i="31"/>
  <c r="AI94" i="31"/>
  <c r="AH94" i="31"/>
  <c r="AI93" i="31"/>
  <c r="AH93" i="31"/>
  <c r="AI92" i="31"/>
  <c r="AH92" i="31"/>
  <c r="AI91" i="31"/>
  <c r="AH91" i="31"/>
  <c r="AI88" i="31"/>
  <c r="AH88" i="31"/>
  <c r="AI86" i="31"/>
  <c r="AH86" i="31"/>
  <c r="AG86" i="31"/>
  <c r="AI85" i="31"/>
  <c r="AH85" i="31"/>
  <c r="AI84" i="31"/>
  <c r="AH84" i="31"/>
  <c r="AI83" i="31"/>
  <c r="AH83" i="31"/>
  <c r="AN82" i="31"/>
  <c r="AG82" i="31"/>
  <c r="AF82" i="31"/>
  <c r="AE82" i="31"/>
  <c r="AE98" i="31" s="1"/>
  <c r="AD82" i="31"/>
  <c r="AD98" i="31" s="1"/>
  <c r="AC82" i="31"/>
  <c r="AC98" i="31" s="1"/>
  <c r="AB82" i="31"/>
  <c r="AA82" i="31"/>
  <c r="AA98" i="31" s="1"/>
  <c r="Z82" i="31"/>
  <c r="Z98" i="31" s="1"/>
  <c r="Y82" i="31"/>
  <c r="Y98" i="31" s="1"/>
  <c r="X82" i="31"/>
  <c r="W82" i="31"/>
  <c r="W98" i="31" s="1"/>
  <c r="V82" i="31"/>
  <c r="V98" i="31" s="1"/>
  <c r="U82" i="31"/>
  <c r="U98" i="31" s="1"/>
  <c r="T82" i="31"/>
  <c r="S82" i="31"/>
  <c r="R5" i="31" s="1"/>
  <c r="R82" i="31"/>
  <c r="R98" i="31" s="1"/>
  <c r="Q82" i="31"/>
  <c r="Q98" i="31" s="1"/>
  <c r="P82" i="31"/>
  <c r="P98" i="31" s="1"/>
  <c r="O82" i="31"/>
  <c r="O98" i="31" s="1"/>
  <c r="N82" i="31"/>
  <c r="N98" i="31" s="1"/>
  <c r="M82" i="31"/>
  <c r="M98" i="31" s="1"/>
  <c r="L82" i="31"/>
  <c r="L98" i="31" s="1"/>
  <c r="K82" i="31"/>
  <c r="K98" i="31" s="1"/>
  <c r="J82" i="31"/>
  <c r="J98" i="31" s="1"/>
  <c r="I82" i="31"/>
  <c r="I98" i="31" s="1"/>
  <c r="H82" i="31"/>
  <c r="H98" i="31" s="1"/>
  <c r="G82" i="31"/>
  <c r="G98" i="31" s="1"/>
  <c r="F82" i="31"/>
  <c r="F98" i="31" s="1"/>
  <c r="E82" i="31"/>
  <c r="E98" i="31" s="1"/>
  <c r="AI81" i="31"/>
  <c r="AH81" i="31"/>
  <c r="AN80" i="31"/>
  <c r="AI80" i="31"/>
  <c r="AH80" i="31"/>
  <c r="AN79" i="31"/>
  <c r="AI79" i="31"/>
  <c r="AH79" i="31"/>
  <c r="AI78" i="31"/>
  <c r="AH78" i="31"/>
  <c r="AI77" i="31"/>
  <c r="AH77" i="31"/>
  <c r="AI76" i="31"/>
  <c r="AH76" i="31"/>
  <c r="AI75" i="31"/>
  <c r="AH75" i="31"/>
  <c r="AI74" i="31"/>
  <c r="AH74" i="31"/>
  <c r="AI73" i="31"/>
  <c r="AH73" i="31"/>
  <c r="AI72" i="31"/>
  <c r="AH72" i="31"/>
  <c r="AI71" i="31"/>
  <c r="AH71" i="31"/>
  <c r="AG70" i="31"/>
  <c r="AF70" i="31"/>
  <c r="AE70" i="31"/>
  <c r="AD70" i="31"/>
  <c r="AC70" i="31"/>
  <c r="AB70" i="31"/>
  <c r="AA70" i="31"/>
  <c r="AA87" i="31" s="1"/>
  <c r="AA89" i="31" s="1"/>
  <c r="Z70" i="31"/>
  <c r="Y70" i="31"/>
  <c r="X70" i="31"/>
  <c r="W70" i="31"/>
  <c r="V70" i="31"/>
  <c r="U70" i="31"/>
  <c r="T70" i="31"/>
  <c r="S70" i="31"/>
  <c r="R70" i="31"/>
  <c r="Q70" i="31"/>
  <c r="P70" i="31"/>
  <c r="O70" i="31"/>
  <c r="N70" i="31"/>
  <c r="M70" i="31"/>
  <c r="L70" i="31"/>
  <c r="AI69" i="31"/>
  <c r="AH69" i="31"/>
  <c r="AI68" i="31"/>
  <c r="AH68" i="31"/>
  <c r="AI67" i="31"/>
  <c r="AH67" i="31"/>
  <c r="AG66" i="31"/>
  <c r="AF66" i="31"/>
  <c r="AE66" i="31"/>
  <c r="AD66" i="31"/>
  <c r="AC66" i="31"/>
  <c r="AB66" i="31"/>
  <c r="AA66" i="31"/>
  <c r="Z66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I54" i="31"/>
  <c r="AH54" i="31"/>
  <c r="AI53" i="31"/>
  <c r="AH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AI51" i="31"/>
  <c r="AH51" i="31"/>
  <c r="AI50" i="31"/>
  <c r="AH50" i="31"/>
  <c r="AI49" i="31"/>
  <c r="AH49" i="31"/>
  <c r="AG48" i="31"/>
  <c r="AG87" i="31" s="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D5" i="31"/>
  <c r="AB5" i="31"/>
  <c r="Z5" i="31"/>
  <c r="V5" i="31"/>
  <c r="AG4" i="31"/>
  <c r="K4" i="31"/>
  <c r="E4" i="31"/>
  <c r="H4" i="31" s="1"/>
  <c r="S243" i="31"/>
  <c r="AG3" i="31"/>
  <c r="AG2" i="31"/>
  <c r="AG6" i="31" s="1"/>
  <c r="AJ12" i="30"/>
  <c r="AF111" i="30"/>
  <c r="AF108" i="30" s="1"/>
  <c r="AB70" i="30"/>
  <c r="AA111" i="30"/>
  <c r="O116" i="30"/>
  <c r="L111" i="30"/>
  <c r="K111" i="30"/>
  <c r="I111" i="30"/>
  <c r="J111" i="30"/>
  <c r="H111" i="30"/>
  <c r="H48" i="30"/>
  <c r="H87" i="30" s="1"/>
  <c r="H89" i="30" s="1"/>
  <c r="H52" i="30"/>
  <c r="G111" i="30"/>
  <c r="F111" i="30"/>
  <c r="E111" i="30"/>
  <c r="AF271" i="30"/>
  <c r="AE271" i="30"/>
  <c r="AD271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J271" i="30"/>
  <c r="I271" i="30"/>
  <c r="H271" i="30"/>
  <c r="G271" i="30"/>
  <c r="F271" i="30"/>
  <c r="E271" i="30"/>
  <c r="D271" i="30"/>
  <c r="C271" i="30"/>
  <c r="B271" i="30"/>
  <c r="A271" i="30"/>
  <c r="AF270" i="30"/>
  <c r="AE270" i="30"/>
  <c r="AD270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J270" i="30"/>
  <c r="I270" i="30"/>
  <c r="H270" i="30"/>
  <c r="G270" i="30"/>
  <c r="F270" i="30"/>
  <c r="E270" i="30"/>
  <c r="D270" i="30"/>
  <c r="C270" i="30"/>
  <c r="B270" i="30"/>
  <c r="A270" i="30"/>
  <c r="AF269" i="30"/>
  <c r="AE269" i="30"/>
  <c r="AD269" i="30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J269" i="30"/>
  <c r="I269" i="30"/>
  <c r="H269" i="30"/>
  <c r="G269" i="30"/>
  <c r="F269" i="30"/>
  <c r="E269" i="30"/>
  <c r="D269" i="30"/>
  <c r="C269" i="30"/>
  <c r="B269" i="30"/>
  <c r="A269" i="30"/>
  <c r="AF268" i="30"/>
  <c r="AE268" i="30"/>
  <c r="AD268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J268" i="30"/>
  <c r="I268" i="30"/>
  <c r="H268" i="30"/>
  <c r="G268" i="30"/>
  <c r="F268" i="30"/>
  <c r="E268" i="30"/>
  <c r="D268" i="30"/>
  <c r="C268" i="30"/>
  <c r="B268" i="30"/>
  <c r="A268" i="30"/>
  <c r="AE267" i="30"/>
  <c r="AD267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B267" i="30"/>
  <c r="S242" i="30"/>
  <c r="AG232" i="30"/>
  <c r="AF232" i="30"/>
  <c r="AE232" i="30"/>
  <c r="AD232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D232" i="30"/>
  <c r="C232" i="30"/>
  <c r="D231" i="30"/>
  <c r="C267" i="30" s="1"/>
  <c r="B231" i="30"/>
  <c r="AF267" i="30" s="1"/>
  <c r="D230" i="30"/>
  <c r="E230" i="30" s="1"/>
  <c r="F230" i="30" s="1"/>
  <c r="G230" i="30" s="1"/>
  <c r="H230" i="30" s="1"/>
  <c r="I230" i="30" s="1"/>
  <c r="J230" i="30" s="1"/>
  <c r="K230" i="30" s="1"/>
  <c r="L230" i="30" s="1"/>
  <c r="M230" i="30" s="1"/>
  <c r="N230" i="30" s="1"/>
  <c r="O230" i="30" s="1"/>
  <c r="P230" i="30" s="1"/>
  <c r="B230" i="30"/>
  <c r="E229" i="30"/>
  <c r="F229" i="30" s="1"/>
  <c r="G229" i="30" s="1"/>
  <c r="H229" i="30" s="1"/>
  <c r="I229" i="30" s="1"/>
  <c r="D229" i="30"/>
  <c r="B229" i="30"/>
  <c r="D228" i="30"/>
  <c r="E228" i="30" s="1"/>
  <c r="F228" i="30" s="1"/>
  <c r="G228" i="30" s="1"/>
  <c r="H228" i="30" s="1"/>
  <c r="B228" i="30"/>
  <c r="D227" i="30"/>
  <c r="E227" i="30" s="1"/>
  <c r="F227" i="30" s="1"/>
  <c r="G227" i="30" s="1"/>
  <c r="H227" i="30" s="1"/>
  <c r="I227" i="30" s="1"/>
  <c r="J227" i="30" s="1"/>
  <c r="K227" i="30" s="1"/>
  <c r="L227" i="30" s="1"/>
  <c r="M227" i="30" s="1"/>
  <c r="N227" i="30" s="1"/>
  <c r="O227" i="30" s="1"/>
  <c r="P227" i="30" s="1"/>
  <c r="B227" i="30"/>
  <c r="D226" i="30"/>
  <c r="E226" i="30" s="1"/>
  <c r="B226" i="30"/>
  <c r="AG224" i="30"/>
  <c r="AF224" i="30"/>
  <c r="AE224" i="30"/>
  <c r="AD224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J224" i="30"/>
  <c r="I224" i="30"/>
  <c r="H224" i="30"/>
  <c r="G224" i="30"/>
  <c r="F224" i="30"/>
  <c r="E224" i="30"/>
  <c r="D224" i="30"/>
  <c r="C224" i="30"/>
  <c r="B224" i="30"/>
  <c r="AI117" i="30"/>
  <c r="AH117" i="30"/>
  <c r="AI116" i="30"/>
  <c r="AH116" i="30"/>
  <c r="AI115" i="30"/>
  <c r="AH115" i="30"/>
  <c r="AI114" i="30"/>
  <c r="AH114" i="30"/>
  <c r="AI113" i="30"/>
  <c r="AH113" i="30"/>
  <c r="AI112" i="30"/>
  <c r="AH112" i="30"/>
  <c r="AI110" i="30"/>
  <c r="AH110" i="30"/>
  <c r="AI109" i="30"/>
  <c r="AH109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D108" i="30"/>
  <c r="C108" i="30"/>
  <c r="AI107" i="30"/>
  <c r="AH107" i="30"/>
  <c r="AI106" i="30"/>
  <c r="AH106" i="30"/>
  <c r="AI105" i="30"/>
  <c r="AH105" i="30"/>
  <c r="AI104" i="30"/>
  <c r="AH104" i="30"/>
  <c r="AI103" i="30"/>
  <c r="AH103" i="30"/>
  <c r="AI102" i="30"/>
  <c r="AH102" i="30"/>
  <c r="AI101" i="30"/>
  <c r="AH101" i="30"/>
  <c r="AI100" i="30"/>
  <c r="AH100" i="30"/>
  <c r="AI99" i="30"/>
  <c r="AH99" i="30"/>
  <c r="AI97" i="30"/>
  <c r="AH97" i="30"/>
  <c r="AI96" i="30"/>
  <c r="AH96" i="30"/>
  <c r="AI95" i="30"/>
  <c r="AH95" i="30"/>
  <c r="AI94" i="30"/>
  <c r="AH94" i="30"/>
  <c r="AI93" i="30"/>
  <c r="AH93" i="30"/>
  <c r="AI92" i="30"/>
  <c r="AH92" i="30"/>
  <c r="AI91" i="30"/>
  <c r="AH91" i="30"/>
  <c r="AI88" i="30"/>
  <c r="AH88" i="30"/>
  <c r="AI86" i="30"/>
  <c r="AH86" i="30"/>
  <c r="AG86" i="30"/>
  <c r="AI85" i="30"/>
  <c r="AH85" i="30"/>
  <c r="AI84" i="30"/>
  <c r="AH84" i="30"/>
  <c r="AI83" i="30"/>
  <c r="AH83" i="30"/>
  <c r="AN82" i="30"/>
  <c r="AG82" i="30"/>
  <c r="AF82" i="30"/>
  <c r="AF98" i="30" s="1"/>
  <c r="AE82" i="30"/>
  <c r="AE98" i="30" s="1"/>
  <c r="AD82" i="30"/>
  <c r="AD98" i="30" s="1"/>
  <c r="AC82" i="30"/>
  <c r="AC98" i="30" s="1"/>
  <c r="AB82" i="30"/>
  <c r="AB98" i="30" s="1"/>
  <c r="AA82" i="30"/>
  <c r="AA98" i="30" s="1"/>
  <c r="Z82" i="30"/>
  <c r="Z98" i="30" s="1"/>
  <c r="Y82" i="30"/>
  <c r="Y98" i="30" s="1"/>
  <c r="X82" i="30"/>
  <c r="W5" i="30" s="1"/>
  <c r="W82" i="30"/>
  <c r="W98" i="30" s="1"/>
  <c r="V82" i="30"/>
  <c r="V98" i="30" s="1"/>
  <c r="U82" i="30"/>
  <c r="U98" i="30" s="1"/>
  <c r="T82" i="30"/>
  <c r="T98" i="30" s="1"/>
  <c r="S82" i="30"/>
  <c r="S98" i="30" s="1"/>
  <c r="R82" i="30"/>
  <c r="R98" i="30" s="1"/>
  <c r="Q98" i="30"/>
  <c r="P82" i="30"/>
  <c r="P98" i="30" s="1"/>
  <c r="O82" i="30"/>
  <c r="O98" i="30" s="1"/>
  <c r="N82" i="30"/>
  <c r="N98" i="30" s="1"/>
  <c r="M82" i="30"/>
  <c r="M98" i="30" s="1"/>
  <c r="L82" i="30"/>
  <c r="L98" i="30" s="1"/>
  <c r="K82" i="30"/>
  <c r="K98" i="30" s="1"/>
  <c r="J82" i="30"/>
  <c r="J98" i="30" s="1"/>
  <c r="I82" i="30"/>
  <c r="I98" i="30" s="1"/>
  <c r="H82" i="30"/>
  <c r="H98" i="30" s="1"/>
  <c r="G82" i="30"/>
  <c r="G98" i="30" s="1"/>
  <c r="F82" i="30"/>
  <c r="F98" i="30" s="1"/>
  <c r="E82" i="30"/>
  <c r="E98" i="30" s="1"/>
  <c r="D82" i="30"/>
  <c r="D98" i="30" s="1"/>
  <c r="C82" i="30"/>
  <c r="C98" i="30" s="1"/>
  <c r="B82" i="30"/>
  <c r="AI81" i="30"/>
  <c r="AH81" i="30"/>
  <c r="AN80" i="30"/>
  <c r="AI80" i="30"/>
  <c r="AH80" i="30"/>
  <c r="AN79" i="30"/>
  <c r="AN81" i="30" s="1"/>
  <c r="AI79" i="30"/>
  <c r="AH79" i="30"/>
  <c r="AI78" i="30"/>
  <c r="AH78" i="30"/>
  <c r="AI77" i="30"/>
  <c r="AH77" i="30"/>
  <c r="AI76" i="30"/>
  <c r="AH76" i="30"/>
  <c r="AI75" i="30"/>
  <c r="AH75" i="30"/>
  <c r="AI74" i="30"/>
  <c r="AH74" i="30"/>
  <c r="AI73" i="30"/>
  <c r="AH73" i="30"/>
  <c r="AI72" i="30"/>
  <c r="AH72" i="30"/>
  <c r="AI71" i="30"/>
  <c r="AH71" i="30"/>
  <c r="AG70" i="30"/>
  <c r="AG4" i="30" s="1"/>
  <c r="AF70" i="30"/>
  <c r="AE70" i="30"/>
  <c r="AD70" i="30"/>
  <c r="AC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M70" i="30"/>
  <c r="L70" i="30"/>
  <c r="B70" i="30"/>
  <c r="AI69" i="30"/>
  <c r="AH69" i="30"/>
  <c r="AI68" i="30"/>
  <c r="AH68" i="30"/>
  <c r="AI67" i="30"/>
  <c r="AH67" i="30"/>
  <c r="AF66" i="30"/>
  <c r="AE66" i="30"/>
  <c r="AD66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AI65" i="30"/>
  <c r="AH65" i="30"/>
  <c r="AG65" i="30"/>
  <c r="AG66" i="30" s="1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I54" i="30"/>
  <c r="AH54" i="30"/>
  <c r="AI53" i="30"/>
  <c r="AH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G52" i="30"/>
  <c r="F52" i="30"/>
  <c r="E52" i="30"/>
  <c r="D52" i="30"/>
  <c r="C52" i="30"/>
  <c r="B52" i="30"/>
  <c r="AI51" i="30"/>
  <c r="AH51" i="30"/>
  <c r="AI50" i="30"/>
  <c r="AH50" i="30"/>
  <c r="AI49" i="30"/>
  <c r="AH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G48" i="30"/>
  <c r="F48" i="30"/>
  <c r="F87" i="30" s="1"/>
  <c r="F89" i="30" s="1"/>
  <c r="E48" i="30"/>
  <c r="D48" i="30"/>
  <c r="C48" i="30"/>
  <c r="B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F5" i="30"/>
  <c r="AB5" i="30"/>
  <c r="E5" i="30"/>
  <c r="K4" i="30"/>
  <c r="E4" i="30"/>
  <c r="H4" i="30" s="1"/>
  <c r="AG3" i="30"/>
  <c r="AG2" i="30"/>
  <c r="T111" i="29"/>
  <c r="I87" i="30" l="1"/>
  <c r="I89" i="30" s="1"/>
  <c r="Q87" i="30"/>
  <c r="Q89" i="30" s="1"/>
  <c r="B232" i="30"/>
  <c r="O5" i="30"/>
  <c r="P5" i="30"/>
  <c r="E231" i="30"/>
  <c r="D267" i="30" s="1"/>
  <c r="AN81" i="31"/>
  <c r="D232" i="31"/>
  <c r="AC87" i="31"/>
  <c r="AC89" i="31" s="1"/>
  <c r="AC7" i="31" s="1"/>
  <c r="P87" i="30"/>
  <c r="P89" i="30" s="1"/>
  <c r="AH246" i="30" s="1"/>
  <c r="B108" i="30"/>
  <c r="AB87" i="31"/>
  <c r="AB89" i="31" s="1"/>
  <c r="AF87" i="31"/>
  <c r="AF89" i="31" s="1"/>
  <c r="AF90" i="31" s="1"/>
  <c r="AE87" i="31"/>
  <c r="AE89" i="31" s="1"/>
  <c r="AC5" i="31"/>
  <c r="Y5" i="31"/>
  <c r="X5" i="31"/>
  <c r="Y87" i="31"/>
  <c r="Y89" i="31" s="1"/>
  <c r="Y7" i="31" s="1"/>
  <c r="X87" i="31"/>
  <c r="X89" i="31" s="1"/>
  <c r="X90" i="31" s="1"/>
  <c r="W87" i="31"/>
  <c r="W89" i="31" s="1"/>
  <c r="W7" i="31" s="1"/>
  <c r="U5" i="31"/>
  <c r="T5" i="31"/>
  <c r="U87" i="31"/>
  <c r="U89" i="31" s="1"/>
  <c r="U7" i="31" s="1"/>
  <c r="T87" i="31"/>
  <c r="T89" i="31" s="1"/>
  <c r="T90" i="31" s="1"/>
  <c r="S98" i="31"/>
  <c r="S87" i="31"/>
  <c r="S89" i="31" s="1"/>
  <c r="AK246" i="31" s="1"/>
  <c r="Q5" i="31"/>
  <c r="P5" i="31"/>
  <c r="Q87" i="31"/>
  <c r="Q89" i="31" s="1"/>
  <c r="Q7" i="31" s="1"/>
  <c r="O5" i="31"/>
  <c r="P87" i="31"/>
  <c r="P89" i="31" s="1"/>
  <c r="P7" i="31" s="1"/>
  <c r="B5" i="31"/>
  <c r="N5" i="31"/>
  <c r="M5" i="31"/>
  <c r="O87" i="31"/>
  <c r="O89" i="31" s="1"/>
  <c r="O7" i="31" s="1"/>
  <c r="M87" i="31"/>
  <c r="M89" i="31" s="1"/>
  <c r="M7" i="31" s="1"/>
  <c r="L5" i="31"/>
  <c r="AI70" i="31"/>
  <c r="K5" i="31"/>
  <c r="L87" i="31"/>
  <c r="L89" i="31" s="1"/>
  <c r="AD246" i="31" s="1"/>
  <c r="J5" i="31"/>
  <c r="K87" i="31"/>
  <c r="K89" i="31" s="1"/>
  <c r="AC246" i="31" s="1"/>
  <c r="I5" i="31"/>
  <c r="J87" i="31"/>
  <c r="J89" i="31" s="1"/>
  <c r="J90" i="31" s="1"/>
  <c r="H5" i="31"/>
  <c r="I87" i="31"/>
  <c r="I89" i="31" s="1"/>
  <c r="I7" i="31" s="1"/>
  <c r="G5" i="31"/>
  <c r="G87" i="31"/>
  <c r="G89" i="31" s="1"/>
  <c r="G90" i="31" s="1"/>
  <c r="F5" i="31"/>
  <c r="F87" i="31"/>
  <c r="F89" i="31" s="1"/>
  <c r="X246" i="31" s="1"/>
  <c r="E5" i="31"/>
  <c r="H87" i="31"/>
  <c r="H89" i="31" s="1"/>
  <c r="H7" i="31" s="1"/>
  <c r="AI52" i="31"/>
  <c r="E87" i="31"/>
  <c r="E89" i="31" s="1"/>
  <c r="E7" i="31" s="1"/>
  <c r="D5" i="31"/>
  <c r="D98" i="31"/>
  <c r="D87" i="31"/>
  <c r="D89" i="31" s="1"/>
  <c r="D90" i="31" s="1"/>
  <c r="AI111" i="31"/>
  <c r="C87" i="31"/>
  <c r="C89" i="31" s="1"/>
  <c r="C90" i="31" s="1"/>
  <c r="AF5" i="31"/>
  <c r="B87" i="31"/>
  <c r="B89" i="31" s="1"/>
  <c r="B90" i="31" s="1"/>
  <c r="AH70" i="31"/>
  <c r="D243" i="31"/>
  <c r="AS246" i="31"/>
  <c r="AA90" i="31"/>
  <c r="AA7" i="31"/>
  <c r="AB90" i="31"/>
  <c r="AB7" i="31"/>
  <c r="AT246" i="31"/>
  <c r="J229" i="31"/>
  <c r="K229" i="31" s="1"/>
  <c r="L229" i="31" s="1"/>
  <c r="M229" i="31" s="1"/>
  <c r="N229" i="31" s="1"/>
  <c r="O229" i="31" s="1"/>
  <c r="P229" i="31" s="1"/>
  <c r="P90" i="31"/>
  <c r="AO246" i="31"/>
  <c r="W90" i="31"/>
  <c r="AW246" i="31"/>
  <c r="AE90" i="31"/>
  <c r="AE7" i="31"/>
  <c r="X98" i="31"/>
  <c r="W5" i="31"/>
  <c r="B232" i="31"/>
  <c r="AQ246" i="31"/>
  <c r="T98" i="31"/>
  <c r="S5" i="31"/>
  <c r="AF98" i="31"/>
  <c r="AE5" i="31"/>
  <c r="N87" i="31"/>
  <c r="N89" i="31" s="1"/>
  <c r="R87" i="31"/>
  <c r="R89" i="31" s="1"/>
  <c r="V87" i="31"/>
  <c r="V89" i="31" s="1"/>
  <c r="Z87" i="31"/>
  <c r="Z89" i="31" s="1"/>
  <c r="AD87" i="31"/>
  <c r="AD89" i="31" s="1"/>
  <c r="AH48" i="31"/>
  <c r="AH52" i="31"/>
  <c r="AI66" i="31"/>
  <c r="AH66" i="31"/>
  <c r="AH82" i="31"/>
  <c r="AI82" i="31"/>
  <c r="AG89" i="31"/>
  <c r="AB98" i="31"/>
  <c r="AA5" i="31"/>
  <c r="AI48" i="31"/>
  <c r="E231" i="31"/>
  <c r="E226" i="31"/>
  <c r="AE5" i="30"/>
  <c r="AF87" i="30"/>
  <c r="AF89" i="30" s="1"/>
  <c r="AF90" i="30" s="1"/>
  <c r="AD5" i="30"/>
  <c r="AE87" i="30"/>
  <c r="AE89" i="30" s="1"/>
  <c r="AW246" i="30" s="1"/>
  <c r="AC87" i="30"/>
  <c r="AC89" i="30" s="1"/>
  <c r="AC7" i="30" s="1"/>
  <c r="AC5" i="30"/>
  <c r="AD87" i="30"/>
  <c r="AD89" i="30" s="1"/>
  <c r="AD7" i="30" s="1"/>
  <c r="AA5" i="30"/>
  <c r="AB87" i="30"/>
  <c r="AB89" i="30" s="1"/>
  <c r="AT246" i="30" s="1"/>
  <c r="Z5" i="30"/>
  <c r="AA87" i="30"/>
  <c r="AA89" i="30" s="1"/>
  <c r="AA90" i="30" s="1"/>
  <c r="Y5" i="30"/>
  <c r="Z87" i="30"/>
  <c r="Z89" i="30" s="1"/>
  <c r="AR246" i="30" s="1"/>
  <c r="X5" i="30"/>
  <c r="Y87" i="30"/>
  <c r="Y89" i="30" s="1"/>
  <c r="AQ246" i="30" s="1"/>
  <c r="X87" i="30"/>
  <c r="X89" i="30" s="1"/>
  <c r="X7" i="30" s="1"/>
  <c r="V5" i="30"/>
  <c r="W87" i="30"/>
  <c r="W89" i="30" s="1"/>
  <c r="U5" i="30"/>
  <c r="V87" i="30"/>
  <c r="V89" i="30" s="1"/>
  <c r="AN246" i="30" s="1"/>
  <c r="T5" i="30"/>
  <c r="U87" i="30"/>
  <c r="U89" i="30" s="1"/>
  <c r="U90" i="30" s="1"/>
  <c r="T87" i="30"/>
  <c r="T89" i="30" s="1"/>
  <c r="AL246" i="30" s="1"/>
  <c r="S5" i="30"/>
  <c r="R5" i="30"/>
  <c r="S87" i="30"/>
  <c r="S89" i="30" s="1"/>
  <c r="AK246" i="30" s="1"/>
  <c r="Q5" i="30"/>
  <c r="R87" i="30"/>
  <c r="R89" i="30" s="1"/>
  <c r="R7" i="30" s="1"/>
  <c r="N5" i="30"/>
  <c r="O87" i="30"/>
  <c r="O89" i="30" s="1"/>
  <c r="O90" i="30" s="1"/>
  <c r="M5" i="30"/>
  <c r="AI70" i="30"/>
  <c r="N87" i="30"/>
  <c r="N89" i="30" s="1"/>
  <c r="AF246" i="30" s="1"/>
  <c r="L5" i="30"/>
  <c r="M87" i="30"/>
  <c r="M89" i="30" s="1"/>
  <c r="M7" i="30" s="1"/>
  <c r="L87" i="30"/>
  <c r="L89" i="30" s="1"/>
  <c r="L90" i="30" s="1"/>
  <c r="K5" i="30"/>
  <c r="AI111" i="30"/>
  <c r="J5" i="30"/>
  <c r="K87" i="30"/>
  <c r="K89" i="30" s="1"/>
  <c r="AC246" i="30" s="1"/>
  <c r="I5" i="30"/>
  <c r="H5" i="30"/>
  <c r="J87" i="30"/>
  <c r="J89" i="30" s="1"/>
  <c r="AB246" i="30" s="1"/>
  <c r="G5" i="30"/>
  <c r="AH111" i="30"/>
  <c r="F5" i="30"/>
  <c r="G87" i="30"/>
  <c r="G89" i="30" s="1"/>
  <c r="D5" i="30"/>
  <c r="E87" i="30"/>
  <c r="E89" i="30" s="1"/>
  <c r="W246" i="30" s="1"/>
  <c r="C5" i="30"/>
  <c r="D87" i="30"/>
  <c r="D89" i="30" s="1"/>
  <c r="D90" i="30" s="1"/>
  <c r="AI52" i="30"/>
  <c r="B5" i="30"/>
  <c r="AH82" i="30"/>
  <c r="C87" i="30"/>
  <c r="C89" i="30" s="1"/>
  <c r="U246" i="30" s="1"/>
  <c r="AI66" i="30"/>
  <c r="B87" i="30"/>
  <c r="B89" i="30" s="1"/>
  <c r="P90" i="30"/>
  <c r="P7" i="30"/>
  <c r="AG87" i="30"/>
  <c r="H90" i="30"/>
  <c r="H7" i="30"/>
  <c r="Z246" i="30"/>
  <c r="J229" i="30"/>
  <c r="K229" i="30" s="1"/>
  <c r="L229" i="30" s="1"/>
  <c r="M229" i="30" s="1"/>
  <c r="N229" i="30" s="1"/>
  <c r="O229" i="30" s="1"/>
  <c r="P229" i="30" s="1"/>
  <c r="S243" i="30"/>
  <c r="D243" i="30"/>
  <c r="I7" i="30"/>
  <c r="AA246" i="30"/>
  <c r="I90" i="30"/>
  <c r="Q7" i="30"/>
  <c r="AI246" i="30"/>
  <c r="Q90" i="30"/>
  <c r="F7" i="30"/>
  <c r="X246" i="30"/>
  <c r="F90" i="30"/>
  <c r="V7" i="30"/>
  <c r="AG89" i="30"/>
  <c r="AG6" i="30"/>
  <c r="AH48" i="30"/>
  <c r="AH52" i="30"/>
  <c r="AH70" i="30"/>
  <c r="AI82" i="30"/>
  <c r="B98" i="30"/>
  <c r="F226" i="30"/>
  <c r="AI48" i="30"/>
  <c r="AH66" i="30"/>
  <c r="F231" i="30"/>
  <c r="AC90" i="30" l="1"/>
  <c r="AU246" i="30"/>
  <c r="W7" i="30"/>
  <c r="W90" i="30"/>
  <c r="AC90" i="31"/>
  <c r="E108" i="30"/>
  <c r="AU246" i="31"/>
  <c r="E232" i="30"/>
  <c r="AI98" i="31"/>
  <c r="AX246" i="31"/>
  <c r="AF7" i="31"/>
  <c r="Y90" i="31"/>
  <c r="X7" i="31"/>
  <c r="AP246" i="31"/>
  <c r="U90" i="31"/>
  <c r="AM246" i="31"/>
  <c r="AL246" i="31"/>
  <c r="T7" i="31"/>
  <c r="S7" i="31"/>
  <c r="S90" i="31"/>
  <c r="AI246" i="31"/>
  <c r="Q90" i="31"/>
  <c r="AH246" i="31"/>
  <c r="O90" i="31"/>
  <c r="AG246" i="31"/>
  <c r="M90" i="31"/>
  <c r="AE246" i="31"/>
  <c r="L90" i="31"/>
  <c r="L7" i="31"/>
  <c r="K7" i="31"/>
  <c r="K90" i="31"/>
  <c r="AB246" i="31"/>
  <c r="J7" i="31"/>
  <c r="I90" i="31"/>
  <c r="AA246" i="31"/>
  <c r="H90" i="31"/>
  <c r="F7" i="31"/>
  <c r="Y246" i="31"/>
  <c r="Z246" i="31"/>
  <c r="G7" i="31"/>
  <c r="B241" i="31"/>
  <c r="F90" i="31"/>
  <c r="C241" i="31"/>
  <c r="W246" i="31"/>
  <c r="E90" i="31"/>
  <c r="D7" i="31"/>
  <c r="V246" i="31"/>
  <c r="C7" i="31"/>
  <c r="U246" i="31"/>
  <c r="AH87" i="31"/>
  <c r="AI87" i="31"/>
  <c r="AH98" i="31"/>
  <c r="D267" i="31"/>
  <c r="F231" i="31"/>
  <c r="AJ246" i="31"/>
  <c r="R90" i="31"/>
  <c r="R7" i="31"/>
  <c r="AR246" i="31"/>
  <c r="Z7" i="31"/>
  <c r="Z90" i="31"/>
  <c r="E108" i="31"/>
  <c r="E232" i="31"/>
  <c r="F226" i="31"/>
  <c r="AN246" i="31"/>
  <c r="V90" i="31"/>
  <c r="V7" i="31"/>
  <c r="AV246" i="31"/>
  <c r="AD90" i="31"/>
  <c r="AD7" i="31"/>
  <c r="AF246" i="31"/>
  <c r="N90" i="31"/>
  <c r="N7" i="31"/>
  <c r="AX246" i="30"/>
  <c r="AF7" i="30"/>
  <c r="AE7" i="30"/>
  <c r="AE90" i="30"/>
  <c r="AD90" i="30"/>
  <c r="AV246" i="30"/>
  <c r="AB90" i="30"/>
  <c r="AB7" i="30"/>
  <c r="AS246" i="30"/>
  <c r="AA7" i="30"/>
  <c r="Z7" i="30"/>
  <c r="Z90" i="30"/>
  <c r="Y90" i="30"/>
  <c r="Y7" i="30"/>
  <c r="AP246" i="30"/>
  <c r="AO246" i="30"/>
  <c r="V90" i="30"/>
  <c r="U7" i="30"/>
  <c r="AM246" i="30"/>
  <c r="T90" i="30"/>
  <c r="T7" i="30"/>
  <c r="S7" i="30"/>
  <c r="S90" i="30"/>
  <c r="R90" i="30"/>
  <c r="AJ246" i="30"/>
  <c r="AG246" i="30"/>
  <c r="O7" i="30"/>
  <c r="N7" i="30"/>
  <c r="N90" i="30"/>
  <c r="AD246" i="30"/>
  <c r="AE246" i="30"/>
  <c r="M90" i="30"/>
  <c r="L7" i="30"/>
  <c r="K7" i="30"/>
  <c r="K90" i="30"/>
  <c r="C241" i="30"/>
  <c r="J7" i="30"/>
  <c r="J90" i="30"/>
  <c r="G7" i="30"/>
  <c r="B241" i="30"/>
  <c r="Y246" i="30"/>
  <c r="G90" i="30"/>
  <c r="E7" i="30"/>
  <c r="E90" i="30"/>
  <c r="D7" i="30"/>
  <c r="V246" i="30"/>
  <c r="C7" i="30"/>
  <c r="C90" i="30"/>
  <c r="AI87" i="30"/>
  <c r="AH87" i="30"/>
  <c r="G231" i="30"/>
  <c r="E267" i="30"/>
  <c r="F108" i="30"/>
  <c r="F232" i="30"/>
  <c r="G226" i="30"/>
  <c r="AH98" i="30"/>
  <c r="AI98" i="30"/>
  <c r="AH89" i="30"/>
  <c r="B7" i="30"/>
  <c r="T246" i="30"/>
  <c r="B90" i="30"/>
  <c r="AI89" i="30"/>
  <c r="K6" i="31" l="1"/>
  <c r="F108" i="31"/>
  <c r="F232" i="31"/>
  <c r="G226" i="31"/>
  <c r="G231" i="31"/>
  <c r="E267" i="31"/>
  <c r="AH89" i="31"/>
  <c r="T246" i="31"/>
  <c r="AI89" i="31"/>
  <c r="B7" i="31"/>
  <c r="A7" i="31" s="1"/>
  <c r="K6" i="30"/>
  <c r="A7" i="30"/>
  <c r="AI90" i="30"/>
  <c r="AH90" i="30"/>
  <c r="G232" i="30"/>
  <c r="H226" i="30"/>
  <c r="G108" i="30"/>
  <c r="F267" i="30"/>
  <c r="H231" i="30"/>
  <c r="AH90" i="31" l="1"/>
  <c r="AI90" i="31"/>
  <c r="F267" i="31"/>
  <c r="H231" i="31"/>
  <c r="G232" i="31"/>
  <c r="H226" i="31"/>
  <c r="G108" i="31"/>
  <c r="H232" i="30"/>
  <c r="I226" i="30"/>
  <c r="H108" i="30"/>
  <c r="G267" i="30"/>
  <c r="I231" i="30"/>
  <c r="G267" i="31" l="1"/>
  <c r="I231" i="31"/>
  <c r="H232" i="31"/>
  <c r="I226" i="31"/>
  <c r="H108" i="31"/>
  <c r="H267" i="30"/>
  <c r="J231" i="30"/>
  <c r="I108" i="30"/>
  <c r="J226" i="30"/>
  <c r="I108" i="31" l="1"/>
  <c r="J226" i="31"/>
  <c r="H267" i="31"/>
  <c r="J231" i="31"/>
  <c r="K231" i="30"/>
  <c r="I267" i="30"/>
  <c r="J108" i="30"/>
  <c r="K226" i="30"/>
  <c r="J108" i="31" l="1"/>
  <c r="K226" i="31"/>
  <c r="K231" i="31"/>
  <c r="I267" i="31"/>
  <c r="L226" i="30"/>
  <c r="K108" i="30"/>
  <c r="J267" i="30"/>
  <c r="L231" i="30"/>
  <c r="L226" i="31" l="1"/>
  <c r="K108" i="31"/>
  <c r="L231" i="31"/>
  <c r="J267" i="31"/>
  <c r="M226" i="30"/>
  <c r="L108" i="30"/>
  <c r="K267" i="30"/>
  <c r="M231" i="30"/>
  <c r="K267" i="31" l="1"/>
  <c r="M231" i="31"/>
  <c r="M226" i="31"/>
  <c r="L108" i="31"/>
  <c r="M108" i="30"/>
  <c r="N226" i="30"/>
  <c r="L267" i="30"/>
  <c r="N231" i="30"/>
  <c r="M108" i="31" l="1"/>
  <c r="N226" i="31"/>
  <c r="L267" i="31"/>
  <c r="N231" i="31"/>
  <c r="O231" i="30"/>
  <c r="M267" i="30"/>
  <c r="N108" i="30"/>
  <c r="O226" i="30"/>
  <c r="N108" i="31" l="1"/>
  <c r="O226" i="31"/>
  <c r="O231" i="31"/>
  <c r="M267" i="31"/>
  <c r="P226" i="30"/>
  <c r="O108" i="30"/>
  <c r="N267" i="30"/>
  <c r="P231" i="30"/>
  <c r="O267" i="30" s="1"/>
  <c r="P226" i="31" l="1"/>
  <c r="O108" i="31"/>
  <c r="N267" i="31"/>
  <c r="P231" i="31"/>
  <c r="O267" i="31" s="1"/>
  <c r="AI108" i="30"/>
  <c r="AH108" i="30"/>
  <c r="AH108" i="31" l="1"/>
  <c r="AI108" i="31"/>
  <c r="S111" i="29"/>
  <c r="Q111" i="29"/>
  <c r="M111" i="29"/>
  <c r="G48" i="29"/>
  <c r="G52" i="29"/>
  <c r="G66" i="29"/>
  <c r="G82" i="29"/>
  <c r="G98" i="29" s="1"/>
  <c r="AF271" i="29"/>
  <c r="AE271" i="29"/>
  <c r="AD271" i="29"/>
  <c r="AC271" i="29"/>
  <c r="AB271" i="29"/>
  <c r="AA271" i="29"/>
  <c r="Z271" i="29"/>
  <c r="Y271" i="29"/>
  <c r="X271" i="29"/>
  <c r="W271" i="29"/>
  <c r="V271" i="29"/>
  <c r="U271" i="29"/>
  <c r="T271" i="29"/>
  <c r="S271" i="29"/>
  <c r="R271" i="29"/>
  <c r="Q271" i="29"/>
  <c r="P271" i="29"/>
  <c r="O271" i="29"/>
  <c r="N271" i="29"/>
  <c r="M271" i="29"/>
  <c r="L271" i="29"/>
  <c r="K271" i="29"/>
  <c r="J271" i="29"/>
  <c r="I271" i="29"/>
  <c r="H271" i="29"/>
  <c r="G271" i="29"/>
  <c r="F271" i="29"/>
  <c r="E271" i="29"/>
  <c r="D271" i="29"/>
  <c r="C271" i="29"/>
  <c r="B271" i="29"/>
  <c r="A271" i="29"/>
  <c r="AF270" i="29"/>
  <c r="AE270" i="29"/>
  <c r="AD270" i="29"/>
  <c r="AC270" i="29"/>
  <c r="AB270" i="29"/>
  <c r="AA270" i="29"/>
  <c r="Z270" i="29"/>
  <c r="Y270" i="29"/>
  <c r="X270" i="29"/>
  <c r="W270" i="29"/>
  <c r="V270" i="29"/>
  <c r="U270" i="29"/>
  <c r="T270" i="29"/>
  <c r="S270" i="29"/>
  <c r="R270" i="29"/>
  <c r="Q270" i="29"/>
  <c r="P270" i="29"/>
  <c r="O270" i="29"/>
  <c r="N270" i="29"/>
  <c r="M270" i="29"/>
  <c r="L270" i="29"/>
  <c r="K270" i="29"/>
  <c r="J270" i="29"/>
  <c r="I270" i="29"/>
  <c r="H270" i="29"/>
  <c r="G270" i="29"/>
  <c r="F270" i="29"/>
  <c r="E270" i="29"/>
  <c r="D270" i="29"/>
  <c r="C270" i="29"/>
  <c r="B270" i="29"/>
  <c r="A270" i="29"/>
  <c r="AF269" i="29"/>
  <c r="AE269" i="29"/>
  <c r="AD269" i="29"/>
  <c r="AC269" i="29"/>
  <c r="AB269" i="29"/>
  <c r="AA269" i="29"/>
  <c r="Z269" i="29"/>
  <c r="Y269" i="29"/>
  <c r="X269" i="29"/>
  <c r="W269" i="29"/>
  <c r="V269" i="29"/>
  <c r="U269" i="29"/>
  <c r="T269" i="29"/>
  <c r="S269" i="29"/>
  <c r="R269" i="29"/>
  <c r="Q269" i="29"/>
  <c r="P269" i="29"/>
  <c r="O269" i="29"/>
  <c r="N269" i="29"/>
  <c r="M269" i="29"/>
  <c r="L269" i="29"/>
  <c r="K269" i="29"/>
  <c r="J269" i="29"/>
  <c r="I269" i="29"/>
  <c r="H269" i="29"/>
  <c r="G269" i="29"/>
  <c r="F269" i="29"/>
  <c r="E269" i="29"/>
  <c r="D269" i="29"/>
  <c r="C269" i="29"/>
  <c r="B269" i="29"/>
  <c r="A269" i="29"/>
  <c r="AF268" i="29"/>
  <c r="AE268" i="29"/>
  <c r="AD268" i="29"/>
  <c r="AC268" i="29"/>
  <c r="AB268" i="29"/>
  <c r="AA268" i="29"/>
  <c r="Z268" i="29"/>
  <c r="Y268" i="29"/>
  <c r="X268" i="29"/>
  <c r="W268" i="29"/>
  <c r="V268" i="29"/>
  <c r="U268" i="29"/>
  <c r="T268" i="29"/>
  <c r="S268" i="29"/>
  <c r="R268" i="29"/>
  <c r="Q268" i="29"/>
  <c r="P268" i="29"/>
  <c r="O268" i="29"/>
  <c r="N268" i="29"/>
  <c r="M268" i="29"/>
  <c r="L268" i="29"/>
  <c r="K268" i="29"/>
  <c r="J268" i="29"/>
  <c r="I268" i="29"/>
  <c r="H268" i="29"/>
  <c r="G268" i="29"/>
  <c r="F268" i="29"/>
  <c r="E268" i="29"/>
  <c r="D268" i="29"/>
  <c r="C268" i="29"/>
  <c r="B268" i="29"/>
  <c r="A268" i="29"/>
  <c r="AE267" i="29"/>
  <c r="AD267" i="29"/>
  <c r="AC267" i="29"/>
  <c r="AB267" i="29"/>
  <c r="AA267" i="29"/>
  <c r="Z267" i="29"/>
  <c r="Y267" i="29"/>
  <c r="X267" i="29"/>
  <c r="W267" i="29"/>
  <c r="V267" i="29"/>
  <c r="U267" i="29"/>
  <c r="T267" i="29"/>
  <c r="S267" i="29"/>
  <c r="R267" i="29"/>
  <c r="Q267" i="29"/>
  <c r="P267" i="29"/>
  <c r="B267" i="29"/>
  <c r="S242" i="29"/>
  <c r="AG232" i="29"/>
  <c r="AG65" i="29" s="1"/>
  <c r="AF232" i="29"/>
  <c r="AE232" i="29"/>
  <c r="AD232" i="29"/>
  <c r="AC232" i="29"/>
  <c r="AB232" i="29"/>
  <c r="AA232" i="29"/>
  <c r="Z232" i="29"/>
  <c r="Y232" i="29"/>
  <c r="X232" i="29"/>
  <c r="W232" i="29"/>
  <c r="V232" i="29"/>
  <c r="U232" i="29"/>
  <c r="T232" i="29"/>
  <c r="S232" i="29"/>
  <c r="R232" i="29"/>
  <c r="Q232" i="29"/>
  <c r="C232" i="29"/>
  <c r="D231" i="29"/>
  <c r="C267" i="29" s="1"/>
  <c r="B231" i="29"/>
  <c r="AF267" i="29" s="1"/>
  <c r="D230" i="29"/>
  <c r="E230" i="29" s="1"/>
  <c r="F230" i="29" s="1"/>
  <c r="G230" i="29" s="1"/>
  <c r="H230" i="29" s="1"/>
  <c r="I230" i="29" s="1"/>
  <c r="J230" i="29" s="1"/>
  <c r="K230" i="29" s="1"/>
  <c r="L230" i="29" s="1"/>
  <c r="M230" i="29" s="1"/>
  <c r="N230" i="29" s="1"/>
  <c r="O230" i="29" s="1"/>
  <c r="P230" i="29" s="1"/>
  <c r="B230" i="29"/>
  <c r="D229" i="29"/>
  <c r="E229" i="29" s="1"/>
  <c r="F229" i="29" s="1"/>
  <c r="G229" i="29" s="1"/>
  <c r="H229" i="29" s="1"/>
  <c r="I229" i="29" s="1"/>
  <c r="B229" i="29"/>
  <c r="D228" i="29"/>
  <c r="E228" i="29" s="1"/>
  <c r="F228" i="29" s="1"/>
  <c r="G228" i="29" s="1"/>
  <c r="H228" i="29" s="1"/>
  <c r="B228" i="29"/>
  <c r="D227" i="29"/>
  <c r="B227" i="29"/>
  <c r="D226" i="29"/>
  <c r="E226" i="29" s="1"/>
  <c r="F226" i="29" s="1"/>
  <c r="B226" i="29"/>
  <c r="AG224" i="29"/>
  <c r="AF224" i="29"/>
  <c r="AE224" i="29"/>
  <c r="AD224" i="29"/>
  <c r="AC224" i="29"/>
  <c r="AB224" i="29"/>
  <c r="AA224" i="29"/>
  <c r="Z224" i="29"/>
  <c r="Y224" i="29"/>
  <c r="X224" i="29"/>
  <c r="W224" i="29"/>
  <c r="V224" i="29"/>
  <c r="U224" i="29"/>
  <c r="T224" i="29"/>
  <c r="S224" i="29"/>
  <c r="R224" i="29"/>
  <c r="Q224" i="29"/>
  <c r="P224" i="29"/>
  <c r="O224" i="29"/>
  <c r="N224" i="29"/>
  <c r="M224" i="29"/>
  <c r="L224" i="29"/>
  <c r="K224" i="29"/>
  <c r="J224" i="29"/>
  <c r="I224" i="29"/>
  <c r="H224" i="29"/>
  <c r="G224" i="29"/>
  <c r="F224" i="29"/>
  <c r="E224" i="29"/>
  <c r="D224" i="29"/>
  <c r="C224" i="29"/>
  <c r="B224" i="29"/>
  <c r="AI117" i="29"/>
  <c r="AH117" i="29"/>
  <c r="AI116" i="29"/>
  <c r="AH116" i="29"/>
  <c r="AI115" i="29"/>
  <c r="AH115" i="29"/>
  <c r="AI114" i="29"/>
  <c r="AH114" i="29"/>
  <c r="AI113" i="29"/>
  <c r="AH113" i="29"/>
  <c r="AI112" i="29"/>
  <c r="AH112" i="29"/>
  <c r="AI111" i="29"/>
  <c r="AH111" i="29"/>
  <c r="AI110" i="29"/>
  <c r="AH110" i="29"/>
  <c r="AI109" i="29"/>
  <c r="AH109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D108" i="29"/>
  <c r="C108" i="29"/>
  <c r="AI107" i="29"/>
  <c r="AH107" i="29"/>
  <c r="AI106" i="29"/>
  <c r="AH106" i="29"/>
  <c r="AI105" i="29"/>
  <c r="AH105" i="29"/>
  <c r="AI104" i="29"/>
  <c r="AH104" i="29"/>
  <c r="AI103" i="29"/>
  <c r="AH103" i="29"/>
  <c r="AI102" i="29"/>
  <c r="AH102" i="29"/>
  <c r="AI101" i="29"/>
  <c r="AH101" i="29"/>
  <c r="AI100" i="29"/>
  <c r="AH100" i="29"/>
  <c r="AI99" i="29"/>
  <c r="AH99" i="29"/>
  <c r="AI97" i="29"/>
  <c r="AH97" i="29"/>
  <c r="AI96" i="29"/>
  <c r="AH96" i="29"/>
  <c r="AI95" i="29"/>
  <c r="AH95" i="29"/>
  <c r="AI94" i="29"/>
  <c r="AH94" i="29"/>
  <c r="AI93" i="29"/>
  <c r="AH93" i="29"/>
  <c r="AI92" i="29"/>
  <c r="AH92" i="29"/>
  <c r="AI91" i="29"/>
  <c r="AH91" i="29"/>
  <c r="AI88" i="29"/>
  <c r="AH88" i="29"/>
  <c r="AI86" i="29"/>
  <c r="AH86" i="29"/>
  <c r="AG86" i="29"/>
  <c r="AI85" i="29"/>
  <c r="AH85" i="29"/>
  <c r="AI84" i="29"/>
  <c r="AH84" i="29"/>
  <c r="AI83" i="29"/>
  <c r="AH83" i="29"/>
  <c r="AN82" i="29"/>
  <c r="AG82" i="29"/>
  <c r="AF82" i="29"/>
  <c r="AE82" i="29"/>
  <c r="AD5" i="29" s="1"/>
  <c r="AD82" i="29"/>
  <c r="AC5" i="29" s="1"/>
  <c r="AC82" i="29"/>
  <c r="AC98" i="29" s="1"/>
  <c r="AB82" i="29"/>
  <c r="AA82" i="29"/>
  <c r="AA98" i="29" s="1"/>
  <c r="Z82" i="29"/>
  <c r="Z98" i="29" s="1"/>
  <c r="Y82" i="29"/>
  <c r="Y98" i="29" s="1"/>
  <c r="X82" i="29"/>
  <c r="W82" i="29"/>
  <c r="W98" i="29" s="1"/>
  <c r="V82" i="29"/>
  <c r="V98" i="29" s="1"/>
  <c r="U82" i="29"/>
  <c r="U98" i="29" s="1"/>
  <c r="T82" i="29"/>
  <c r="S82" i="29"/>
  <c r="S98" i="29" s="1"/>
  <c r="R82" i="29"/>
  <c r="Q5" i="29" s="1"/>
  <c r="Q82" i="29"/>
  <c r="Q98" i="29" s="1"/>
  <c r="P82" i="29"/>
  <c r="P98" i="29" s="1"/>
  <c r="O82" i="29"/>
  <c r="O98" i="29" s="1"/>
  <c r="N82" i="29"/>
  <c r="M5" i="29" s="1"/>
  <c r="M82" i="29"/>
  <c r="M98" i="29" s="1"/>
  <c r="L82" i="29"/>
  <c r="L98" i="29" s="1"/>
  <c r="K82" i="29"/>
  <c r="K98" i="29" s="1"/>
  <c r="J82" i="29"/>
  <c r="J98" i="29" s="1"/>
  <c r="I82" i="29"/>
  <c r="I98" i="29" s="1"/>
  <c r="H82" i="29"/>
  <c r="H98" i="29" s="1"/>
  <c r="F82" i="29"/>
  <c r="F98" i="29" s="1"/>
  <c r="E82" i="29"/>
  <c r="E98" i="29" s="1"/>
  <c r="D82" i="29"/>
  <c r="D98" i="29" s="1"/>
  <c r="C82" i="29"/>
  <c r="B5" i="29" s="1"/>
  <c r="B82" i="29"/>
  <c r="B98" i="29" s="1"/>
  <c r="AI81" i="29"/>
  <c r="AH81" i="29"/>
  <c r="AN80" i="29"/>
  <c r="AI80" i="29"/>
  <c r="AH80" i="29"/>
  <c r="AN79" i="29"/>
  <c r="AN81" i="29" s="1"/>
  <c r="AI79" i="29"/>
  <c r="AH79" i="29"/>
  <c r="AI78" i="29"/>
  <c r="AH78" i="29"/>
  <c r="AI77" i="29"/>
  <c r="AH77" i="29"/>
  <c r="AI76" i="29"/>
  <c r="AH76" i="29"/>
  <c r="AI75" i="29"/>
  <c r="AH75" i="29"/>
  <c r="AI74" i="29"/>
  <c r="AH74" i="29"/>
  <c r="AI73" i="29"/>
  <c r="AH73" i="29"/>
  <c r="AI72" i="29"/>
  <c r="AH72" i="29"/>
  <c r="AI71" i="29"/>
  <c r="AH71" i="29"/>
  <c r="AG70" i="29"/>
  <c r="AF70" i="29"/>
  <c r="AE70" i="29"/>
  <c r="AD70" i="29"/>
  <c r="AC70" i="29"/>
  <c r="AB70" i="29"/>
  <c r="AA70" i="29"/>
  <c r="Z70" i="29"/>
  <c r="Y70" i="29"/>
  <c r="X70" i="29"/>
  <c r="W70" i="29"/>
  <c r="V70" i="29"/>
  <c r="U70" i="29"/>
  <c r="T70" i="29"/>
  <c r="S70" i="29"/>
  <c r="R70" i="29"/>
  <c r="Q70" i="29"/>
  <c r="P70" i="29"/>
  <c r="O70" i="29"/>
  <c r="N70" i="29"/>
  <c r="M70" i="29"/>
  <c r="L70" i="29"/>
  <c r="B70" i="29"/>
  <c r="AI69" i="29"/>
  <c r="AH69" i="29"/>
  <c r="AI68" i="29"/>
  <c r="AH68" i="29"/>
  <c r="AI67" i="29"/>
  <c r="AH67" i="29"/>
  <c r="AG66" i="29"/>
  <c r="AF66" i="29"/>
  <c r="AE66" i="29"/>
  <c r="AD66" i="29"/>
  <c r="AC66" i="29"/>
  <c r="AB66" i="29"/>
  <c r="AA66" i="29"/>
  <c r="Z66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F66" i="29"/>
  <c r="E66" i="29"/>
  <c r="D66" i="29"/>
  <c r="C66" i="29"/>
  <c r="B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I54" i="29"/>
  <c r="AH54" i="29"/>
  <c r="AI53" i="29"/>
  <c r="AH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F52" i="29"/>
  <c r="E52" i="29"/>
  <c r="D52" i="29"/>
  <c r="C52" i="29"/>
  <c r="B52" i="29"/>
  <c r="AI51" i="29"/>
  <c r="AH51" i="29"/>
  <c r="AI50" i="29"/>
  <c r="AH50" i="29"/>
  <c r="AI49" i="29"/>
  <c r="AH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F48" i="29"/>
  <c r="E48" i="29"/>
  <c r="D48" i="29"/>
  <c r="C48" i="29"/>
  <c r="B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B5" i="29"/>
  <c r="H5" i="29"/>
  <c r="G5" i="29"/>
  <c r="F5" i="29"/>
  <c r="E5" i="29"/>
  <c r="AG4" i="29"/>
  <c r="K4" i="29"/>
  <c r="E4" i="29"/>
  <c r="H4" i="29" s="1"/>
  <c r="D243" i="29"/>
  <c r="AG3" i="29"/>
  <c r="AG2" i="29"/>
  <c r="AG6" i="29" l="1"/>
  <c r="B108" i="29"/>
  <c r="AB87" i="29"/>
  <c r="AB89" i="29" s="1"/>
  <c r="Y5" i="29"/>
  <c r="X5" i="29"/>
  <c r="V5" i="29"/>
  <c r="E231" i="29"/>
  <c r="F231" i="29" s="1"/>
  <c r="U5" i="29"/>
  <c r="AD98" i="29"/>
  <c r="D232" i="29"/>
  <c r="X87" i="29"/>
  <c r="X89" i="29" s="1"/>
  <c r="AP246" i="29" s="1"/>
  <c r="AF87" i="29"/>
  <c r="AF89" i="29" s="1"/>
  <c r="AX246" i="29" s="1"/>
  <c r="B232" i="29"/>
  <c r="G87" i="29"/>
  <c r="G89" i="29" s="1"/>
  <c r="G90" i="29" s="1"/>
  <c r="V87" i="29"/>
  <c r="V89" i="29" s="1"/>
  <c r="AN246" i="29" s="1"/>
  <c r="Z87" i="29"/>
  <c r="Z89" i="29" s="1"/>
  <c r="Z90" i="29" s="1"/>
  <c r="AD87" i="29"/>
  <c r="AD89" i="29" s="1"/>
  <c r="AV246" i="29" s="1"/>
  <c r="AG89" i="29"/>
  <c r="Y87" i="29"/>
  <c r="Y89" i="29" s="1"/>
  <c r="Y7" i="29" s="1"/>
  <c r="AC87" i="29"/>
  <c r="AC89" i="29" s="1"/>
  <c r="W87" i="29"/>
  <c r="W89" i="29" s="1"/>
  <c r="AO246" i="29" s="1"/>
  <c r="AA87" i="29"/>
  <c r="AA89" i="29" s="1"/>
  <c r="AS246" i="29" s="1"/>
  <c r="AE87" i="29"/>
  <c r="AE89" i="29" s="1"/>
  <c r="AE7" i="29" s="1"/>
  <c r="T5" i="29"/>
  <c r="U87" i="29"/>
  <c r="U89" i="29" s="1"/>
  <c r="T87" i="29"/>
  <c r="T89" i="29" s="1"/>
  <c r="T90" i="29" s="1"/>
  <c r="R5" i="29"/>
  <c r="S87" i="29"/>
  <c r="S89" i="29" s="1"/>
  <c r="S90" i="29" s="1"/>
  <c r="R98" i="29"/>
  <c r="P5" i="29"/>
  <c r="R87" i="29"/>
  <c r="R89" i="29" s="1"/>
  <c r="AJ246" i="29" s="1"/>
  <c r="P87" i="29"/>
  <c r="P89" i="29" s="1"/>
  <c r="O5" i="29"/>
  <c r="N5" i="29"/>
  <c r="O87" i="29"/>
  <c r="O89" i="29" s="1"/>
  <c r="AG246" i="29" s="1"/>
  <c r="N98" i="29"/>
  <c r="N87" i="29"/>
  <c r="N89" i="29" s="1"/>
  <c r="AF246" i="29" s="1"/>
  <c r="L5" i="29"/>
  <c r="K5" i="29"/>
  <c r="AI70" i="29"/>
  <c r="L87" i="29"/>
  <c r="L89" i="29" s="1"/>
  <c r="L7" i="29" s="1"/>
  <c r="J5" i="29"/>
  <c r="K87" i="29"/>
  <c r="K89" i="29" s="1"/>
  <c r="AC246" i="29" s="1"/>
  <c r="I5" i="29"/>
  <c r="J87" i="29"/>
  <c r="J89" i="29" s="1"/>
  <c r="J90" i="29" s="1"/>
  <c r="I87" i="29"/>
  <c r="I89" i="29" s="1"/>
  <c r="I7" i="29" s="1"/>
  <c r="H87" i="29"/>
  <c r="H89" i="29" s="1"/>
  <c r="H7" i="29" s="1"/>
  <c r="F87" i="29"/>
  <c r="F89" i="29" s="1"/>
  <c r="X246" i="29" s="1"/>
  <c r="D5" i="29"/>
  <c r="E87" i="29"/>
  <c r="E89" i="29" s="1"/>
  <c r="E7" i="29" s="1"/>
  <c r="AH52" i="29"/>
  <c r="AI52" i="29"/>
  <c r="D87" i="29"/>
  <c r="D89" i="29" s="1"/>
  <c r="V246" i="29" s="1"/>
  <c r="C5" i="29"/>
  <c r="C87" i="29"/>
  <c r="C89" i="29" s="1"/>
  <c r="U246" i="29" s="1"/>
  <c r="AI66" i="29"/>
  <c r="AF5" i="29"/>
  <c r="AI82" i="29"/>
  <c r="AH70" i="29"/>
  <c r="B87" i="29"/>
  <c r="B89" i="29" s="1"/>
  <c r="J229" i="29"/>
  <c r="K229" i="29" s="1"/>
  <c r="L229" i="29" s="1"/>
  <c r="M229" i="29" s="1"/>
  <c r="N229" i="29" s="1"/>
  <c r="O229" i="29" s="1"/>
  <c r="P229" i="29" s="1"/>
  <c r="Y246" i="29"/>
  <c r="P90" i="29"/>
  <c r="AH246" i="29"/>
  <c r="P7" i="29"/>
  <c r="AB90" i="29"/>
  <c r="AT246" i="29"/>
  <c r="AB7" i="29"/>
  <c r="AE98" i="29"/>
  <c r="T98" i="29"/>
  <c r="S5" i="29"/>
  <c r="X98" i="29"/>
  <c r="W5" i="29"/>
  <c r="AB98" i="29"/>
  <c r="AA5" i="29"/>
  <c r="AF98" i="29"/>
  <c r="AE5" i="29"/>
  <c r="E227" i="29"/>
  <c r="S243" i="29"/>
  <c r="AI48" i="29"/>
  <c r="Z5" i="29"/>
  <c r="AD7" i="29"/>
  <c r="M87" i="29"/>
  <c r="M89" i="29" s="1"/>
  <c r="Q87" i="29"/>
  <c r="Q89" i="29" s="1"/>
  <c r="AG87" i="29"/>
  <c r="C98" i="29"/>
  <c r="G226" i="29"/>
  <c r="AH48" i="29"/>
  <c r="AH66" i="29"/>
  <c r="AH82" i="29"/>
  <c r="D267" i="29"/>
  <c r="E108" i="29"/>
  <c r="AA7" i="29" l="1"/>
  <c r="O90" i="29"/>
  <c r="O7" i="29"/>
  <c r="R90" i="29"/>
  <c r="R7" i="29"/>
  <c r="X7" i="29"/>
  <c r="G7" i="29"/>
  <c r="AF90" i="29"/>
  <c r="AF7" i="29"/>
  <c r="AW246" i="29"/>
  <c r="AE90" i="29"/>
  <c r="AQ246" i="29"/>
  <c r="Y90" i="29"/>
  <c r="X90" i="29"/>
  <c r="W90" i="29"/>
  <c r="W7" i="29"/>
  <c r="V7" i="29"/>
  <c r="V90" i="29"/>
  <c r="AD90" i="29"/>
  <c r="AR246" i="29"/>
  <c r="Z7" i="29"/>
  <c r="AI98" i="29"/>
  <c r="AC7" i="29"/>
  <c r="AU246" i="29"/>
  <c r="AC90" i="29"/>
  <c r="AA90" i="29"/>
  <c r="N90" i="29"/>
  <c r="N7" i="29"/>
  <c r="U7" i="29"/>
  <c r="U90" i="29"/>
  <c r="AM246" i="29"/>
  <c r="AL246" i="29"/>
  <c r="T7" i="29"/>
  <c r="AK246" i="29"/>
  <c r="S7" i="29"/>
  <c r="AD246" i="29"/>
  <c r="L90" i="29"/>
  <c r="K7" i="29"/>
  <c r="K90" i="29"/>
  <c r="AB246" i="29"/>
  <c r="J7" i="29"/>
  <c r="AA246" i="29"/>
  <c r="I90" i="29"/>
  <c r="B241" i="29"/>
  <c r="H90" i="29"/>
  <c r="C241" i="29"/>
  <c r="Z246" i="29"/>
  <c r="F7" i="29"/>
  <c r="F90" i="29"/>
  <c r="E90" i="29"/>
  <c r="W246" i="29"/>
  <c r="D90" i="29"/>
  <c r="D7" i="29"/>
  <c r="C7" i="29"/>
  <c r="C90" i="29"/>
  <c r="AH98" i="29"/>
  <c r="G231" i="29"/>
  <c r="G108" i="29" s="1"/>
  <c r="E267" i="29"/>
  <c r="F108" i="29"/>
  <c r="AH87" i="29"/>
  <c r="AH89" i="29"/>
  <c r="T246" i="29"/>
  <c r="B90" i="29"/>
  <c r="AI89" i="29"/>
  <c r="B7" i="29"/>
  <c r="Q7" i="29"/>
  <c r="AI246" i="29"/>
  <c r="Q90" i="29"/>
  <c r="H226" i="29"/>
  <c r="M7" i="29"/>
  <c r="AE246" i="29"/>
  <c r="M90" i="29"/>
  <c r="F227" i="29"/>
  <c r="E232" i="29"/>
  <c r="AI87" i="29"/>
  <c r="K6" i="29" l="1"/>
  <c r="G227" i="29"/>
  <c r="F232" i="29"/>
  <c r="I226" i="29"/>
  <c r="AI90" i="29"/>
  <c r="AH90" i="29"/>
  <c r="A7" i="29"/>
  <c r="F267" i="29"/>
  <c r="H231" i="29"/>
  <c r="H108" i="29" s="1"/>
  <c r="H227" i="29" l="1"/>
  <c r="G232" i="29"/>
  <c r="G267" i="29"/>
  <c r="I231" i="29"/>
  <c r="I108" i="29"/>
  <c r="J226" i="29"/>
  <c r="K226" i="29" l="1"/>
  <c r="I227" i="29"/>
  <c r="H232" i="29"/>
  <c r="H267" i="29"/>
  <c r="J231" i="29"/>
  <c r="J108" i="29" s="1"/>
  <c r="J227" i="29" l="1"/>
  <c r="K231" i="29"/>
  <c r="I267" i="29"/>
  <c r="L226" i="29"/>
  <c r="K108" i="29"/>
  <c r="L231" i="29" l="1"/>
  <c r="L108" i="29" s="1"/>
  <c r="J267" i="29"/>
  <c r="M226" i="29"/>
  <c r="K227" i="29"/>
  <c r="L227" i="29" l="1"/>
  <c r="K267" i="29"/>
  <c r="M231" i="29"/>
  <c r="M108" i="29"/>
  <c r="N226" i="29"/>
  <c r="O226" i="29" l="1"/>
  <c r="L267" i="29"/>
  <c r="N231" i="29"/>
  <c r="M227" i="29"/>
  <c r="N227" i="29" l="1"/>
  <c r="P226" i="29"/>
  <c r="O231" i="29"/>
  <c r="M267" i="29"/>
  <c r="N108" i="29"/>
  <c r="N267" i="29" l="1"/>
  <c r="P231" i="29"/>
  <c r="O267" i="29" s="1"/>
  <c r="O108" i="29"/>
  <c r="O227" i="29"/>
  <c r="AH108" i="29" l="1"/>
  <c r="AI108" i="29"/>
  <c r="P227" i="29"/>
  <c r="P235" i="50" l="1"/>
  <c r="P231" i="50"/>
  <c r="P232" i="29"/>
  <c r="P228" i="29"/>
  <c r="P235" i="42"/>
  <c r="P231" i="42"/>
  <c r="P232" i="30"/>
  <c r="P228" i="30"/>
  <c r="J235" i="61"/>
  <c r="P235" i="52"/>
  <c r="P231" i="52"/>
  <c r="P233" i="40"/>
  <c r="P229" i="40"/>
  <c r="P235" i="55"/>
  <c r="P231" i="55"/>
  <c r="L235" i="58"/>
  <c r="M235" i="51"/>
  <c r="L232" i="31"/>
  <c r="N233" i="40"/>
  <c r="N235" i="50"/>
  <c r="L232" i="33"/>
  <c r="N229" i="40"/>
  <c r="O229" i="40"/>
  <c r="O233" i="40"/>
  <c r="N235" i="42"/>
  <c r="M235" i="44"/>
  <c r="O228" i="30"/>
  <c r="O232" i="30"/>
  <c r="N228" i="30"/>
  <c r="N232" i="30"/>
  <c r="K235" i="53"/>
  <c r="L232" i="35"/>
  <c r="M235" i="54"/>
  <c r="M232" i="33"/>
  <c r="N232" i="34"/>
  <c r="M235" i="43"/>
  <c r="J235" i="63"/>
  <c r="M235" i="61"/>
  <c r="M235" i="47"/>
  <c r="P232" i="36"/>
  <c r="P228" i="36"/>
  <c r="J235" i="43"/>
  <c r="P235" i="44"/>
  <c r="P231" i="44"/>
  <c r="M235" i="49"/>
  <c r="K235" i="48"/>
  <c r="N235" i="61"/>
  <c r="P235" i="60"/>
  <c r="P231" i="60"/>
  <c r="K235" i="47"/>
  <c r="K235" i="62"/>
  <c r="O235" i="47"/>
  <c r="L235" i="57"/>
  <c r="K235" i="49"/>
  <c r="P232" i="31"/>
  <c r="P228" i="31"/>
  <c r="K233" i="37"/>
  <c r="K232" i="34"/>
  <c r="O228" i="36"/>
  <c r="O232" i="36"/>
  <c r="L232" i="30"/>
  <c r="L235" i="59"/>
  <c r="J235" i="57"/>
  <c r="M235" i="58"/>
  <c r="O235" i="48"/>
  <c r="J235" i="56"/>
  <c r="J235" i="52"/>
  <c r="J235" i="50"/>
  <c r="M235" i="42"/>
  <c r="K232" i="29"/>
  <c r="L232" i="38"/>
  <c r="N235" i="62"/>
  <c r="L235" i="42"/>
  <c r="L235" i="46"/>
  <c r="K235" i="46"/>
  <c r="O231" i="47"/>
  <c r="P231" i="47"/>
  <c r="P235" i="47"/>
  <c r="L231" i="42"/>
  <c r="M231" i="42"/>
  <c r="N231" i="42"/>
  <c r="O231" i="42"/>
  <c r="O235" i="42"/>
  <c r="P235" i="61"/>
  <c r="P231" i="61"/>
  <c r="K233" i="39"/>
  <c r="P232" i="35"/>
  <c r="P228" i="35"/>
  <c r="K232" i="36"/>
  <c r="J233" i="37"/>
  <c r="P235" i="63"/>
  <c r="P231" i="63"/>
  <c r="J232" i="33"/>
  <c r="P232" i="34"/>
  <c r="P228" i="34"/>
  <c r="J235" i="53"/>
  <c r="M235" i="48"/>
  <c r="N228" i="36"/>
  <c r="N232" i="36"/>
  <c r="K235" i="59"/>
  <c r="O228" i="31"/>
  <c r="O232" i="31"/>
  <c r="K232" i="33"/>
  <c r="L235" i="50"/>
  <c r="K232" i="38"/>
  <c r="K235" i="52"/>
  <c r="L235" i="55"/>
  <c r="O233" i="37"/>
  <c r="L235" i="44"/>
  <c r="L235" i="52"/>
  <c r="L235" i="45"/>
  <c r="O231" i="63"/>
  <c r="O235" i="63"/>
  <c r="N228" i="31"/>
  <c r="N232" i="31"/>
  <c r="N235" i="45"/>
  <c r="M232" i="32"/>
  <c r="K235" i="56"/>
  <c r="J232" i="32"/>
  <c r="M228" i="36"/>
  <c r="M232" i="36"/>
  <c r="J235" i="47"/>
  <c r="N233" i="37"/>
  <c r="N229" i="37"/>
  <c r="O229" i="37"/>
  <c r="P229" i="37"/>
  <c r="P233" i="37"/>
  <c r="N235" i="43"/>
  <c r="L235" i="51"/>
  <c r="O235" i="53"/>
  <c r="O235" i="58"/>
  <c r="K235" i="60"/>
  <c r="K232" i="31"/>
  <c r="K232" i="32"/>
  <c r="M235" i="55"/>
  <c r="K235" i="58"/>
  <c r="K233" i="40"/>
  <c r="J235" i="51"/>
  <c r="J235" i="42"/>
  <c r="N231" i="50"/>
  <c r="O231" i="50"/>
  <c r="O235" i="50"/>
  <c r="M235" i="46"/>
  <c r="M235" i="57"/>
  <c r="M231" i="47"/>
  <c r="N231" i="47"/>
  <c r="N235" i="47"/>
  <c r="O231" i="52"/>
  <c r="O235" i="52"/>
  <c r="K235" i="50"/>
  <c r="L235" i="49"/>
  <c r="O231" i="58"/>
  <c r="P231" i="58"/>
  <c r="P235" i="58"/>
  <c r="M229" i="40"/>
  <c r="M233" i="40"/>
  <c r="M232" i="34"/>
  <c r="J233" i="39"/>
  <c r="P235" i="49"/>
  <c r="P231" i="49"/>
  <c r="N235" i="53"/>
  <c r="J232" i="36"/>
  <c r="K235" i="45"/>
  <c r="K229" i="40"/>
  <c r="L229" i="40"/>
  <c r="L233" i="40"/>
  <c r="J235" i="60"/>
  <c r="O228" i="35"/>
  <c r="O232" i="35"/>
  <c r="K232" i="30"/>
  <c r="L235" i="43"/>
  <c r="P235" i="46"/>
  <c r="P231" i="46"/>
  <c r="L235" i="61"/>
  <c r="L235" i="54"/>
  <c r="L235" i="62"/>
  <c r="P233" i="39"/>
  <c r="P229" i="39"/>
  <c r="P232" i="32"/>
  <c r="P228" i="32"/>
  <c r="I233" i="40"/>
  <c r="I229" i="40"/>
  <c r="J229" i="40"/>
  <c r="J233" i="40"/>
  <c r="P235" i="41"/>
  <c r="P231" i="41"/>
  <c r="J232" i="30"/>
  <c r="K235" i="44"/>
  <c r="I232" i="36"/>
  <c r="I228" i="36"/>
  <c r="J228" i="36"/>
  <c r="K228" i="36"/>
  <c r="L228" i="36"/>
  <c r="L232" i="36"/>
  <c r="J232" i="31"/>
  <c r="N231" i="52"/>
  <c r="N235" i="52"/>
  <c r="O232" i="38"/>
  <c r="M235" i="62"/>
  <c r="M235" i="59"/>
  <c r="N231" i="53"/>
  <c r="O231" i="53"/>
  <c r="P231" i="53"/>
  <c r="P235" i="53"/>
  <c r="N235" i="46"/>
  <c r="O231" i="49"/>
  <c r="O235" i="49"/>
  <c r="M232" i="35"/>
  <c r="M235" i="63"/>
  <c r="J232" i="35"/>
  <c r="L228" i="35"/>
  <c r="M228" i="35"/>
  <c r="N228" i="35"/>
  <c r="N232" i="35"/>
  <c r="N235" i="56"/>
  <c r="K235" i="41"/>
  <c r="O231" i="41"/>
  <c r="O235" i="41"/>
  <c r="O235" i="54"/>
  <c r="P235" i="59"/>
  <c r="P231" i="59"/>
  <c r="M232" i="38"/>
  <c r="O228" i="32"/>
  <c r="O232" i="32"/>
  <c r="M231" i="63"/>
  <c r="N231" i="63"/>
  <c r="N235" i="63"/>
  <c r="J232" i="34"/>
  <c r="K235" i="43"/>
  <c r="M231" i="53"/>
  <c r="M235" i="53"/>
  <c r="O228" i="38"/>
  <c r="P228" i="38"/>
  <c r="P232" i="38"/>
  <c r="L232" i="29"/>
  <c r="L235" i="60"/>
  <c r="L235" i="41"/>
  <c r="O235" i="56"/>
  <c r="O228" i="29"/>
  <c r="O232" i="29"/>
  <c r="M232" i="29"/>
  <c r="J235" i="62"/>
  <c r="K235" i="55"/>
  <c r="L231" i="61"/>
  <c r="M231" i="61"/>
  <c r="N231" i="61"/>
  <c r="O231" i="61"/>
  <c r="O235" i="61"/>
  <c r="K231" i="46"/>
  <c r="L231" i="46"/>
  <c r="M231" i="46"/>
  <c r="N231" i="46"/>
  <c r="O231" i="46"/>
  <c r="O235" i="46"/>
  <c r="I235" i="50"/>
  <c r="I231" i="50"/>
  <c r="J231" i="50"/>
  <c r="K231" i="50"/>
  <c r="L231" i="50"/>
  <c r="M231" i="50"/>
  <c r="M235" i="50"/>
  <c r="L232" i="34"/>
  <c r="P235" i="51"/>
  <c r="P231" i="51"/>
  <c r="J235" i="54"/>
  <c r="I235" i="52"/>
  <c r="I231" i="52"/>
  <c r="J231" i="52"/>
  <c r="K231" i="52"/>
  <c r="L231" i="52"/>
  <c r="M231" i="52"/>
  <c r="M235" i="52"/>
  <c r="L235" i="48"/>
  <c r="O231" i="55"/>
  <c r="O235" i="55"/>
  <c r="I232" i="35"/>
  <c r="I228" i="35"/>
  <c r="J228" i="35"/>
  <c r="K228" i="35"/>
  <c r="K232" i="35"/>
  <c r="J235" i="49"/>
  <c r="K231" i="58"/>
  <c r="L231" i="58"/>
  <c r="M231" i="58"/>
  <c r="N231" i="58"/>
  <c r="N235" i="58"/>
  <c r="J235" i="44"/>
  <c r="N235" i="57"/>
  <c r="J235" i="45"/>
  <c r="I235" i="53"/>
  <c r="I231" i="53"/>
  <c r="J231" i="53"/>
  <c r="K231" i="53"/>
  <c r="L231" i="53"/>
  <c r="L235" i="53"/>
  <c r="N235" i="44"/>
  <c r="O235" i="57"/>
  <c r="L231" i="63"/>
  <c r="L235" i="63"/>
  <c r="I232" i="31"/>
  <c r="I228" i="31"/>
  <c r="J228" i="31"/>
  <c r="K228" i="31"/>
  <c r="L228" i="31"/>
  <c r="M228" i="31"/>
  <c r="M232" i="31"/>
  <c r="M233" i="39"/>
  <c r="M235" i="56"/>
  <c r="K235" i="57"/>
  <c r="I235" i="61"/>
  <c r="I231" i="61"/>
  <c r="J231" i="61"/>
  <c r="K231" i="61"/>
  <c r="K235" i="61"/>
  <c r="M235" i="45"/>
  <c r="J235" i="41"/>
  <c r="N233" i="39"/>
  <c r="M228" i="32"/>
  <c r="N228" i="32"/>
  <c r="N232" i="32"/>
  <c r="O232" i="33"/>
  <c r="N231" i="41"/>
  <c r="N235" i="41"/>
  <c r="O231" i="54"/>
  <c r="P231" i="54"/>
  <c r="P235" i="54"/>
  <c r="O231" i="59"/>
  <c r="O235" i="59"/>
  <c r="I235" i="42"/>
  <c r="I231" i="42"/>
  <c r="J231" i="42"/>
  <c r="K231" i="42"/>
  <c r="K235" i="42"/>
  <c r="I232" i="32"/>
  <c r="I228" i="32"/>
  <c r="J228" i="32"/>
  <c r="K228" i="32"/>
  <c r="L228" i="32"/>
  <c r="L232" i="32"/>
  <c r="I232" i="30"/>
  <c r="I228" i="30"/>
  <c r="J228" i="30"/>
  <c r="K228" i="30"/>
  <c r="L228" i="30"/>
  <c r="M228" i="30"/>
  <c r="M232" i="30"/>
  <c r="I235" i="58"/>
  <c r="I231" i="58"/>
  <c r="J231" i="58"/>
  <c r="J235" i="58"/>
  <c r="J232" i="38"/>
  <c r="K235" i="54"/>
  <c r="K235" i="51"/>
  <c r="N235" i="51"/>
  <c r="O235" i="62"/>
  <c r="J235" i="59"/>
  <c r="K228" i="29"/>
  <c r="L228" i="29"/>
  <c r="M228" i="29"/>
  <c r="N228" i="29"/>
  <c r="N232" i="29"/>
  <c r="O235" i="43"/>
  <c r="N235" i="48"/>
  <c r="M231" i="56"/>
  <c r="N231" i="56"/>
  <c r="O231" i="56"/>
  <c r="P231" i="56"/>
  <c r="P235" i="56"/>
  <c r="I235" i="51"/>
  <c r="I231" i="51"/>
  <c r="J231" i="51"/>
  <c r="K231" i="51"/>
  <c r="L231" i="51"/>
  <c r="M231" i="51"/>
  <c r="N231" i="51"/>
  <c r="O231" i="51"/>
  <c r="O235" i="51"/>
  <c r="I235" i="54"/>
  <c r="I231" i="54"/>
  <c r="J231" i="54"/>
  <c r="K231" i="54"/>
  <c r="L231" i="54"/>
  <c r="M231" i="54"/>
  <c r="N231" i="54"/>
  <c r="N235" i="54"/>
  <c r="N232" i="33"/>
  <c r="J235" i="55"/>
  <c r="P235" i="45"/>
  <c r="P231" i="45"/>
  <c r="I232" i="34"/>
  <c r="I228" i="34"/>
  <c r="J228" i="34"/>
  <c r="K228" i="34"/>
  <c r="L228" i="34"/>
  <c r="M228" i="34"/>
  <c r="N228" i="34"/>
  <c r="O228" i="34"/>
  <c r="O232" i="34"/>
  <c r="I235" i="57"/>
  <c r="I231" i="57"/>
  <c r="J231" i="57"/>
  <c r="K231" i="57"/>
  <c r="L231" i="57"/>
  <c r="M231" i="57"/>
  <c r="N231" i="57"/>
  <c r="O231" i="57"/>
  <c r="P231" i="57"/>
  <c r="P235" i="57"/>
  <c r="I235" i="63"/>
  <c r="I231" i="63"/>
  <c r="J231" i="63"/>
  <c r="K231" i="63"/>
  <c r="K235" i="63"/>
  <c r="I235" i="45"/>
  <c r="I231" i="45"/>
  <c r="J231" i="45"/>
  <c r="K231" i="45"/>
  <c r="L231" i="45"/>
  <c r="M231" i="45"/>
  <c r="N231" i="45"/>
  <c r="O231" i="45"/>
  <c r="O235" i="45"/>
  <c r="I235" i="56"/>
  <c r="I231" i="56"/>
  <c r="J231" i="56"/>
  <c r="K231" i="56"/>
  <c r="L231" i="56"/>
  <c r="L235" i="56"/>
  <c r="M229" i="37"/>
  <c r="M233" i="37"/>
  <c r="K231" i="48"/>
  <c r="L231" i="48"/>
  <c r="M231" i="48"/>
  <c r="N231" i="48"/>
  <c r="O231" i="48"/>
  <c r="P231" i="48"/>
  <c r="P235" i="48"/>
  <c r="I232" i="38"/>
  <c r="I228" i="38"/>
  <c r="J228" i="38"/>
  <c r="K228" i="38"/>
  <c r="L228" i="38"/>
  <c r="M228" i="38"/>
  <c r="N228" i="38"/>
  <c r="N232" i="38"/>
  <c r="I232" i="29"/>
  <c r="I228" i="29"/>
  <c r="J228" i="29"/>
  <c r="J232" i="29"/>
  <c r="I235" i="46"/>
  <c r="I231" i="46"/>
  <c r="J231" i="46"/>
  <c r="J235" i="46"/>
  <c r="I235" i="44"/>
  <c r="I231" i="44"/>
  <c r="J231" i="44"/>
  <c r="K231" i="44"/>
  <c r="L231" i="44"/>
  <c r="M231" i="44"/>
  <c r="N231" i="44"/>
  <c r="O231" i="44"/>
  <c r="O235" i="44"/>
  <c r="I232" i="33"/>
  <c r="I228" i="33"/>
  <c r="J228" i="33"/>
  <c r="K228" i="33"/>
  <c r="L228" i="33"/>
  <c r="M228" i="33"/>
  <c r="N228" i="33"/>
  <c r="O228" i="33"/>
  <c r="P228" i="33"/>
  <c r="P232" i="33"/>
  <c r="I235" i="41"/>
  <c r="I231" i="41"/>
  <c r="J231" i="41"/>
  <c r="K231" i="41"/>
  <c r="L231" i="41"/>
  <c r="M231" i="41"/>
  <c r="M235" i="41"/>
  <c r="M235" i="60"/>
  <c r="I235" i="59"/>
  <c r="I231" i="59"/>
  <c r="J231" i="59"/>
  <c r="K231" i="59"/>
  <c r="L231" i="59"/>
  <c r="M231" i="59"/>
  <c r="N231" i="59"/>
  <c r="N235" i="59"/>
  <c r="I235" i="49"/>
  <c r="I231" i="49"/>
  <c r="J231" i="49"/>
  <c r="K231" i="49"/>
  <c r="L231" i="49"/>
  <c r="M231" i="49"/>
  <c r="N231" i="49"/>
  <c r="N235" i="49"/>
  <c r="I235" i="55"/>
  <c r="I231" i="55"/>
  <c r="J231" i="55"/>
  <c r="K231" i="55"/>
  <c r="L231" i="55"/>
  <c r="M231" i="55"/>
  <c r="N231" i="55"/>
  <c r="N235" i="55"/>
  <c r="L233" i="39"/>
  <c r="I235" i="48"/>
  <c r="I231" i="48"/>
  <c r="J231" i="48"/>
  <c r="J235" i="48"/>
  <c r="I235" i="47"/>
  <c r="I231" i="47"/>
  <c r="J231" i="47"/>
  <c r="K231" i="47"/>
  <c r="L231" i="47"/>
  <c r="L235" i="47"/>
  <c r="N235" i="60"/>
  <c r="I233" i="37"/>
  <c r="I229" i="37"/>
  <c r="J229" i="37"/>
  <c r="K229" i="37"/>
  <c r="L229" i="37"/>
  <c r="L233" i="37"/>
  <c r="I235" i="62"/>
  <c r="I231" i="62"/>
  <c r="J231" i="62"/>
  <c r="K231" i="62"/>
  <c r="L231" i="62"/>
  <c r="M231" i="62"/>
  <c r="N231" i="62"/>
  <c r="O231" i="62"/>
  <c r="P231" i="62"/>
  <c r="P235" i="62"/>
  <c r="I233" i="39"/>
  <c r="I229" i="39"/>
  <c r="J229" i="39"/>
  <c r="K229" i="39"/>
  <c r="L229" i="39"/>
  <c r="M229" i="39"/>
  <c r="N229" i="39"/>
  <c r="O229" i="39"/>
  <c r="O233" i="39"/>
  <c r="I235" i="43"/>
  <c r="I231" i="43"/>
  <c r="J231" i="43"/>
  <c r="K231" i="43"/>
  <c r="L231" i="43"/>
  <c r="M231" i="43"/>
  <c r="N231" i="43"/>
  <c r="O231" i="43"/>
  <c r="P231" i="43"/>
  <c r="P235" i="43"/>
  <c r="I235" i="60"/>
  <c r="I231" i="60"/>
  <c r="J231" i="60"/>
  <c r="K231" i="60"/>
  <c r="L231" i="60"/>
  <c r="M231" i="60"/>
  <c r="N231" i="60"/>
  <c r="O231" i="60"/>
  <c r="O235" i="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EFE5A78-85F1-4B29-B0A5-9753954A7FF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C4A3A1A-7970-439E-A9FA-D1032A9E9EB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B16E1FA-A56B-46DE-9837-6D122E53977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6936005-617A-40E3-9472-7897ADA8008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15C3776-DD99-41A0-9E04-E5BE6156B05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2F1ED2F-E006-4874-A60C-40F293B7930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<sst xmlns="http://schemas.openxmlformats.org/spreadsheetml/2006/main" count="9580" uniqueCount="312">
  <si>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</si>
  <si>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</si>
  <si>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</si>
  <si>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</si>
  <si>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</si>
  <si>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</si>
  <si>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</si>
  <si>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</si>
  <si>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</si>
  <si>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</si>
  <si>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</si>
  <si>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</si>
  <si>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</si>
  <si>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</si>
  <si>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</si>
  <si>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</si>
  <si>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</si>
  <si>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</si>
  <si>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</si>
  <si>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Solu Khola Dudhkoshi(86)</t>
  </si>
  <si>
    <t>Likhu-IV(52.4)</t>
  </si>
  <si>
    <t>Upper Marsyangdi "A"(50)</t>
  </si>
  <si>
    <t>Upper Bhotekoshi Khola(45)</t>
  </si>
  <si>
    <t>Mistri Khola(42)</t>
  </si>
  <si>
    <t>Upper Kalanga Gad(38.46)</t>
  </si>
  <si>
    <t>Upper Balefi (36)</t>
  </si>
  <si>
    <t>Nyadi(30)</t>
  </si>
  <si>
    <t>Likhu Khola A(29.04)</t>
  </si>
  <si>
    <t>Lower Likhu(28)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</si>
  <si>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</si>
  <si>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</si>
  <si>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</si>
  <si>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</si>
  <si>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</si>
  <si>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</si>
  <si>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</si>
  <si>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</si>
  <si>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</si>
  <si>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</si>
  <si>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</si>
  <si>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Middle Modi (18)</t>
  </si>
  <si>
    <t>Kalanga Gad(15.33)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</si>
  <si>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</si>
  <si>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</si>
  <si>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</si>
  <si>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</si>
  <si>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</si>
  <si>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</si>
  <si>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</si>
  <si>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</si>
  <si>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</si>
  <si>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</si>
  <si>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Makari Gad(10.0)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</si>
  <si>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</si>
  <si>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</si>
  <si>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</si>
  <si>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</si>
  <si>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</si>
  <si>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</si>
  <si>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</si>
  <si>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</si>
  <si>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</si>
  <si>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</si>
  <si>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</si>
  <si>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</si>
  <si>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</si>
  <si>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</si>
  <si>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</si>
  <si>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</si>
  <si>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</si>
  <si>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</si>
  <si>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</si>
  <si>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</si>
  <si>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</si>
  <si>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</si>
  <si>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</si>
  <si>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</si>
  <si>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</si>
  <si>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</si>
  <si>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</si>
  <si>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</si>
  <si>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</si>
  <si>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</si>
  <si>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</si>
  <si>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</si>
  <si>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</si>
  <si>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</si>
  <si>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</si>
  <si>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</si>
  <si>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</si>
  <si>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</si>
  <si>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</si>
  <si>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</si>
  <si>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</si>
  <si>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</si>
  <si>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</si>
  <si>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</si>
  <si>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</si>
  <si>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</si>
  <si>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</si>
  <si>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</si>
  <si>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</si>
  <si>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</si>
  <si>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</si>
  <si>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</si>
  <si>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</si>
  <si>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</si>
  <si>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</si>
  <si>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</si>
  <si>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</si>
  <si>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</si>
  <si>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</si>
  <si>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</si>
  <si>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</si>
  <si>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</si>
  <si>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</si>
  <si>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</si>
  <si>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</si>
  <si>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</si>
  <si>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</si>
  <si>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</si>
  <si>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KHIMTI-LAMOSAGU</t>
  </si>
  <si>
    <t>DHALKE-CHAPUR I</t>
  </si>
  <si>
    <t>NBHARATPUR-BARDGHAT</t>
  </si>
  <si>
    <t>DAMAK-DUHABI</t>
  </si>
  <si>
    <t>DHALKE-MIRCHAIYA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</si>
  <si>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</si>
  <si>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</si>
  <si>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</si>
  <si>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</si>
  <si>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</si>
  <si>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</si>
  <si>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</si>
  <si>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</si>
  <si>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</si>
  <si>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</si>
  <si>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</si>
  <si>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</si>
  <si>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</si>
  <si>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</si>
  <si>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</si>
  <si>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</si>
  <si>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</si>
  <si>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</si>
  <si>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</si>
  <si>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</si>
  <si>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</si>
  <si>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</si>
  <si>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</si>
  <si>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</si>
  <si>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</si>
  <si>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</si>
  <si>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</si>
  <si>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</si>
  <si>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</si>
  <si>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</si>
  <si>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</si>
  <si>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</si>
  <si>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</si>
  <si>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</si>
  <si>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</si>
  <si>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</si>
  <si>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</si>
  <si>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</si>
  <si>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</si>
  <si>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</si>
  <si>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</si>
  <si>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</si>
  <si>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</si>
  <si>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</si>
  <si>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</si>
  <si>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</si>
  <si>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</si>
  <si>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</si>
  <si>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</si>
  <si>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</si>
  <si>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</si>
  <si>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</si>
  <si>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</si>
  <si>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</si>
  <si>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</si>
  <si>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</si>
  <si>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</si>
  <si>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</si>
  <si>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</si>
  <si>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</si>
  <si>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</si>
  <si>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</si>
  <si>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</si>
  <si>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</si>
  <si>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</si>
  <si>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</si>
  <si>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</si>
  <si>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</si>
  <si>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</si>
  <si>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</si>
  <si>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</si>
  <si>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</si>
  <si>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</si>
  <si>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</si>
  <si>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</si>
  <si>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</si>
  <si>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</si>
  <si>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</si>
  <si>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</si>
  <si>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</si>
  <si>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</si>
  <si>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</si>
  <si>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</si>
  <si>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</si>
  <si>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</si>
  <si>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</si>
  <si>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</si>
  <si>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</si>
  <si>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</si>
  <si>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</si>
  <si>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</si>
  <si>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</si>
  <si>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</si>
  <si>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</si>
  <si>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</si>
  <si>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</si>
  <si>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</si>
  <si>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</si>
  <si>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</si>
  <si>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</si>
  <si>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</si>
  <si>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</si>
  <si>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</si>
  <si>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</si>
  <si>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</si>
  <si>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</si>
  <si>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</si>
  <si>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</si>
  <si>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</si>
  <si>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</si>
  <si>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</si>
  <si>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</si>
  <si>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</si>
  <si>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</si>
  <si>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</si>
  <si>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</si>
  <si>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</si>
  <si>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</si>
  <si>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</si>
  <si>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</si>
  <si>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</si>
  <si>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</si>
  <si>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</si>
  <si>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</si>
  <si>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</si>
  <si>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</si>
  <si>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</si>
  <si>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</si>
  <si>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</si>
  <si>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 xml:space="preserve"> </t>
  </si>
  <si>
    <t>33..8</t>
  </si>
  <si>
    <t>52..5</t>
  </si>
  <si>
    <t>Hetauda - Kamane</t>
  </si>
  <si>
    <t>NEA</t>
  </si>
  <si>
    <t>Subs</t>
  </si>
  <si>
    <t>Int</t>
  </si>
  <si>
    <t>Nepal tot</t>
  </si>
  <si>
    <t>Load</t>
  </si>
  <si>
    <t>125..9</t>
  </si>
  <si>
    <t>Hetauda-Kamane</t>
  </si>
  <si>
    <t>Super Dordi (54)</t>
  </si>
  <si>
    <t>Super Madi ( 44 )</t>
  </si>
  <si>
    <t>S</t>
  </si>
  <si>
    <t>Y</t>
  </si>
  <si>
    <t>T</t>
  </si>
  <si>
    <t>E</t>
  </si>
  <si>
    <t>M</t>
  </si>
  <si>
    <t>D</t>
  </si>
  <si>
    <t>I</t>
  </si>
  <si>
    <t>U</t>
  </si>
  <si>
    <t>R</t>
  </si>
  <si>
    <t>B</t>
  </si>
  <si>
    <t>p</t>
  </si>
  <si>
    <t>a</t>
  </si>
  <si>
    <t>r</t>
  </si>
  <si>
    <t>t</t>
  </si>
  <si>
    <t>i</t>
  </si>
  <si>
    <t>l</t>
  </si>
  <si>
    <t>s</t>
  </si>
  <si>
    <t>y</t>
  </si>
  <si>
    <t>e</t>
  </si>
  <si>
    <t>m</t>
  </si>
  <si>
    <t>c</t>
  </si>
  <si>
    <t>o</t>
  </si>
  <si>
    <t>13..2</t>
  </si>
  <si>
    <t>13..3</t>
  </si>
  <si>
    <t>13..4</t>
  </si>
  <si>
    <t>13..5</t>
  </si>
  <si>
    <t>13..6</t>
  </si>
  <si>
    <t>13..7</t>
  </si>
  <si>
    <t>13..8</t>
  </si>
  <si>
    <t>13..9</t>
  </si>
  <si>
    <t>13..10</t>
  </si>
  <si>
    <t>13..11</t>
  </si>
  <si>
    <t>13..12</t>
  </si>
  <si>
    <t>system Disturb</t>
  </si>
  <si>
    <t>32..4</t>
  </si>
  <si>
    <t>127..2</t>
  </si>
  <si>
    <t>PN</t>
  </si>
  <si>
    <t xml:space="preserve">p </t>
  </si>
  <si>
    <t>63..5</t>
  </si>
  <si>
    <t>63..6</t>
  </si>
  <si>
    <t>63..7</t>
  </si>
  <si>
    <t xml:space="preserve">partial </t>
  </si>
  <si>
    <t>system</t>
  </si>
  <si>
    <t>collapse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</si>
</sst>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1"/>
      <name val="Times New Roman"/>
      <family val="1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33" fillId="0" borderId="0"/>
    <xf numFmtId="164" fontId="33" fillId="0" borderId="0"/>
    <xf numFmtId="0" fontId="33" fillId="0" borderId="0"/>
    <xf numFmtId="0" fontId="33" fillId="0" borderId="0"/>
    <xf numFmtId="164" fontId="34" fillId="0" borderId="0"/>
    <xf numFmtId="164" fontId="34" fillId="0" borderId="0"/>
    <xf numFmtId="0" fontId="34" fillId="0" borderId="0"/>
    <xf numFmtId="0" fontId="34" fillId="0" borderId="0"/>
    <xf numFmtId="0" fontId="35" fillId="0" borderId="0"/>
    <xf numFmtId="164" fontId="1" fillId="0" borderId="0"/>
    <xf numFmtId="0" fontId="35" fillId="0" borderId="0"/>
  </cellStyleXfs>
  <cellXfs count="206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6" fillId="0" borderId="0" xfId="2" applyFont="1" applyAlignment="1">
      <alignment vertical="center"/>
    </xf>
    <xf numFmtId="164" fontId="7" fillId="0" borderId="2" xfId="2" applyFont="1" applyBorder="1" applyAlignment="1">
      <alignment vertical="center"/>
    </xf>
    <xf numFmtId="164" fontId="7" fillId="0" borderId="4" xfId="2" applyFont="1" applyBorder="1" applyAlignment="1">
      <alignment vertical="center"/>
    </xf>
    <xf numFmtId="164" fontId="4" fillId="0" borderId="6" xfId="2" applyFont="1" applyBorder="1" applyAlignment="1">
      <alignment horizontal="center" vertical="center"/>
    </xf>
    <xf numFmtId="164" fontId="4" fillId="0" borderId="6" xfId="2" applyFont="1" applyBorder="1" applyAlignment="1">
      <alignment vertical="center"/>
    </xf>
    <xf numFmtId="164" fontId="4" fillId="0" borderId="0" xfId="2" applyFont="1" applyAlignment="1">
      <alignment vertical="center"/>
    </xf>
    <xf numFmtId="14" fontId="8" fillId="0" borderId="0" xfId="2" applyNumberFormat="1" applyFont="1" applyAlignment="1">
      <alignment vertical="center"/>
    </xf>
    <xf numFmtId="43" fontId="9" fillId="3" borderId="0" xfId="1" applyFont="1" applyFill="1" applyAlignment="1">
      <alignment horizontal="center"/>
    </xf>
    <xf numFmtId="164" fontId="9" fillId="3" borderId="0" xfId="2" applyFont="1" applyFill="1"/>
    <xf numFmtId="164" fontId="1" fillId="3" borderId="0" xfId="2" applyFill="1"/>
    <xf numFmtId="164" fontId="10" fillId="0" borderId="0" xfId="2" applyFont="1" applyAlignment="1">
      <alignment horizontal="center" vertical="center"/>
    </xf>
    <xf numFmtId="164" fontId="11" fillId="0" borderId="0" xfId="2" applyFont="1"/>
    <xf numFmtId="164" fontId="12" fillId="0" borderId="0" xfId="2" applyFont="1" applyAlignment="1">
      <alignment vertical="center"/>
    </xf>
    <xf numFmtId="164" fontId="7" fillId="0" borderId="8" xfId="2" applyFont="1" applyBorder="1" applyAlignment="1">
      <alignment vertical="center"/>
    </xf>
    <xf numFmtId="164" fontId="7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2" fillId="0" borderId="0" xfId="2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4" fillId="0" borderId="0" xfId="2" applyNumberFormat="1" applyFont="1"/>
    <xf numFmtId="164" fontId="15" fillId="4" borderId="0" xfId="2" applyFont="1" applyFill="1" applyAlignment="1">
      <alignment horizontal="right" vertical="center"/>
    </xf>
    <xf numFmtId="164" fontId="16" fillId="0" borderId="0" xfId="2" applyFont="1" applyAlignment="1">
      <alignment vertical="center"/>
    </xf>
    <xf numFmtId="164" fontId="17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5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5" fillId="4" borderId="0" xfId="2" applyFont="1" applyFill="1" applyAlignment="1">
      <alignment horizontal="left" vertical="center"/>
    </xf>
    <xf numFmtId="164" fontId="18" fillId="3" borderId="0" xfId="2" applyFont="1" applyFill="1"/>
    <xf numFmtId="164" fontId="19" fillId="0" borderId="0" xfId="2" applyFont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164" fontId="2" fillId="0" borderId="0" xfId="2" applyFont="1"/>
    <xf numFmtId="164" fontId="12" fillId="0" borderId="12" xfId="2" applyFont="1" applyBorder="1" applyAlignment="1">
      <alignment vertical="center"/>
    </xf>
    <xf numFmtId="2" fontId="12" fillId="6" borderId="16" xfId="2" applyNumberFormat="1" applyFont="1" applyFill="1" applyBorder="1" applyAlignment="1">
      <alignment horizontal="center" vertical="center"/>
    </xf>
    <xf numFmtId="164" fontId="18" fillId="0" borderId="0" xfId="2" applyFont="1" applyAlignment="1">
      <alignment horizontal="center"/>
    </xf>
    <xf numFmtId="164" fontId="18" fillId="0" borderId="0" xfId="2" applyFont="1"/>
    <xf numFmtId="164" fontId="18" fillId="0" borderId="0" xfId="2" applyFont="1" applyAlignment="1">
      <alignment horizontal="left"/>
    </xf>
    <xf numFmtId="164" fontId="1" fillId="0" borderId="0" xfId="2" applyAlignment="1">
      <alignment horizontal="center"/>
    </xf>
    <xf numFmtId="164" fontId="12" fillId="0" borderId="24" xfId="2" applyFont="1" applyBorder="1" applyAlignment="1">
      <alignment horizontal="right" vertical="center"/>
    </xf>
    <xf numFmtId="166" fontId="12" fillId="0" borderId="25" xfId="2" applyNumberFormat="1" applyFont="1" applyBorder="1" applyAlignment="1" applyProtection="1">
      <alignment horizontal="center" vertical="center"/>
      <protection locked="0"/>
    </xf>
    <xf numFmtId="169" fontId="12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20" fontId="1" fillId="0" borderId="0" xfId="2" applyNumberFormat="1"/>
    <xf numFmtId="169" fontId="12" fillId="0" borderId="26" xfId="2" applyNumberFormat="1" applyFont="1" applyBorder="1" applyAlignment="1" applyProtection="1">
      <alignment horizontal="center" vertical="center"/>
      <protection locked="0"/>
    </xf>
    <xf numFmtId="169" fontId="25" fillId="0" borderId="27" xfId="2" applyNumberFormat="1" applyFont="1" applyBorder="1" applyAlignment="1">
      <alignment horizontal="center" vertical="center"/>
    </xf>
    <xf numFmtId="2" fontId="25" fillId="0" borderId="27" xfId="2" applyNumberFormat="1" applyFont="1" applyBorder="1" applyAlignment="1">
      <alignment horizontal="center" vertical="center"/>
    </xf>
    <xf numFmtId="164" fontId="12" fillId="0" borderId="28" xfId="2" applyFont="1" applyBorder="1" applyAlignment="1">
      <alignment horizontal="right" vertical="center"/>
    </xf>
    <xf numFmtId="169" fontId="25" fillId="0" borderId="29" xfId="2" applyNumberFormat="1" applyFont="1" applyBorder="1" applyAlignment="1">
      <alignment horizontal="center" vertical="center"/>
    </xf>
    <xf numFmtId="164" fontId="26" fillId="0" borderId="28" xfId="2" applyFont="1" applyBorder="1" applyAlignment="1">
      <alignment horizontal="right" vertical="center"/>
    </xf>
    <xf numFmtId="166" fontId="12" fillId="9" borderId="6" xfId="2" applyNumberFormat="1" applyFont="1" applyFill="1" applyBorder="1" applyAlignment="1" applyProtection="1">
      <alignment horizontal="center" vertical="center"/>
      <protection locked="0"/>
    </xf>
    <xf numFmtId="164" fontId="16" fillId="0" borderId="24" xfId="2" applyFont="1" applyBorder="1" applyAlignment="1">
      <alignment horizontal="right" vertical="center"/>
    </xf>
    <xf numFmtId="166" fontId="12" fillId="10" borderId="25" xfId="2" applyNumberFormat="1" applyFont="1" applyFill="1" applyBorder="1" applyAlignment="1" applyProtection="1">
      <alignment horizontal="center" vertical="center"/>
      <protection locked="0"/>
    </xf>
    <xf numFmtId="164" fontId="16" fillId="0" borderId="30" xfId="2" applyFont="1" applyBorder="1" applyAlignment="1">
      <alignment horizontal="left" vertical="center"/>
    </xf>
    <xf numFmtId="166" fontId="16" fillId="0" borderId="31" xfId="2" applyNumberFormat="1" applyFont="1" applyBorder="1" applyAlignment="1">
      <alignment horizontal="center" vertical="center"/>
    </xf>
    <xf numFmtId="169" fontId="16" fillId="0" borderId="31" xfId="2" applyNumberFormat="1" applyFont="1" applyBorder="1" applyAlignment="1">
      <alignment horizontal="center" vertical="center"/>
    </xf>
    <xf numFmtId="164" fontId="12" fillId="0" borderId="32" xfId="2" applyFont="1" applyBorder="1" applyAlignment="1">
      <alignment horizontal="right" vertical="center"/>
    </xf>
    <xf numFmtId="166" fontId="12" fillId="11" borderId="25" xfId="2" applyNumberFormat="1" applyFont="1" applyFill="1" applyBorder="1" applyAlignment="1" applyProtection="1">
      <alignment horizontal="center" vertical="center"/>
      <protection locked="0"/>
    </xf>
    <xf numFmtId="164" fontId="12" fillId="0" borderId="3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 vertical="center"/>
      <protection locked="0"/>
    </xf>
    <xf numFmtId="164" fontId="12" fillId="0" borderId="34" xfId="2" applyFont="1" applyBorder="1" applyAlignment="1">
      <alignment horizontal="right" vertical="center"/>
    </xf>
    <xf numFmtId="166" fontId="12" fillId="0" borderId="18" xfId="2" applyNumberFormat="1" applyFont="1" applyBorder="1" applyAlignment="1" applyProtection="1">
      <alignment horizontal="center" vertical="center"/>
      <protection locked="0"/>
    </xf>
    <xf numFmtId="169" fontId="25" fillId="0" borderId="23" xfId="2" applyNumberFormat="1" applyFont="1" applyBorder="1" applyAlignment="1">
      <alignment horizontal="center" vertical="center"/>
    </xf>
    <xf numFmtId="164" fontId="16" fillId="0" borderId="35" xfId="2" applyFont="1" applyBorder="1" applyAlignment="1">
      <alignment horizontal="left" vertical="center"/>
    </xf>
    <xf numFmtId="164" fontId="27" fillId="0" borderId="0" xfId="2" applyFont="1"/>
    <xf numFmtId="164" fontId="12" fillId="0" borderId="36" xfId="2" applyFont="1" applyBorder="1" applyAlignment="1">
      <alignment horizontal="right" vertical="center"/>
    </xf>
    <xf numFmtId="2" fontId="26" fillId="0" borderId="37" xfId="2" applyNumberFormat="1" applyFont="1" applyBorder="1" applyAlignment="1">
      <alignment horizontal="center" vertical="center"/>
    </xf>
    <xf numFmtId="169" fontId="26" fillId="0" borderId="37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left" vertical="center"/>
    </xf>
    <xf numFmtId="169" fontId="12" fillId="0" borderId="29" xfId="2" applyNumberFormat="1" applyFont="1" applyBorder="1" applyAlignment="1">
      <alignment horizontal="center" vertical="center"/>
    </xf>
    <xf numFmtId="166" fontId="12" fillId="0" borderId="25" xfId="2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164" fontId="2" fillId="12" borderId="0" xfId="2" applyFont="1" applyFill="1"/>
    <xf numFmtId="20" fontId="1" fillId="0" borderId="39" xfId="2" applyNumberFormat="1" applyBorder="1"/>
    <xf numFmtId="166" fontId="12" fillId="0" borderId="2" xfId="2" applyNumberFormat="1" applyFont="1" applyBorder="1" applyAlignment="1" applyProtection="1">
      <alignment horizontal="center" vertical="center"/>
      <protection locked="0"/>
    </xf>
    <xf numFmtId="166" fontId="12" fillId="0" borderId="4" xfId="2" applyNumberFormat="1" applyFont="1" applyBorder="1" applyAlignment="1" applyProtection="1">
      <alignment horizontal="center" vertical="center"/>
      <protection locked="0"/>
    </xf>
    <xf numFmtId="164" fontId="0" fillId="0" borderId="5" xfId="2" applyFont="1" applyBorder="1"/>
    <xf numFmtId="166" fontId="12" fillId="0" borderId="40" xfId="2" applyNumberFormat="1" applyFont="1" applyBorder="1" applyAlignment="1" applyProtection="1">
      <alignment horizontal="center" vertical="center"/>
      <protection locked="0"/>
    </xf>
    <xf numFmtId="164" fontId="12" fillId="0" borderId="41" xfId="2" applyFont="1" applyBorder="1" applyAlignment="1">
      <alignment horizontal="right" vertical="center"/>
    </xf>
    <xf numFmtId="169" fontId="12" fillId="0" borderId="42" xfId="2" applyNumberFormat="1" applyFont="1" applyBorder="1" applyAlignment="1">
      <alignment horizontal="center" vertical="center"/>
    </xf>
    <xf numFmtId="164" fontId="1" fillId="0" borderId="5" xfId="2" applyBorder="1"/>
    <xf numFmtId="166" fontId="12" fillId="12" borderId="43" xfId="2" applyNumberFormat="1" applyFont="1" applyFill="1" applyBorder="1" applyAlignment="1" applyProtection="1">
      <alignment horizontal="center" vertical="center"/>
      <protection locked="0"/>
    </xf>
    <xf numFmtId="169" fontId="16" fillId="0" borderId="44" xfId="2" applyNumberFormat="1" applyFont="1" applyBorder="1" applyAlignment="1">
      <alignment horizontal="center" vertical="center"/>
    </xf>
    <xf numFmtId="166" fontId="12" fillId="0" borderId="45" xfId="2" applyNumberFormat="1" applyFont="1" applyBorder="1" applyAlignment="1">
      <alignment horizontal="center" vertical="center"/>
    </xf>
    <xf numFmtId="169" fontId="12" fillId="0" borderId="27" xfId="2" applyNumberFormat="1" applyFont="1" applyBorder="1" applyAlignment="1">
      <alignment horizontal="center" vertical="center"/>
    </xf>
    <xf numFmtId="164" fontId="1" fillId="0" borderId="48" xfId="2" applyBorder="1"/>
    <xf numFmtId="166" fontId="12" fillId="0" borderId="8" xfId="2" applyNumberFormat="1" applyFont="1" applyBorder="1" applyAlignment="1" applyProtection="1">
      <alignment horizontal="center" vertical="center"/>
      <protection locked="0"/>
    </xf>
    <xf numFmtId="166" fontId="12" fillId="0" borderId="10" xfId="2" applyNumberFormat="1" applyFont="1" applyBorder="1" applyAlignment="1" applyProtection="1">
      <alignment horizontal="center" vertical="center"/>
      <protection locked="0"/>
    </xf>
    <xf numFmtId="166" fontId="12" fillId="0" borderId="37" xfId="2" applyNumberFormat="1" applyFont="1" applyBorder="1" applyAlignment="1">
      <alignment horizontal="center" vertical="center"/>
    </xf>
    <xf numFmtId="1" fontId="16" fillId="0" borderId="31" xfId="2" applyNumberFormat="1" applyFont="1" applyBorder="1" applyAlignment="1">
      <alignment horizontal="center" vertical="center"/>
    </xf>
    <xf numFmtId="164" fontId="16" fillId="12" borderId="38" xfId="2" applyFont="1" applyFill="1" applyBorder="1" applyAlignment="1">
      <alignment vertical="center" wrapText="1"/>
    </xf>
    <xf numFmtId="166" fontId="12" fillId="0" borderId="31" xfId="2" applyNumberFormat="1" applyFont="1" applyBorder="1" applyAlignment="1" applyProtection="1">
      <alignment horizontal="center" vertical="center"/>
      <protection locked="0"/>
    </xf>
    <xf numFmtId="169" fontId="25" fillId="0" borderId="42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center" vertical="center"/>
    </xf>
    <xf numFmtId="164" fontId="12" fillId="0" borderId="49" xfId="2" applyFont="1" applyBorder="1" applyAlignment="1">
      <alignment horizontal="right" vertical="center"/>
    </xf>
    <xf numFmtId="2" fontId="12" fillId="0" borderId="2" xfId="2" applyNumberFormat="1" applyFont="1" applyBorder="1" applyAlignment="1" applyProtection="1">
      <alignment horizontal="center" vertical="center"/>
      <protection locked="0"/>
    </xf>
    <xf numFmtId="169" fontId="12" fillId="0" borderId="50" xfId="2" applyNumberFormat="1" applyFont="1" applyBorder="1" applyAlignment="1">
      <alignment horizontal="center" vertical="center"/>
    </xf>
    <xf numFmtId="164" fontId="12" fillId="0" borderId="51" xfId="2" applyFont="1" applyBorder="1" applyAlignment="1">
      <alignment horizontal="right" vertical="center"/>
    </xf>
    <xf numFmtId="169" fontId="12" fillId="0" borderId="52" xfId="2" applyNumberFormat="1" applyFont="1" applyBorder="1" applyAlignment="1">
      <alignment horizontal="center" vertical="center"/>
    </xf>
    <xf numFmtId="164" fontId="12" fillId="0" borderId="5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/>
      <protection locked="0"/>
    </xf>
    <xf numFmtId="169" fontId="12" fillId="0" borderId="52" xfId="2" applyNumberFormat="1" applyFont="1" applyBorder="1" applyAlignment="1">
      <alignment horizontal="center"/>
    </xf>
    <xf numFmtId="169" fontId="12" fillId="0" borderId="54" xfId="2" applyNumberFormat="1" applyFont="1" applyBorder="1" applyAlignment="1">
      <alignment horizontal="center" vertical="center"/>
    </xf>
    <xf numFmtId="164" fontId="16" fillId="0" borderId="0" xfId="2" applyFont="1" applyAlignment="1">
      <alignment horizontal="right" vertical="center"/>
    </xf>
    <xf numFmtId="164" fontId="12" fillId="0" borderId="1" xfId="2" applyFont="1" applyBorder="1" applyAlignment="1">
      <alignment vertical="center"/>
    </xf>
    <xf numFmtId="166" fontId="16" fillId="0" borderId="3" xfId="2" applyNumberFormat="1" applyFont="1" applyBorder="1" applyAlignment="1">
      <alignment horizontal="center" vertical="center"/>
    </xf>
    <xf numFmtId="169" fontId="1" fillId="0" borderId="0" xfId="2" applyNumberFormat="1"/>
    <xf numFmtId="166" fontId="12" fillId="0" borderId="55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4" fontId="12" fillId="0" borderId="56" xfId="2" applyFont="1" applyBorder="1" applyAlignment="1">
      <alignment horizontal="right" vertical="center"/>
    </xf>
    <xf numFmtId="166" fontId="12" fillId="0" borderId="57" xfId="2" applyNumberFormat="1" applyFont="1" applyBorder="1" applyAlignment="1" applyProtection="1">
      <alignment horizontal="center"/>
      <protection locked="0"/>
    </xf>
    <xf numFmtId="169" fontId="1" fillId="0" borderId="37" xfId="2" applyNumberFormat="1" applyBorder="1" applyAlignment="1">
      <alignment horizontal="center"/>
    </xf>
    <xf numFmtId="169" fontId="1" fillId="0" borderId="0" xfId="2" applyNumberFormat="1" applyAlignment="1">
      <alignment horizontal="center"/>
    </xf>
    <xf numFmtId="164" fontId="12" fillId="0" borderId="6" xfId="2" applyFont="1" applyBorder="1" applyAlignment="1">
      <alignment horizontal="right" vertical="center"/>
    </xf>
    <xf numFmtId="164" fontId="16" fillId="0" borderId="48" xfId="2" applyFont="1" applyBorder="1" applyAlignment="1">
      <alignment vertical="center"/>
    </xf>
    <xf numFmtId="164" fontId="1" fillId="0" borderId="58" xfId="2" applyBorder="1" applyAlignment="1">
      <alignment horizontal="center"/>
    </xf>
    <xf numFmtId="169" fontId="1" fillId="0" borderId="59" xfId="2" applyNumberFormat="1" applyBorder="1" applyAlignment="1">
      <alignment horizontal="center"/>
    </xf>
    <xf numFmtId="164" fontId="12" fillId="0" borderId="60" xfId="2" applyFont="1" applyBorder="1" applyAlignment="1">
      <alignment horizontal="right" vertical="center"/>
    </xf>
    <xf numFmtId="2" fontId="12" fillId="0" borderId="25" xfId="2" applyNumberFormat="1" applyFont="1" applyBorder="1" applyAlignment="1">
      <alignment horizontal="center" vertical="center"/>
    </xf>
    <xf numFmtId="2" fontId="12" fillId="0" borderId="25" xfId="2" applyNumberFormat="1" applyFont="1" applyBorder="1" applyAlignment="1" applyProtection="1">
      <alignment horizontal="center" vertical="center"/>
      <protection locked="0"/>
    </xf>
    <xf numFmtId="169" fontId="25" fillId="0" borderId="61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 applyProtection="1">
      <alignment horizontal="center" vertical="center"/>
      <protection locked="0"/>
    </xf>
    <xf numFmtId="169" fontId="25" fillId="0" borderId="40" xfId="2" applyNumberFormat="1" applyFont="1" applyBorder="1" applyAlignment="1">
      <alignment horizontal="center" vertical="center"/>
    </xf>
    <xf numFmtId="169" fontId="25" fillId="0" borderId="62" xfId="2" applyNumberFormat="1" applyFont="1" applyBorder="1" applyAlignment="1">
      <alignment horizontal="center" vertical="center"/>
    </xf>
    <xf numFmtId="2" fontId="12" fillId="0" borderId="37" xfId="2" applyNumberFormat="1" applyFont="1" applyBorder="1" applyAlignment="1">
      <alignment horizontal="center" vertical="center"/>
    </xf>
    <xf numFmtId="2" fontId="12" fillId="0" borderId="18" xfId="2" applyNumberFormat="1" applyFont="1" applyBorder="1" applyAlignment="1" applyProtection="1">
      <alignment horizontal="center" vertical="center"/>
      <protection locked="0"/>
    </xf>
    <xf numFmtId="164" fontId="12" fillId="0" borderId="35" xfId="2" applyFont="1" applyBorder="1" applyAlignment="1">
      <alignment vertical="center"/>
    </xf>
    <xf numFmtId="2" fontId="12" fillId="0" borderId="63" xfId="2" applyNumberFormat="1" applyFont="1" applyBorder="1" applyAlignment="1">
      <alignment horizontal="center" vertical="center"/>
    </xf>
    <xf numFmtId="2" fontId="12" fillId="0" borderId="31" xfId="2" applyNumberFormat="1" applyFont="1" applyBorder="1" applyAlignment="1">
      <alignment horizontal="center" vertical="center"/>
    </xf>
    <xf numFmtId="2" fontId="12" fillId="0" borderId="64" xfId="2" applyNumberFormat="1" applyFont="1" applyBorder="1" applyAlignment="1">
      <alignment horizontal="center" vertical="center"/>
    </xf>
    <xf numFmtId="169" fontId="25" fillId="0" borderId="35" xfId="2" applyNumberFormat="1" applyFont="1" applyBorder="1" applyAlignment="1">
      <alignment horizontal="center" vertical="center"/>
    </xf>
    <xf numFmtId="2" fontId="1" fillId="0" borderId="0" xfId="2" applyNumberFormat="1" applyAlignment="1">
      <alignment horizontal="center"/>
    </xf>
    <xf numFmtId="2" fontId="12" fillId="0" borderId="2" xfId="2" applyNumberFormat="1" applyFont="1" applyBorder="1" applyAlignment="1">
      <alignment horizontal="center" vertical="center"/>
    </xf>
    <xf numFmtId="169" fontId="28" fillId="0" borderId="4" xfId="2" applyNumberFormat="1" applyFont="1" applyBorder="1" applyAlignment="1">
      <alignment horizontal="center" vertical="center"/>
    </xf>
    <xf numFmtId="169" fontId="28" fillId="0" borderId="40" xfId="2" applyNumberFormat="1" applyFont="1" applyBorder="1" applyAlignment="1">
      <alignment horizontal="center" vertical="center"/>
    </xf>
    <xf numFmtId="169" fontId="28" fillId="0" borderId="62" xfId="2" applyNumberFormat="1" applyFont="1" applyBorder="1" applyAlignment="1">
      <alignment horizontal="center" vertical="center"/>
    </xf>
    <xf numFmtId="164" fontId="12" fillId="0" borderId="63" xfId="2" applyFont="1" applyBorder="1" applyAlignment="1">
      <alignment horizontal="right" vertical="center"/>
    </xf>
    <xf numFmtId="169" fontId="1" fillId="0" borderId="65" xfId="2" applyNumberFormat="1" applyBorder="1" applyAlignment="1">
      <alignment horizontal="center"/>
    </xf>
    <xf numFmtId="164" fontId="16" fillId="0" borderId="49" xfId="2" applyFont="1" applyBorder="1" applyAlignment="1">
      <alignment vertical="center"/>
    </xf>
    <xf numFmtId="2" fontId="29" fillId="0" borderId="2" xfId="2" applyNumberFormat="1" applyFont="1" applyBorder="1" applyAlignment="1">
      <alignment horizontal="center" vertical="center"/>
    </xf>
    <xf numFmtId="2" fontId="29" fillId="0" borderId="4" xfId="2" applyNumberFormat="1" applyFont="1" applyBorder="1" applyAlignment="1">
      <alignment horizontal="center" vertical="center"/>
    </xf>
    <xf numFmtId="164" fontId="16" fillId="0" borderId="60" xfId="2" applyFont="1" applyBorder="1" applyAlignment="1">
      <alignment vertical="center"/>
    </xf>
    <xf numFmtId="2" fontId="29" fillId="0" borderId="25" xfId="2" applyNumberFormat="1" applyFont="1" applyBorder="1" applyAlignment="1">
      <alignment horizontal="center" vertical="center"/>
    </xf>
    <xf numFmtId="2" fontId="29" fillId="0" borderId="61" xfId="2" applyNumberFormat="1" applyFont="1" applyBorder="1" applyAlignment="1">
      <alignment horizontal="center" vertical="center"/>
    </xf>
    <xf numFmtId="164" fontId="1" fillId="0" borderId="66" xfId="2" applyBorder="1" applyAlignment="1">
      <alignment horizontal="center"/>
    </xf>
    <xf numFmtId="164" fontId="16" fillId="0" borderId="51" xfId="2" applyFont="1" applyBorder="1" applyAlignment="1">
      <alignment vertical="center"/>
    </xf>
    <xf numFmtId="2" fontId="29" fillId="0" borderId="6" xfId="2" applyNumberFormat="1" applyFont="1" applyBorder="1" applyAlignment="1">
      <alignment horizontal="center" vertical="center"/>
    </xf>
    <xf numFmtId="2" fontId="29" fillId="0" borderId="40" xfId="2" applyNumberFormat="1" applyFont="1" applyBorder="1" applyAlignment="1">
      <alignment horizontal="center" vertical="center"/>
    </xf>
    <xf numFmtId="164" fontId="16" fillId="0" borderId="67" xfId="2" applyFont="1" applyBorder="1" applyAlignment="1">
      <alignment vertical="center"/>
    </xf>
    <xf numFmtId="2" fontId="29" fillId="0" borderId="8" xfId="2" applyNumberFormat="1" applyFont="1" applyBorder="1" applyAlignment="1">
      <alignment horizontal="center" vertical="center"/>
    </xf>
    <xf numFmtId="2" fontId="29" fillId="0" borderId="10" xfId="2" applyNumberFormat="1" applyFont="1" applyBorder="1" applyAlignment="1">
      <alignment horizontal="center" vertical="center"/>
    </xf>
    <xf numFmtId="164" fontId="12" fillId="13" borderId="6" xfId="2" applyFont="1" applyFill="1" applyBorder="1" applyAlignment="1">
      <alignment vertical="center"/>
    </xf>
    <xf numFmtId="1" fontId="1" fillId="13" borderId="6" xfId="2" applyNumberFormat="1" applyFill="1" applyBorder="1"/>
    <xf numFmtId="20" fontId="30" fillId="13" borderId="6" xfId="2" applyNumberFormat="1" applyFont="1" applyFill="1" applyBorder="1" applyAlignment="1">
      <alignment horizontal="center"/>
    </xf>
    <xf numFmtId="164" fontId="1" fillId="0" borderId="0" xfId="2" applyAlignment="1">
      <alignment horizontal="left"/>
    </xf>
    <xf numFmtId="164" fontId="31" fillId="15" borderId="0" xfId="2" applyFont="1" applyFill="1"/>
    <xf numFmtId="164" fontId="1" fillId="16" borderId="0" xfId="2" applyFill="1" applyProtection="1">
      <protection locked="0"/>
    </xf>
    <xf numFmtId="164" fontId="16" fillId="0" borderId="0" xfId="2" applyFont="1" applyAlignment="1">
      <alignment vertical="top" wrapText="1"/>
    </xf>
    <xf numFmtId="20" fontId="12" fillId="0" borderId="37" xfId="2" applyNumberFormat="1" applyFont="1" applyBorder="1" applyAlignment="1">
      <alignment vertical="center"/>
    </xf>
    <xf numFmtId="167" fontId="12" fillId="0" borderId="68" xfId="2" applyNumberFormat="1" applyFont="1" applyBorder="1" applyAlignment="1">
      <alignment vertical="center"/>
    </xf>
    <xf numFmtId="167" fontId="12" fillId="0" borderId="37" xfId="2" applyNumberFormat="1" applyFont="1" applyBorder="1" applyAlignment="1">
      <alignment vertical="center"/>
    </xf>
    <xf numFmtId="167" fontId="12" fillId="0" borderId="19" xfId="2" applyNumberFormat="1" applyFont="1" applyBorder="1" applyAlignment="1">
      <alignment vertical="center"/>
    </xf>
    <xf numFmtId="1" fontId="1" fillId="0" borderId="0" xfId="2" applyNumberFormat="1" applyAlignment="1">
      <alignment horizontal="center"/>
    </xf>
    <xf numFmtId="165" fontId="1" fillId="16" borderId="0" xfId="2" applyNumberFormat="1" applyFill="1" applyProtection="1">
      <protection locked="0"/>
    </xf>
    <xf numFmtId="164" fontId="1" fillId="0" borderId="6" xfId="2" applyBorder="1"/>
    <xf numFmtId="166" fontId="1" fillId="0" borderId="6" xfId="2" applyNumberFormat="1" applyBorder="1" applyAlignment="1">
      <alignment horizontal="center"/>
    </xf>
    <xf numFmtId="2" fontId="1" fillId="0" borderId="6" xfId="2" applyNumberFormat="1" applyBorder="1" applyAlignment="1">
      <alignment horizontal="center"/>
    </xf>
    <xf numFmtId="164" fontId="36" fillId="0" borderId="6" xfId="2" applyFont="1" applyBorder="1" applyAlignment="1">
      <alignment horizontal="right" vertical="center"/>
    </xf>
    <xf numFmtId="166" fontId="16" fillId="12" borderId="46" xfId="2" applyNumberFormat="1" applyFont="1" applyFill="1" applyBorder="1" applyAlignment="1">
      <alignment horizontal="center" vertical="center"/>
    </xf>
    <xf numFmtId="166" fontId="16" fillId="12" borderId="47" xfId="2" applyNumberFormat="1" applyFont="1" applyFill="1" applyBorder="1" applyAlignment="1">
      <alignment horizontal="center" vertical="center"/>
    </xf>
    <xf numFmtId="164" fontId="31" fillId="14" borderId="0" xfId="2" applyFont="1" applyFill="1" applyAlignment="1">
      <alignment horizontal="center"/>
    </xf>
    <xf numFmtId="167" fontId="12" fillId="0" borderId="19" xfId="2" applyNumberFormat="1" applyFont="1" applyBorder="1" applyAlignment="1">
      <alignment horizontal="center" vertical="center"/>
    </xf>
    <xf numFmtId="167" fontId="12" fillId="0" borderId="22" xfId="2" applyNumberFormat="1" applyFont="1" applyBorder="1" applyAlignment="1">
      <alignment horizontal="center" vertical="center"/>
    </xf>
    <xf numFmtId="168" fontId="24" fillId="8" borderId="20" xfId="2" applyNumberFormat="1" applyFont="1" applyFill="1" applyBorder="1" applyAlignment="1">
      <alignment horizontal="center" vertical="center" wrapText="1"/>
    </xf>
    <xf numFmtId="168" fontId="24" fillId="8" borderId="23" xfId="2" applyNumberFormat="1" applyFont="1" applyFill="1" applyBorder="1" applyAlignment="1">
      <alignment horizontal="center" vertical="center" wrapText="1"/>
    </xf>
    <xf numFmtId="167" fontId="12" fillId="7" borderId="19" xfId="2" applyNumberFormat="1" applyFont="1" applyFill="1" applyBorder="1" applyAlignment="1">
      <alignment horizontal="center" vertical="center"/>
    </xf>
    <xf numFmtId="167" fontId="12" fillId="7" borderId="22" xfId="2" applyNumberFormat="1" applyFont="1" applyFill="1" applyBorder="1" applyAlignment="1">
      <alignment horizontal="center" vertical="center"/>
    </xf>
    <xf numFmtId="167" fontId="12" fillId="0" borderId="18" xfId="2" applyNumberFormat="1" applyFont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16" fillId="0" borderId="17" xfId="2" applyFont="1" applyBorder="1" applyAlignment="1">
      <alignment horizontal="left" vertical="top" wrapText="1"/>
    </xf>
    <xf numFmtId="164" fontId="16" fillId="0" borderId="21" xfId="2" applyFont="1" applyBorder="1" applyAlignment="1">
      <alignment horizontal="left" vertical="top" wrapText="1"/>
    </xf>
    <xf numFmtId="164" fontId="15" fillId="4" borderId="11" xfId="2" applyFont="1" applyFill="1" applyBorder="1" applyAlignment="1">
      <alignment horizontal="left" vertical="center"/>
    </xf>
    <xf numFmtId="164" fontId="15" fillId="4" borderId="11" xfId="2" applyFont="1" applyFill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164" fontId="4" fillId="0" borderId="0" xfId="2" applyFont="1" applyAlignment="1">
      <alignment horizontal="center" vertical="center" wrapText="1"/>
    </xf>
    <xf numFmtId="164" fontId="5" fillId="2" borderId="0" xfId="2" applyFont="1" applyFill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  <xf numFmtId="166" fontId="12" fillId="0" borderId="3" xfId="2" applyNumberFormat="1" applyFont="1" applyBorder="1" applyAlignment="1" applyProtection="1">
      <alignment horizontal="center" vertical="center" wrapText="1"/>
      <protection locked="0"/>
    </xf>
    <xf numFmtId="166" fontId="12" fillId="0" borderId="18" xfId="2" applyNumberFormat="1" applyFont="1" applyBorder="1" applyAlignment="1" applyProtection="1">
      <alignment horizontal="center" vertical="center" wrapText="1"/>
      <protection locked="0"/>
    </xf>
    <xf numFmtId="166" fontId="12" fillId="0" borderId="25" xfId="2" applyNumberFormat="1" applyFont="1" applyBorder="1" applyAlignment="1" applyProtection="1">
      <alignment horizontal="center" vertical="center" wrapText="1"/>
      <protection locked="0"/>
    </xf>
  </cellXfs>
  <cellStyles count="1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2 2 3" xfId="5" xr:uid="{00000000-0005-0000-0000-000005000000}"/>
    <cellStyle name="Normal 2 2_14" xfId="6" xr:uid="{00000000-0005-0000-0000-000006000000}"/>
    <cellStyle name="Normal 2 3" xfId="7" xr:uid="{00000000-0005-0000-0000-000007000000}"/>
    <cellStyle name="Normal 2 3 2" xfId="8" xr:uid="{00000000-0005-0000-0000-000008000000}"/>
    <cellStyle name="Normal 2 3 3" xfId="9" xr:uid="{00000000-0005-0000-0000-000009000000}"/>
    <cellStyle name="Normal 2 3_14" xfId="10" xr:uid="{00000000-0005-0000-0000-00000A000000}"/>
    <cellStyle name="Normal 2 4" xfId="11" xr:uid="{00000000-0005-0000-0000-00000B000000}"/>
    <cellStyle name="Normal 2 5" xfId="12" xr:uid="{00000000-0005-0000-0000-00000C000000}"/>
    <cellStyle name="Normal 2_14" xfId="13" xr:uid="{00000000-0005-0000-0000-00000D000000}"/>
  </cellStyles>
  <dxfs count="14101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F3-439C-8DBE-E23F54080A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F3-439C-8DBE-E23F54080A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F3-439C-8DBE-E23F54080A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F3-439C-8DBE-E23F54080A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AF3-439C-8DBE-E23F54080AD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AF3-439C-8DBE-E23F54080AD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19-4943-968F-7A9ED9426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29536"/>
        <c:axId val="144931456"/>
      </c:lineChart>
      <c:catAx>
        <c:axId val="144929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31456"/>
        <c:crosses val="autoZero"/>
        <c:auto val="1"/>
        <c:lblAlgn val="ctr"/>
        <c:lblOffset val="100"/>
        <c:noMultiLvlLbl val="0"/>
      </c:catAx>
      <c:valAx>
        <c:axId val="144931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2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A5-4C8E-8277-0BBFBCC0CC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A5-4C8E-8277-0BBFBCC0CC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A5-4C8E-8277-0BBFBCC0CC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AA5-4C8E-8277-0BBFBCC0CC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AA5-4C8E-8277-0BBFBCC0CCC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AA5-4C8E-8277-0BBFBCC0CC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BB-4B37-AECA-2D5B26A7C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052416"/>
        <c:axId val="171161088"/>
      </c:lineChart>
      <c:catAx>
        <c:axId val="171052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1088"/>
        <c:crosses val="autoZero"/>
        <c:auto val="1"/>
        <c:lblAlgn val="ctr"/>
        <c:lblOffset val="100"/>
        <c:noMultiLvlLbl val="0"/>
      </c:catAx>
      <c:valAx>
        <c:axId val="1711610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6B-4C2D-9129-00B6A59665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6B-4C2D-9129-00B6A59665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6B-4C2D-9129-00B6A59665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C6B-4C2D-9129-00B6A59665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C6B-4C2D-9129-00B6A59665A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C6B-4C2D-9129-00B6A59665A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2E-4483-8192-D9436060B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59584"/>
        <c:axId val="194331392"/>
      </c:lineChart>
      <c:catAx>
        <c:axId val="194259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31392"/>
        <c:crosses val="autoZero"/>
        <c:auto val="1"/>
        <c:lblAlgn val="ctr"/>
        <c:lblOffset val="100"/>
        <c:noMultiLvlLbl val="0"/>
      </c:catAx>
      <c:valAx>
        <c:axId val="1943313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5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42368"/>
        <c:axId val="202855552"/>
      </c:lineChart>
      <c:catAx>
        <c:axId val="2020423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55552"/>
        <c:crosses val="autoZero"/>
        <c:auto val="1"/>
        <c:lblAlgn val="ctr"/>
        <c:lblOffset val="100"/>
        <c:noMultiLvlLbl val="0"/>
      </c:catAx>
      <c:valAx>
        <c:axId val="202855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4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85920"/>
        <c:axId val="211765120"/>
      </c:lineChart>
      <c:catAx>
        <c:axId val="210385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65120"/>
        <c:crosses val="autoZero"/>
        <c:auto val="1"/>
        <c:lblAlgn val="ctr"/>
        <c:lblOffset val="100"/>
        <c:noMultiLvlLbl val="0"/>
      </c:catAx>
      <c:valAx>
        <c:axId val="211765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8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103808"/>
        <c:axId val="218106112"/>
      </c:lineChart>
      <c:catAx>
        <c:axId val="218103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06112"/>
        <c:crosses val="autoZero"/>
        <c:auto val="1"/>
        <c:lblAlgn val="ctr"/>
        <c:lblOffset val="100"/>
        <c:noMultiLvlLbl val="0"/>
      </c:catAx>
      <c:valAx>
        <c:axId val="218106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0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562560"/>
        <c:axId val="222569216"/>
      </c:lineChart>
      <c:catAx>
        <c:axId val="222562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569216"/>
        <c:crosses val="autoZero"/>
        <c:auto val="1"/>
        <c:lblAlgn val="ctr"/>
        <c:lblOffset val="100"/>
        <c:noMultiLvlLbl val="0"/>
      </c:catAx>
      <c:valAx>
        <c:axId val="222569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56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623872"/>
        <c:axId val="226626176"/>
      </c:lineChart>
      <c:catAx>
        <c:axId val="226623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26176"/>
        <c:crosses val="autoZero"/>
        <c:auto val="1"/>
        <c:lblAlgn val="ctr"/>
        <c:lblOffset val="100"/>
        <c:noMultiLvlLbl val="0"/>
      </c:catAx>
      <c:valAx>
        <c:axId val="226626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2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209600"/>
        <c:axId val="147211776"/>
      </c:lineChart>
      <c:catAx>
        <c:axId val="147209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11776"/>
        <c:crosses val="autoZero"/>
        <c:auto val="1"/>
        <c:lblAlgn val="ctr"/>
        <c:lblOffset val="100"/>
        <c:noMultiLvlLbl val="0"/>
      </c:catAx>
      <c:valAx>
        <c:axId val="147211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876288"/>
        <c:axId val="148984960"/>
      </c:lineChart>
      <c:catAx>
        <c:axId val="148876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4960"/>
        <c:crosses val="autoZero"/>
        <c:auto val="1"/>
        <c:lblAlgn val="ctr"/>
        <c:lblOffset val="100"/>
        <c:noMultiLvlLbl val="0"/>
      </c:catAx>
      <c:valAx>
        <c:axId val="148984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001728"/>
        <c:axId val="151003904"/>
      </c:lineChart>
      <c:catAx>
        <c:axId val="151001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03904"/>
        <c:crosses val="autoZero"/>
        <c:auto val="1"/>
        <c:lblAlgn val="ctr"/>
        <c:lblOffset val="100"/>
        <c:noMultiLvlLbl val="0"/>
      </c:catAx>
      <c:valAx>
        <c:axId val="151003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0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80800"/>
        <c:axId val="156782976"/>
      </c:lineChart>
      <c:catAx>
        <c:axId val="1567808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82976"/>
        <c:crosses val="autoZero"/>
        <c:auto val="1"/>
        <c:lblAlgn val="ctr"/>
        <c:lblOffset val="100"/>
        <c:noMultiLvlLbl val="0"/>
      </c:catAx>
      <c:valAx>
        <c:axId val="156782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8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71712"/>
        <c:axId val="162773632"/>
      </c:lineChart>
      <c:catAx>
        <c:axId val="162771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3632"/>
        <c:crosses val="autoZero"/>
        <c:auto val="1"/>
        <c:lblAlgn val="ctr"/>
        <c:lblOffset val="100"/>
        <c:noMultiLvlLbl val="0"/>
      </c:catAx>
      <c:valAx>
        <c:axId val="162773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97952"/>
        <c:axId val="165599872"/>
      </c:lineChart>
      <c:catAx>
        <c:axId val="165597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99872"/>
        <c:crosses val="autoZero"/>
        <c:auto val="1"/>
        <c:lblAlgn val="ctr"/>
        <c:lblOffset val="100"/>
        <c:noMultiLvlLbl val="0"/>
      </c:catAx>
      <c:valAx>
        <c:axId val="165599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9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39392"/>
        <c:axId val="167741312"/>
      </c:lineChart>
      <c:catAx>
        <c:axId val="167739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41312"/>
        <c:crosses val="autoZero"/>
        <c:auto val="1"/>
        <c:lblAlgn val="ctr"/>
        <c:lblOffset val="100"/>
        <c:noMultiLvlLbl val="0"/>
      </c:catAx>
      <c:valAx>
        <c:axId val="167741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50112"/>
        <c:axId val="169452288"/>
      </c:lineChart>
      <c:catAx>
        <c:axId val="169450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52288"/>
        <c:crosses val="autoZero"/>
        <c:auto val="1"/>
        <c:lblAlgn val="ctr"/>
        <c:lblOffset val="100"/>
        <c:noMultiLvlLbl val="0"/>
      </c:catAx>
      <c:valAx>
        <c:axId val="1694522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779968"/>
        <c:axId val="171786240"/>
      </c:lineChart>
      <c:catAx>
        <c:axId val="171779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6240"/>
        <c:crosses val="autoZero"/>
        <c:auto val="1"/>
        <c:lblAlgn val="ctr"/>
        <c:lblOffset val="100"/>
        <c:noMultiLvlLbl val="0"/>
      </c:catAx>
      <c:valAx>
        <c:axId val="171786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01824"/>
        <c:axId val="175104000"/>
      </c:lineChart>
      <c:catAx>
        <c:axId val="1751018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04000"/>
        <c:crosses val="autoZero"/>
        <c:auto val="1"/>
        <c:lblAlgn val="ctr"/>
        <c:lblOffset val="100"/>
        <c:noMultiLvlLbl val="0"/>
      </c:catAx>
      <c:valAx>
        <c:axId val="175104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0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92000"/>
        <c:axId val="178614656"/>
      </c:lineChart>
      <c:catAx>
        <c:axId val="178592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14656"/>
        <c:crosses val="autoZero"/>
        <c:auto val="1"/>
        <c:lblAlgn val="ctr"/>
        <c:lblOffset val="100"/>
        <c:noMultiLvlLbl val="0"/>
      </c:catAx>
      <c:valAx>
        <c:axId val="1786146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99168"/>
        <c:axId val="181801344"/>
      </c:lineChart>
      <c:catAx>
        <c:axId val="181799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01344"/>
        <c:crosses val="autoZero"/>
        <c:auto val="1"/>
        <c:lblAlgn val="ctr"/>
        <c:lblOffset val="100"/>
        <c:noMultiLvlLbl val="0"/>
      </c:catAx>
      <c:valAx>
        <c:axId val="181801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38880"/>
        <c:axId val="183341056"/>
      </c:lineChart>
      <c:catAx>
        <c:axId val="183338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41056"/>
        <c:crosses val="autoZero"/>
        <c:auto val="1"/>
        <c:lblAlgn val="ctr"/>
        <c:lblOffset val="100"/>
        <c:noMultiLvlLbl val="0"/>
      </c:catAx>
      <c:valAx>
        <c:axId val="183341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92960"/>
        <c:axId val="184795136"/>
      </c:lineChart>
      <c:catAx>
        <c:axId val="184792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95136"/>
        <c:crosses val="autoZero"/>
        <c:auto val="1"/>
        <c:lblAlgn val="ctr"/>
        <c:lblOffset val="100"/>
        <c:noMultiLvlLbl val="0"/>
      </c:catAx>
      <c:valAx>
        <c:axId val="184795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9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496960"/>
        <c:axId val="218252032"/>
      </c:lineChart>
      <c:catAx>
        <c:axId val="217496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52032"/>
        <c:crosses val="autoZero"/>
        <c:auto val="1"/>
        <c:lblAlgn val="ctr"/>
        <c:lblOffset val="100"/>
        <c:noMultiLvlLbl val="0"/>
      </c:catAx>
      <c:valAx>
        <c:axId val="2182520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9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318720"/>
        <c:axId val="218837376"/>
      </c:lineChart>
      <c:catAx>
        <c:axId val="218318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37376"/>
        <c:crosses val="autoZero"/>
        <c:auto val="1"/>
        <c:lblAlgn val="ctr"/>
        <c:lblOffset val="100"/>
        <c:noMultiLvlLbl val="0"/>
      </c:catAx>
      <c:valAx>
        <c:axId val="218837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1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63232"/>
        <c:axId val="218839296"/>
      </c:lineChart>
      <c:catAx>
        <c:axId val="208863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39296"/>
        <c:crosses val="autoZero"/>
        <c:auto val="1"/>
        <c:lblAlgn val="ctr"/>
        <c:lblOffset val="100"/>
        <c:noMultiLvlLbl val="0"/>
      </c:catAx>
      <c:valAx>
        <c:axId val="218839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6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80992"/>
        <c:axId val="140983296"/>
      </c:lineChart>
      <c:catAx>
        <c:axId val="140980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83296"/>
        <c:crosses val="autoZero"/>
        <c:auto val="1"/>
        <c:lblAlgn val="ctr"/>
        <c:lblOffset val="100"/>
        <c:noMultiLvlLbl val="0"/>
      </c:catAx>
      <c:valAx>
        <c:axId val="140983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8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78112"/>
        <c:axId val="164119680"/>
      </c:lineChart>
      <c:catAx>
        <c:axId val="162778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19680"/>
        <c:crosses val="autoZero"/>
        <c:auto val="1"/>
        <c:lblAlgn val="ctr"/>
        <c:lblOffset val="100"/>
        <c:noMultiLvlLbl val="0"/>
      </c:catAx>
      <c:valAx>
        <c:axId val="164119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2F-4C17-81A2-828B0EB130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2F-4C17-81A2-828B0EB130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2F-4C17-81A2-828B0EB130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2F-4C17-81A2-828B0EB130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32F-4C17-81A2-828B0EB130B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32F-4C17-81A2-828B0EB130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51-406E-BEA6-B156DF462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62-45EA-A3DE-D4665DAADF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62-45EA-A3DE-D4665DAADF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62-45EA-A3DE-D4665DAADF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962-45EA-A3DE-D4665DAADF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962-45EA-A3DE-D4665DAADF3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B962-45EA-A3DE-D4665DAADF3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F6-4D1E-8CBF-7355D7AC9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E1-4A0B-A14B-0A5A76C5B0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E1-4A0B-A14B-0A5A76C5B0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E1-4A0B-A14B-0A5A76C5B0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E1-4A0B-A14B-0A5A76C5B0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E1-4A0B-A14B-0A5A76C5B0A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FE1-4A0B-A14B-0A5A76C5B0A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1C-41E0-9256-8AC5E4FAD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9B-4EE5-91AE-20BDD7E812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9B-4EE5-91AE-20BDD7E812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9B-4EE5-91AE-20BDD7E812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9B-4EE5-91AE-20BDD7E812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99B-4EE5-91AE-20BDD7E812B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99B-4EE5-91AE-20BDD7E812B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68-4E11-89B9-C2140E329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BA-4A95-AE0F-16A759C993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BA-4A95-AE0F-16A759C993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BA-4A95-AE0F-16A759C993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BA-4A95-AE0F-16A759C993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BA-4A95-AE0F-16A759C9934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0DBA-4A95-AE0F-16A759C993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B6-4D7E-91F0-BBCB86880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6F-4020-97C1-CA9DD71ECB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6F-4020-97C1-CA9DD71ECB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6F-4020-97C1-CA9DD71ECB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E6F-4020-97C1-CA9DD71ECB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E6F-4020-97C1-CA9DD71ECB4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E6F-4020-97C1-CA9DD71ECB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D3-4022-940F-A9D19D84A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839872"/>
        <c:axId val="195854336"/>
      </c:lineChart>
      <c:catAx>
        <c:axId val="195839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54336"/>
        <c:crosses val="autoZero"/>
        <c:auto val="1"/>
        <c:lblAlgn val="ctr"/>
        <c:lblOffset val="100"/>
        <c:noMultiLvlLbl val="0"/>
      </c:catAx>
      <c:valAx>
        <c:axId val="195854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244</xdr:row>
      <xdr:rowOff>57156</xdr:rowOff>
    </xdr:from>
    <xdr:to>
      <xdr:col>15</xdr:col>
      <xdr:colOff>219074</xdr:colOff>
      <xdr:row>266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247</xdr:row>
      <xdr:rowOff>133356</xdr:rowOff>
    </xdr:from>
    <xdr:to>
      <xdr:col>32</xdr:col>
      <xdr:colOff>9524</xdr:colOff>
      <xdr:row>265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244</xdr:row>
      <xdr:rowOff>57156</xdr:rowOff>
    </xdr:from>
    <xdr:to>
      <xdr:col>15</xdr:col>
      <xdr:colOff>219074</xdr:colOff>
      <xdr:row>266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247</xdr:row>
      <xdr:rowOff>133356</xdr:rowOff>
    </xdr:from>
    <xdr:to>
      <xdr:col>32</xdr:col>
      <xdr:colOff>9524</xdr:colOff>
      <xdr:row>265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244</xdr:row>
      <xdr:rowOff>57156</xdr:rowOff>
    </xdr:from>
    <xdr:to>
      <xdr:col>15</xdr:col>
      <xdr:colOff>219074</xdr:colOff>
      <xdr:row>266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247</xdr:row>
      <xdr:rowOff>133356</xdr:rowOff>
    </xdr:from>
    <xdr:to>
      <xdr:col>32</xdr:col>
      <xdr:colOff>9524</xdr:colOff>
      <xdr:row>265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3D2A13-4079-4029-9985-5F5468707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74B3D5-79BD-4DD6-BDD6-CB2D61084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4835E-6C63-4166-8D46-EE974CD33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B060A-30A3-4795-AC9C-6B05AD73B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697A0-F8B4-4F62-A0A3-A100DBC21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4F2834-35A9-4040-B88F-DC149CD44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43386-74DC-4E68-831F-01733FC9A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3A01C-DA81-46FD-A5FE-FD0F84B58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7BBFE-C57C-4D9D-A665-700616CBB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6D07F7-EA9C-41A8-9ADC-134EE6B0E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8301E9-10A4-4714-B43F-F9B035B8D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F993FD-5F6F-49EF-B542-F19811FED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9-04%20Shraw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0%20Data_Collection%2075/Daily_Log_Sheets/Log%20Sheet%202079/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</row>
        <row r="241">
          <cell r="A241" t="str">
            <v>NEA(RoR+PRoR)</v>
          </cell>
          <cell r="B241"/>
          <cell r="U241">
            <v>4.1666666666666664E-2</v>
          </cell>
          <cell r="V241">
            <v>8.3333333333333301E-2</v>
          </cell>
          <cell r="W241">
            <v>0.125</v>
          </cell>
          <cell r="X241">
            <v>0.16666666666666699</v>
          </cell>
          <cell r="Y241">
            <v>0.20833333333333301</v>
          </cell>
          <cell r="Z241">
            <v>0.22916666666666666</v>
          </cell>
          <cell r="AA241">
            <v>0.25</v>
          </cell>
          <cell r="AB241">
            <v>0.27083333333333331</v>
          </cell>
          <cell r="AC241">
            <v>0.29166666666666669</v>
          </cell>
          <cell r="AD241">
            <v>0.3125</v>
          </cell>
          <cell r="AE241">
            <v>0.33333333333333331</v>
          </cell>
          <cell r="AF241">
            <v>0.375</v>
          </cell>
          <cell r="AG241">
            <v>0.41666666666666702</v>
          </cell>
          <cell r="AH241">
            <v>0.45833333333333298</v>
          </cell>
          <cell r="AI241">
            <v>0.5</v>
          </cell>
          <cell r="AJ241">
            <v>0.54166666666666696</v>
          </cell>
          <cell r="AK241">
            <v>0.58333333333333304</v>
          </cell>
          <cell r="AL241">
            <v>0.625</v>
          </cell>
          <cell r="AM241">
            <v>0.66666666666666696</v>
          </cell>
          <cell r="AN241">
            <v>0.70833333333333304</v>
          </cell>
          <cell r="AO241">
            <v>0.72916666666666663</v>
          </cell>
          <cell r="AP241">
            <v>0.75</v>
          </cell>
          <cell r="AQ241">
            <v>0.77083333333333337</v>
          </cell>
          <cell r="AR241">
            <v>0.79166666666666663</v>
          </cell>
          <cell r="AS241">
            <v>0.8125</v>
          </cell>
          <cell r="AT241">
            <v>0.83333333333333337</v>
          </cell>
          <cell r="AU241">
            <v>0.85416666666666663</v>
          </cell>
          <cell r="AV241">
            <v>0.875</v>
          </cell>
          <cell r="AW241">
            <v>0.91666666666666696</v>
          </cell>
          <cell r="AX241">
            <v>0.95833333333333304</v>
          </cell>
        </row>
        <row r="242">
          <cell r="A242" t="str">
            <v>KL1+KL2+KL3</v>
          </cell>
          <cell r="B242"/>
          <cell r="S242" t="str">
            <v>T_Load</v>
          </cell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>
    <pageSetUpPr fitToPage="1"/>
  </sheetPr>
  <dimension ref="A1:CJ278"/>
  <sheetViews>
    <sheetView topLeftCell="J1" zoomScale="90" zoomScaleNormal="90" workbookViewId="0">
      <pane ySplit="10" topLeftCell="A11" activePane="bottomLeft" state="frozen"/>
      <selection activeCell="Z85" sqref="Z85"/>
      <selection pane="bottomLeft" activeCell="AK28" sqref="AK2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"2080/"&amp;"01/"&amp;INT(MID(CELL("filename",D6),FIND("]",CELL("filename",D6))+1,200))</f>
        <v>2080/01/0</v>
      </c>
      <c r="C4" s="191"/>
      <c r="D4" s="191"/>
      <c r="E4" s="192" t="str">
        <f ca="1">"2079/"&amp;"12/"&amp;INT(MID(CELL("filename",G6),FIND("]",CELL("filename",G6))+1,200))</f>
        <v>2079/12/0</v>
      </c>
      <c r="F4" s="192"/>
      <c r="G4" s="192"/>
      <c r="H4" s="192" t="str">
        <f ca="1">TEXT(E4,"dddd")</f>
        <v>2079/12/0</v>
      </c>
      <c r="I4" s="192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485.1</v>
      </c>
      <c r="C5" s="30">
        <f t="shared" si="0"/>
        <v>546.5</v>
      </c>
      <c r="D5" s="30">
        <f t="shared" si="0"/>
        <v>570.4</v>
      </c>
      <c r="E5" s="30">
        <f t="shared" si="0"/>
        <v>572.30000000000007</v>
      </c>
      <c r="F5" s="30">
        <f t="shared" si="0"/>
        <v>563</v>
      </c>
      <c r="G5" s="30">
        <f t="shared" si="0"/>
        <v>544.1</v>
      </c>
      <c r="H5" s="30">
        <f t="shared" si="0"/>
        <v>576.29999999999995</v>
      </c>
      <c r="I5" s="30">
        <f t="shared" si="0"/>
        <v>597.20000000000005</v>
      </c>
      <c r="J5" s="30">
        <f t="shared" si="0"/>
        <v>609.5</v>
      </c>
      <c r="K5" s="30">
        <f t="shared" si="0"/>
        <v>622.2700000000001</v>
      </c>
      <c r="L5" s="30">
        <f t="shared" si="0"/>
        <v>617.79999999999995</v>
      </c>
      <c r="M5" s="30">
        <f t="shared" si="0"/>
        <v>695.9</v>
      </c>
      <c r="N5" s="30">
        <f t="shared" si="0"/>
        <v>659.5</v>
      </c>
      <c r="O5" s="30">
        <f t="shared" si="0"/>
        <v>650.70000000000005</v>
      </c>
      <c r="P5" s="30">
        <f t="shared" si="0"/>
        <v>641</v>
      </c>
      <c r="Q5" s="30">
        <f t="shared" si="0"/>
        <v>659.7</v>
      </c>
      <c r="R5" s="30">
        <f t="shared" si="0"/>
        <v>664</v>
      </c>
      <c r="S5" s="30">
        <f t="shared" si="0"/>
        <v>663.7</v>
      </c>
      <c r="T5" s="30">
        <f t="shared" si="0"/>
        <v>650.79999999999995</v>
      </c>
      <c r="U5" s="30">
        <f t="shared" si="0"/>
        <v>637.40000000000009</v>
      </c>
      <c r="V5" s="30">
        <f t="shared" si="0"/>
        <v>597.20000000000005</v>
      </c>
      <c r="W5" s="30">
        <f t="shared" si="0"/>
        <v>551.20000000000005</v>
      </c>
      <c r="X5" s="30">
        <f t="shared" si="0"/>
        <v>519.1</v>
      </c>
      <c r="Y5" s="30">
        <f t="shared" si="0"/>
        <v>515.29999999999995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228</v>
      </c>
      <c r="AE5" s="30">
        <f t="shared" si="0"/>
        <v>130</v>
      </c>
      <c r="AF5" s="30">
        <f>B82</f>
        <v>569.19999999999993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1680MW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B89</f>
        <v>1469.1399999999999</v>
      </c>
      <c r="C7" s="35">
        <f t="shared" si="1"/>
        <v>1412.6399999999999</v>
      </c>
      <c r="D7" s="35">
        <f t="shared" si="1"/>
        <v>1425.34</v>
      </c>
      <c r="E7" s="35">
        <f t="shared" si="1"/>
        <v>1447.54</v>
      </c>
      <c r="F7" s="35">
        <f t="shared" si="1"/>
        <v>1407.74</v>
      </c>
      <c r="G7" s="35">
        <f t="shared" si="1"/>
        <v>1405.04</v>
      </c>
      <c r="H7" s="35">
        <f t="shared" si="1"/>
        <v>1400.24</v>
      </c>
      <c r="I7" s="35">
        <f t="shared" si="1"/>
        <v>1407.4399999999998</v>
      </c>
      <c r="J7" s="35">
        <f t="shared" si="1"/>
        <v>1485.44</v>
      </c>
      <c r="K7" s="35">
        <f t="shared" si="1"/>
        <v>1473.7399999999998</v>
      </c>
      <c r="L7" s="35">
        <f t="shared" si="1"/>
        <v>1486.85</v>
      </c>
      <c r="M7" s="35">
        <f t="shared" si="1"/>
        <v>1642.7799999999997</v>
      </c>
      <c r="N7" s="35">
        <f>N89</f>
        <v>1679.98</v>
      </c>
      <c r="O7" s="35">
        <f t="shared" si="1"/>
        <v>1668.08</v>
      </c>
      <c r="P7" s="35">
        <f t="shared" si="1"/>
        <v>1720.08</v>
      </c>
      <c r="Q7" s="35">
        <f t="shared" si="1"/>
        <v>1631.84</v>
      </c>
      <c r="R7" s="35">
        <f t="shared" si="1"/>
        <v>1661.6399999999999</v>
      </c>
      <c r="S7" s="35">
        <f t="shared" si="1"/>
        <v>1672.6399999999999</v>
      </c>
      <c r="T7" s="35">
        <f t="shared" si="1"/>
        <v>1701.74</v>
      </c>
      <c r="U7" s="35">
        <f t="shared" si="1"/>
        <v>1701.4399999999998</v>
      </c>
      <c r="V7" s="35">
        <f t="shared" si="1"/>
        <v>1542.8400000000001</v>
      </c>
      <c r="W7" s="35">
        <f t="shared" si="1"/>
        <v>1640.74</v>
      </c>
      <c r="X7" s="35">
        <f t="shared" si="1"/>
        <v>1502.74</v>
      </c>
      <c r="Y7" s="35">
        <f t="shared" si="1"/>
        <v>1467.1399999999999</v>
      </c>
      <c r="Z7" s="35">
        <f t="shared" si="1"/>
        <v>1503.3399999999997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1382.6399999999999</v>
      </c>
      <c r="AF7" s="35">
        <f t="shared" si="1"/>
        <v>1319.04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24.6</v>
      </c>
      <c r="C11" s="45">
        <v>28</v>
      </c>
      <c r="D11" s="45">
        <v>28</v>
      </c>
      <c r="E11" s="45">
        <v>28</v>
      </c>
      <c r="F11" s="45">
        <v>28</v>
      </c>
      <c r="G11" s="45">
        <v>28</v>
      </c>
      <c r="H11" s="45">
        <v>28</v>
      </c>
      <c r="I11" s="45">
        <v>22</v>
      </c>
      <c r="J11" s="45">
        <v>22</v>
      </c>
      <c r="K11" s="45">
        <v>22</v>
      </c>
      <c r="L11" s="45">
        <v>22</v>
      </c>
      <c r="M11" s="45">
        <v>22</v>
      </c>
      <c r="N11" s="45">
        <v>22</v>
      </c>
      <c r="O11" s="45">
        <v>22</v>
      </c>
      <c r="P11" s="45">
        <v>22</v>
      </c>
      <c r="Q11" s="45">
        <v>22</v>
      </c>
      <c r="R11" s="45">
        <v>22</v>
      </c>
      <c r="S11" s="45">
        <v>22</v>
      </c>
      <c r="T11" s="45">
        <v>35</v>
      </c>
      <c r="U11" s="45">
        <v>35</v>
      </c>
      <c r="V11" s="45">
        <v>35</v>
      </c>
      <c r="W11" s="45">
        <v>20</v>
      </c>
      <c r="X11" s="45">
        <v>20</v>
      </c>
      <c r="Y11" s="45">
        <v>20</v>
      </c>
      <c r="Z11" s="45">
        <v>20</v>
      </c>
      <c r="AA11" s="45"/>
      <c r="AB11" s="45"/>
      <c r="AC11" s="45"/>
      <c r="AD11" s="45"/>
      <c r="AE11" s="45">
        <v>0</v>
      </c>
      <c r="AF11" s="45">
        <v>22</v>
      </c>
      <c r="AG11" s="46">
        <v>86</v>
      </c>
      <c r="AH11" s="47">
        <f t="shared" ref="AH11:AH74" si="2">MAX(B11:AF11)</f>
        <v>35</v>
      </c>
      <c r="AI11" s="48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12.9</v>
      </c>
      <c r="C12" s="45">
        <v>12.9</v>
      </c>
      <c r="D12" s="45">
        <v>12.9</v>
      </c>
      <c r="E12" s="45">
        <v>14</v>
      </c>
      <c r="F12" s="45">
        <v>14</v>
      </c>
      <c r="G12" s="45">
        <v>15.6</v>
      </c>
      <c r="H12" s="45">
        <v>15.6</v>
      </c>
      <c r="I12" s="45">
        <v>15.6</v>
      </c>
      <c r="J12" s="45">
        <v>15.6</v>
      </c>
      <c r="K12" s="45">
        <v>15.6</v>
      </c>
      <c r="L12" s="45">
        <v>15.6</v>
      </c>
      <c r="M12" s="45">
        <v>15.6</v>
      </c>
      <c r="N12" s="45">
        <v>15.6</v>
      </c>
      <c r="O12" s="45">
        <v>15.6</v>
      </c>
      <c r="P12" s="45">
        <v>15.6</v>
      </c>
      <c r="Q12" s="45">
        <v>15.6</v>
      </c>
      <c r="R12" s="45">
        <v>15.6</v>
      </c>
      <c r="S12" s="45">
        <v>15.6</v>
      </c>
      <c r="T12" s="45">
        <v>15.6</v>
      </c>
      <c r="U12" s="45">
        <v>15.6</v>
      </c>
      <c r="V12" s="45">
        <v>15.6</v>
      </c>
      <c r="W12" s="45">
        <v>15.6</v>
      </c>
      <c r="X12" s="45">
        <v>15.6</v>
      </c>
      <c r="Y12" s="45">
        <v>15.6</v>
      </c>
      <c r="Z12" s="45">
        <v>15.6</v>
      </c>
      <c r="AA12" s="45"/>
      <c r="AB12" s="45"/>
      <c r="AC12" s="45"/>
      <c r="AD12" s="45"/>
      <c r="AE12" s="45">
        <v>14.5</v>
      </c>
      <c r="AF12" s="45">
        <v>14.5</v>
      </c>
      <c r="AG12" s="46">
        <v>52.4</v>
      </c>
      <c r="AH12" s="47">
        <f t="shared" si="2"/>
        <v>15.6</v>
      </c>
      <c r="AI12" s="48">
        <f t="shared" si="3"/>
        <v>12.9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50</v>
      </c>
      <c r="C13" s="45">
        <v>50</v>
      </c>
      <c r="D13" s="45">
        <v>50</v>
      </c>
      <c r="E13" s="45">
        <v>50.4</v>
      </c>
      <c r="F13" s="45">
        <v>50.4</v>
      </c>
      <c r="G13" s="45">
        <v>50.4</v>
      </c>
      <c r="H13" s="45">
        <v>50.4</v>
      </c>
      <c r="I13" s="45">
        <v>50.4</v>
      </c>
      <c r="J13" s="45">
        <v>50.4</v>
      </c>
      <c r="K13" s="45">
        <v>50.4</v>
      </c>
      <c r="L13" s="45">
        <v>50.4</v>
      </c>
      <c r="M13" s="45">
        <v>50.4</v>
      </c>
      <c r="N13" s="45">
        <v>50.4</v>
      </c>
      <c r="O13" s="45">
        <v>50.4</v>
      </c>
      <c r="P13" s="45">
        <v>50.4</v>
      </c>
      <c r="Q13" s="45">
        <v>50.4</v>
      </c>
      <c r="R13" s="45">
        <v>50.4</v>
      </c>
      <c r="S13" s="45">
        <v>50.4</v>
      </c>
      <c r="T13" s="45">
        <v>50.4</v>
      </c>
      <c r="U13" s="45">
        <v>50.4</v>
      </c>
      <c r="V13" s="45">
        <v>50.4</v>
      </c>
      <c r="W13" s="45">
        <v>50.4</v>
      </c>
      <c r="X13" s="45">
        <v>50.4</v>
      </c>
      <c r="Y13" s="45">
        <v>50.4</v>
      </c>
      <c r="Z13" s="45">
        <v>50.4</v>
      </c>
      <c r="AA13" s="45"/>
      <c r="AB13" s="45"/>
      <c r="AC13" s="45"/>
      <c r="AD13" s="45"/>
      <c r="AE13" s="45">
        <v>50.4</v>
      </c>
      <c r="AF13" s="45">
        <v>50.4</v>
      </c>
      <c r="AG13" s="50">
        <v>50</v>
      </c>
      <c r="AH13" s="47">
        <f t="shared" si="2"/>
        <v>50.4</v>
      </c>
      <c r="AI13" s="48">
        <f t="shared" si="3"/>
        <v>50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22.9</v>
      </c>
      <c r="C14" s="45">
        <v>22.9</v>
      </c>
      <c r="D14" s="45">
        <v>22.9</v>
      </c>
      <c r="E14" s="45">
        <v>22.8</v>
      </c>
      <c r="F14" s="45">
        <v>22.8</v>
      </c>
      <c r="G14" s="45">
        <v>22.8</v>
      </c>
      <c r="H14" s="45">
        <v>22.8</v>
      </c>
      <c r="I14" s="45">
        <v>22.1</v>
      </c>
      <c r="J14" s="45">
        <v>22.1</v>
      </c>
      <c r="K14" s="45">
        <v>22.1</v>
      </c>
      <c r="L14" s="45">
        <v>22.1</v>
      </c>
      <c r="M14" s="45">
        <v>22.1</v>
      </c>
      <c r="N14" s="45">
        <v>22.1</v>
      </c>
      <c r="O14" s="45">
        <v>22.1</v>
      </c>
      <c r="P14" s="45">
        <v>22.1</v>
      </c>
      <c r="Q14" s="45">
        <v>22.1</v>
      </c>
      <c r="R14" s="45">
        <v>22.1</v>
      </c>
      <c r="S14" s="45">
        <v>22.1</v>
      </c>
      <c r="T14" s="45">
        <v>22.1</v>
      </c>
      <c r="U14" s="45">
        <v>22.1</v>
      </c>
      <c r="V14" s="45">
        <v>22.1</v>
      </c>
      <c r="W14" s="45">
        <v>22.1</v>
      </c>
      <c r="X14" s="45">
        <v>22.1</v>
      </c>
      <c r="Y14" s="45">
        <v>22.1</v>
      </c>
      <c r="Z14" s="45">
        <v>22.1</v>
      </c>
      <c r="AA14" s="45"/>
      <c r="AB14" s="45"/>
      <c r="AC14" s="45"/>
      <c r="AD14" s="45"/>
      <c r="AE14" s="45">
        <v>24</v>
      </c>
      <c r="AF14" s="45">
        <v>24</v>
      </c>
      <c r="AG14" s="50">
        <v>45</v>
      </c>
      <c r="AH14" s="47">
        <f t="shared" si="2"/>
        <v>24</v>
      </c>
      <c r="AI14" s="48">
        <f t="shared" si="3"/>
        <v>22.1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19</v>
      </c>
      <c r="C15" s="45">
        <v>19</v>
      </c>
      <c r="D15" s="45">
        <v>19</v>
      </c>
      <c r="E15" s="45">
        <v>18</v>
      </c>
      <c r="F15" s="45">
        <v>18</v>
      </c>
      <c r="G15" s="45">
        <v>18</v>
      </c>
      <c r="H15" s="45">
        <v>18</v>
      </c>
      <c r="I15" s="45">
        <v>16</v>
      </c>
      <c r="J15" s="45">
        <v>16</v>
      </c>
      <c r="K15" s="45">
        <v>16</v>
      </c>
      <c r="L15" s="45">
        <v>16</v>
      </c>
      <c r="M15" s="45">
        <v>16</v>
      </c>
      <c r="N15" s="45">
        <v>16</v>
      </c>
      <c r="O15" s="45">
        <v>16</v>
      </c>
      <c r="P15" s="45">
        <v>16</v>
      </c>
      <c r="Q15" s="45">
        <v>16</v>
      </c>
      <c r="R15" s="45">
        <v>16</v>
      </c>
      <c r="S15" s="45">
        <v>16</v>
      </c>
      <c r="T15" s="45">
        <v>16</v>
      </c>
      <c r="U15" s="45">
        <v>16</v>
      </c>
      <c r="V15" s="45">
        <v>16</v>
      </c>
      <c r="W15" s="45">
        <v>16</v>
      </c>
      <c r="X15" s="45">
        <v>16</v>
      </c>
      <c r="Y15" s="45">
        <v>16</v>
      </c>
      <c r="Z15" s="45">
        <v>16</v>
      </c>
      <c r="AA15" s="45"/>
      <c r="AB15" s="45"/>
      <c r="AC15" s="45"/>
      <c r="AD15" s="45"/>
      <c r="AE15" s="45">
        <v>17</v>
      </c>
      <c r="AF15" s="45">
        <v>17</v>
      </c>
      <c r="AG15" s="50">
        <v>42</v>
      </c>
      <c r="AH15" s="47">
        <f t="shared" si="2"/>
        <v>19</v>
      </c>
      <c r="AI15" s="48">
        <f t="shared" si="3"/>
        <v>16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16</v>
      </c>
      <c r="C16" s="45">
        <v>16</v>
      </c>
      <c r="D16" s="45">
        <v>16</v>
      </c>
      <c r="E16" s="45">
        <v>16</v>
      </c>
      <c r="F16" s="45">
        <v>16</v>
      </c>
      <c r="G16" s="45">
        <v>16</v>
      </c>
      <c r="H16" s="45">
        <v>16</v>
      </c>
      <c r="I16" s="45">
        <v>16</v>
      </c>
      <c r="J16" s="45">
        <v>16</v>
      </c>
      <c r="K16" s="45">
        <v>16</v>
      </c>
      <c r="L16" s="45">
        <v>16</v>
      </c>
      <c r="M16" s="45">
        <v>16</v>
      </c>
      <c r="N16" s="45">
        <v>16</v>
      </c>
      <c r="O16" s="45">
        <v>16</v>
      </c>
      <c r="P16" s="45">
        <v>16</v>
      </c>
      <c r="Q16" s="45">
        <v>16</v>
      </c>
      <c r="R16" s="45">
        <v>16</v>
      </c>
      <c r="S16" s="45">
        <v>16</v>
      </c>
      <c r="T16" s="45">
        <v>16</v>
      </c>
      <c r="U16" s="45">
        <v>16</v>
      </c>
      <c r="V16" s="45">
        <v>16</v>
      </c>
      <c r="W16" s="45">
        <v>16</v>
      </c>
      <c r="X16" s="45">
        <v>16</v>
      </c>
      <c r="Y16" s="45">
        <v>16</v>
      </c>
      <c r="Z16" s="45">
        <v>16</v>
      </c>
      <c r="AA16" s="45"/>
      <c r="AB16" s="45"/>
      <c r="AC16" s="45"/>
      <c r="AD16" s="45"/>
      <c r="AE16" s="45">
        <v>16</v>
      </c>
      <c r="AF16" s="45">
        <v>16</v>
      </c>
      <c r="AG16" s="50">
        <v>36</v>
      </c>
      <c r="AH16" s="47">
        <f t="shared" si="2"/>
        <v>16</v>
      </c>
      <c r="AI16" s="48">
        <f t="shared" si="3"/>
        <v>16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10</v>
      </c>
      <c r="C17" s="45">
        <v>10</v>
      </c>
      <c r="D17" s="45">
        <v>10</v>
      </c>
      <c r="E17" s="45">
        <v>10</v>
      </c>
      <c r="F17" s="45">
        <v>10</v>
      </c>
      <c r="G17" s="45">
        <v>10</v>
      </c>
      <c r="H17" s="45">
        <v>10</v>
      </c>
      <c r="I17" s="45">
        <v>10</v>
      </c>
      <c r="J17" s="45">
        <v>10</v>
      </c>
      <c r="K17" s="45">
        <v>10</v>
      </c>
      <c r="L17" s="45">
        <v>10</v>
      </c>
      <c r="M17" s="45">
        <v>10</v>
      </c>
      <c r="N17" s="45">
        <v>10</v>
      </c>
      <c r="O17" s="45">
        <v>10</v>
      </c>
      <c r="P17" s="45">
        <v>10</v>
      </c>
      <c r="Q17" s="45">
        <v>10</v>
      </c>
      <c r="R17" s="45">
        <v>10</v>
      </c>
      <c r="S17" s="45">
        <v>10</v>
      </c>
      <c r="T17" s="45">
        <v>10</v>
      </c>
      <c r="U17" s="45">
        <v>10</v>
      </c>
      <c r="V17" s="45">
        <v>10</v>
      </c>
      <c r="W17" s="45">
        <v>10</v>
      </c>
      <c r="X17" s="45">
        <v>10</v>
      </c>
      <c r="Y17" s="45">
        <v>10</v>
      </c>
      <c r="Z17" s="45">
        <v>10</v>
      </c>
      <c r="AA17" s="45"/>
      <c r="AB17" s="45"/>
      <c r="AC17" s="45"/>
      <c r="AD17" s="45"/>
      <c r="AE17" s="45">
        <v>10</v>
      </c>
      <c r="AF17" s="45">
        <v>10</v>
      </c>
      <c r="AG17" s="50">
        <v>36</v>
      </c>
      <c r="AH17" s="47">
        <f t="shared" si="2"/>
        <v>10</v>
      </c>
      <c r="AI17" s="48">
        <f t="shared" si="3"/>
        <v>10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15.9</v>
      </c>
      <c r="C18" s="45">
        <v>15.9</v>
      </c>
      <c r="D18" s="45">
        <v>15.9</v>
      </c>
      <c r="E18" s="45">
        <v>14.1</v>
      </c>
      <c r="F18" s="45">
        <v>14.1</v>
      </c>
      <c r="G18" s="45">
        <v>14.1</v>
      </c>
      <c r="H18" s="45">
        <v>14.1</v>
      </c>
      <c r="I18" s="45">
        <v>14.1</v>
      </c>
      <c r="J18" s="45">
        <v>14.1</v>
      </c>
      <c r="K18" s="45">
        <v>14.1</v>
      </c>
      <c r="L18" s="45">
        <v>14.1</v>
      </c>
      <c r="M18" s="45">
        <v>14.1</v>
      </c>
      <c r="N18" s="45">
        <v>14.1</v>
      </c>
      <c r="O18" s="45">
        <v>14.1</v>
      </c>
      <c r="P18" s="45">
        <v>14.1</v>
      </c>
      <c r="Q18" s="45">
        <v>14.1</v>
      </c>
      <c r="R18" s="45">
        <v>14.1</v>
      </c>
      <c r="S18" s="45">
        <v>14.1</v>
      </c>
      <c r="T18" s="45">
        <v>14.1</v>
      </c>
      <c r="U18" s="45">
        <v>14.1</v>
      </c>
      <c r="V18" s="45">
        <v>14.1</v>
      </c>
      <c r="W18" s="45">
        <v>14.1</v>
      </c>
      <c r="X18" s="45">
        <v>14.1</v>
      </c>
      <c r="Y18" s="45">
        <v>14.1</v>
      </c>
      <c r="Z18" s="45">
        <v>14.1</v>
      </c>
      <c r="AA18" s="45"/>
      <c r="AB18" s="45"/>
      <c r="AC18" s="45"/>
      <c r="AD18" s="45"/>
      <c r="AE18" s="45">
        <v>14.1</v>
      </c>
      <c r="AF18" s="45">
        <v>14.1</v>
      </c>
      <c r="AG18" s="51">
        <v>30</v>
      </c>
      <c r="AH18" s="47">
        <f t="shared" si="2"/>
        <v>15.9</v>
      </c>
      <c r="AI18" s="48">
        <f t="shared" si="3"/>
        <v>14.1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6.6</v>
      </c>
      <c r="C19" s="45">
        <v>6.6</v>
      </c>
      <c r="D19" s="45">
        <v>6.6</v>
      </c>
      <c r="E19" s="45">
        <v>7.2</v>
      </c>
      <c r="F19" s="45">
        <v>7.2</v>
      </c>
      <c r="G19" s="45">
        <v>7.2</v>
      </c>
      <c r="H19" s="45">
        <v>7.2</v>
      </c>
      <c r="I19" s="45">
        <v>7.2</v>
      </c>
      <c r="J19" s="45">
        <v>7.2</v>
      </c>
      <c r="K19" s="45">
        <v>7.2</v>
      </c>
      <c r="L19" s="45">
        <v>7.2</v>
      </c>
      <c r="M19" s="45">
        <v>7.2</v>
      </c>
      <c r="N19" s="45">
        <v>7.2</v>
      </c>
      <c r="O19" s="45">
        <v>7.2</v>
      </c>
      <c r="P19" s="45">
        <v>7.2</v>
      </c>
      <c r="Q19" s="45">
        <v>7.2</v>
      </c>
      <c r="R19" s="45">
        <v>7.2</v>
      </c>
      <c r="S19" s="45">
        <v>7.2</v>
      </c>
      <c r="T19" s="45">
        <v>7.2</v>
      </c>
      <c r="U19" s="45">
        <v>7.2</v>
      </c>
      <c r="V19" s="45">
        <v>7.2</v>
      </c>
      <c r="W19" s="45">
        <v>7.2</v>
      </c>
      <c r="X19" s="45">
        <v>7.2</v>
      </c>
      <c r="Y19" s="45">
        <v>7.2</v>
      </c>
      <c r="Z19" s="45">
        <v>7.2</v>
      </c>
      <c r="AA19" s="45"/>
      <c r="AB19" s="45"/>
      <c r="AC19" s="45"/>
      <c r="AD19" s="45"/>
      <c r="AE19" s="45">
        <v>7.2</v>
      </c>
      <c r="AF19" s="45">
        <v>7.2</v>
      </c>
      <c r="AG19" s="50">
        <v>24.2</v>
      </c>
      <c r="AH19" s="47">
        <f t="shared" si="2"/>
        <v>7.2</v>
      </c>
      <c r="AI19" s="48">
        <f t="shared" si="3"/>
        <v>6.6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</v>
      </c>
      <c r="C20" s="45">
        <v>9</v>
      </c>
      <c r="D20" s="45">
        <v>9</v>
      </c>
      <c r="E20" s="45">
        <v>9</v>
      </c>
      <c r="F20" s="45">
        <v>9</v>
      </c>
      <c r="G20" s="45">
        <v>9</v>
      </c>
      <c r="H20" s="45">
        <v>9</v>
      </c>
      <c r="I20" s="45">
        <v>9</v>
      </c>
      <c r="J20" s="45">
        <v>9</v>
      </c>
      <c r="K20" s="45">
        <v>9</v>
      </c>
      <c r="L20" s="45">
        <v>9</v>
      </c>
      <c r="M20" s="45">
        <v>9</v>
      </c>
      <c r="N20" s="45">
        <v>9</v>
      </c>
      <c r="O20" s="45">
        <v>9</v>
      </c>
      <c r="P20" s="45">
        <v>9</v>
      </c>
      <c r="Q20" s="45">
        <v>9</v>
      </c>
      <c r="R20" s="45">
        <v>9</v>
      </c>
      <c r="S20" s="45">
        <v>9</v>
      </c>
      <c r="T20" s="45">
        <v>9</v>
      </c>
      <c r="U20" s="45">
        <v>9</v>
      </c>
      <c r="V20" s="45">
        <v>9</v>
      </c>
      <c r="W20" s="45">
        <v>9</v>
      </c>
      <c r="X20" s="45">
        <v>9</v>
      </c>
      <c r="Y20" s="45">
        <v>9</v>
      </c>
      <c r="Z20" s="45">
        <v>9</v>
      </c>
      <c r="AA20" s="45"/>
      <c r="AB20" s="45"/>
      <c r="AC20" s="45"/>
      <c r="AD20" s="45"/>
      <c r="AE20" s="45">
        <v>9</v>
      </c>
      <c r="AF20" s="45">
        <v>9</v>
      </c>
      <c r="AG20" s="50">
        <v>28</v>
      </c>
      <c r="AH20" s="47">
        <f t="shared" si="2"/>
        <v>9</v>
      </c>
      <c r="AI20" s="48">
        <f t="shared" si="3"/>
        <v>9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8</v>
      </c>
      <c r="C21" s="45">
        <v>8</v>
      </c>
      <c r="D21" s="45">
        <v>8</v>
      </c>
      <c r="E21" s="45">
        <v>8</v>
      </c>
      <c r="F21" s="45">
        <v>8</v>
      </c>
      <c r="G21" s="45">
        <v>8</v>
      </c>
      <c r="H21" s="45">
        <v>8</v>
      </c>
      <c r="I21" s="45">
        <v>8</v>
      </c>
      <c r="J21" s="45">
        <v>8</v>
      </c>
      <c r="K21" s="45">
        <v>8</v>
      </c>
      <c r="L21" s="45">
        <v>8</v>
      </c>
      <c r="M21" s="45">
        <v>8</v>
      </c>
      <c r="N21" s="45">
        <v>8</v>
      </c>
      <c r="O21" s="45">
        <v>8</v>
      </c>
      <c r="P21" s="45">
        <v>8</v>
      </c>
      <c r="Q21" s="45">
        <v>8</v>
      </c>
      <c r="R21" s="45">
        <v>8</v>
      </c>
      <c r="S21" s="45">
        <v>8</v>
      </c>
      <c r="T21" s="45">
        <v>8</v>
      </c>
      <c r="U21" s="45">
        <v>8</v>
      </c>
      <c r="V21" s="45">
        <v>8</v>
      </c>
      <c r="W21" s="45">
        <v>8</v>
      </c>
      <c r="X21" s="45">
        <v>8</v>
      </c>
      <c r="Y21" s="45">
        <v>8</v>
      </c>
      <c r="Z21" s="45">
        <v>8</v>
      </c>
      <c r="AA21" s="45"/>
      <c r="AB21" s="45"/>
      <c r="AC21" s="45"/>
      <c r="AD21" s="45"/>
      <c r="AE21" s="45">
        <v>8</v>
      </c>
      <c r="AF21" s="45">
        <v>8</v>
      </c>
      <c r="AG21" s="51">
        <v>30</v>
      </c>
      <c r="AH21" s="47">
        <f t="shared" si="2"/>
        <v>8</v>
      </c>
      <c r="AI21" s="48">
        <f t="shared" si="3"/>
        <v>8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10.199999999999999</v>
      </c>
      <c r="C22" s="45">
        <v>10.199999999999999</v>
      </c>
      <c r="D22" s="45">
        <v>10.199999999999999</v>
      </c>
      <c r="E22" s="45">
        <v>10.199999999999999</v>
      </c>
      <c r="F22" s="45">
        <v>10.199999999999999</v>
      </c>
      <c r="G22" s="45">
        <v>10.199999999999999</v>
      </c>
      <c r="H22" s="45">
        <v>10.199999999999999</v>
      </c>
      <c r="I22" s="45">
        <v>10.199999999999999</v>
      </c>
      <c r="J22" s="45">
        <v>10.199999999999999</v>
      </c>
      <c r="K22" s="45">
        <v>10.199999999999999</v>
      </c>
      <c r="L22" s="45">
        <v>10.199999999999999</v>
      </c>
      <c r="M22" s="45">
        <v>10.199999999999999</v>
      </c>
      <c r="N22" s="45">
        <v>10.199999999999999</v>
      </c>
      <c r="O22" s="45">
        <v>10.199999999999999</v>
      </c>
      <c r="P22" s="45">
        <v>10.199999999999999</v>
      </c>
      <c r="Q22" s="45">
        <v>10.199999999999999</v>
      </c>
      <c r="R22" s="45">
        <v>10.199999999999999</v>
      </c>
      <c r="S22" s="45">
        <v>10.199999999999999</v>
      </c>
      <c r="T22" s="45">
        <v>10.199999999999999</v>
      </c>
      <c r="U22" s="45">
        <v>10.199999999999999</v>
      </c>
      <c r="V22" s="45">
        <v>10.199999999999999</v>
      </c>
      <c r="W22" s="45">
        <v>10.199999999999999</v>
      </c>
      <c r="X22" s="45">
        <v>10.199999999999999</v>
      </c>
      <c r="Y22" s="45">
        <v>10.199999999999999</v>
      </c>
      <c r="Z22" s="45">
        <v>10.199999999999999</v>
      </c>
      <c r="AA22" s="45"/>
      <c r="AB22" s="45"/>
      <c r="AC22" s="45"/>
      <c r="AD22" s="45"/>
      <c r="AE22" s="45">
        <v>10.199999999999999</v>
      </c>
      <c r="AF22" s="45">
        <v>10.199999999999999</v>
      </c>
      <c r="AG22" s="50">
        <v>25</v>
      </c>
      <c r="AH22" s="47">
        <f t="shared" si="2"/>
        <v>10.199999999999999</v>
      </c>
      <c r="AI22" s="48">
        <f t="shared" si="3"/>
        <v>10.199999999999999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8.5</v>
      </c>
      <c r="C23" s="45">
        <v>8.5</v>
      </c>
      <c r="D23" s="45">
        <v>8.5</v>
      </c>
      <c r="E23" s="45">
        <v>8.5</v>
      </c>
      <c r="F23" s="45">
        <v>8.5</v>
      </c>
      <c r="G23" s="45">
        <v>8.5</v>
      </c>
      <c r="H23" s="45">
        <v>8.5</v>
      </c>
      <c r="I23" s="45">
        <v>8.5</v>
      </c>
      <c r="J23" s="45">
        <v>8.5</v>
      </c>
      <c r="K23" s="45">
        <v>8.5</v>
      </c>
      <c r="L23" s="45">
        <v>8.5</v>
      </c>
      <c r="M23" s="45">
        <v>8.5</v>
      </c>
      <c r="N23" s="45">
        <v>8.5</v>
      </c>
      <c r="O23" s="45">
        <v>8.5</v>
      </c>
      <c r="P23" s="45">
        <v>8.5</v>
      </c>
      <c r="Q23" s="45">
        <v>8.5</v>
      </c>
      <c r="R23" s="45">
        <v>8.5</v>
      </c>
      <c r="S23" s="45">
        <v>8.5</v>
      </c>
      <c r="T23" s="45">
        <v>8.5</v>
      </c>
      <c r="U23" s="45">
        <v>8.5</v>
      </c>
      <c r="V23" s="45">
        <v>8.5</v>
      </c>
      <c r="W23" s="45">
        <v>8.5</v>
      </c>
      <c r="X23" s="45">
        <v>8.5</v>
      </c>
      <c r="Y23" s="45">
        <v>8.5</v>
      </c>
      <c r="Z23" s="45">
        <v>8.5</v>
      </c>
      <c r="AA23" s="45"/>
      <c r="AB23" s="45"/>
      <c r="AC23" s="45"/>
      <c r="AD23" s="45"/>
      <c r="AE23" s="45">
        <v>8.5</v>
      </c>
      <c r="AF23" s="45">
        <v>8.5</v>
      </c>
      <c r="AG23" s="50">
        <v>25</v>
      </c>
      <c r="AH23" s="47">
        <f t="shared" si="2"/>
        <v>8.5</v>
      </c>
      <c r="AI23" s="48">
        <f t="shared" si="3"/>
        <v>8.5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5.5</v>
      </c>
      <c r="C24" s="45">
        <v>5.5</v>
      </c>
      <c r="D24" s="45">
        <v>5.5</v>
      </c>
      <c r="E24" s="45">
        <v>5.5</v>
      </c>
      <c r="F24" s="45">
        <v>5.5</v>
      </c>
      <c r="G24" s="45">
        <v>5.5</v>
      </c>
      <c r="H24" s="45">
        <v>5.5</v>
      </c>
      <c r="I24" s="45">
        <v>5.5</v>
      </c>
      <c r="J24" s="45">
        <v>5.5</v>
      </c>
      <c r="K24" s="45">
        <v>5.5</v>
      </c>
      <c r="L24" s="45">
        <v>5.5</v>
      </c>
      <c r="M24" s="45">
        <v>5.5</v>
      </c>
      <c r="N24" s="45">
        <v>5.5</v>
      </c>
      <c r="O24" s="45">
        <v>5.5</v>
      </c>
      <c r="P24" s="45">
        <v>5.5</v>
      </c>
      <c r="Q24" s="45">
        <v>5.5</v>
      </c>
      <c r="R24" s="45">
        <v>5.5</v>
      </c>
      <c r="S24" s="45">
        <v>5.5</v>
      </c>
      <c r="T24" s="45">
        <v>5.5</v>
      </c>
      <c r="U24" s="45">
        <v>5.5</v>
      </c>
      <c r="V24" s="45">
        <v>5.5</v>
      </c>
      <c r="W24" s="45">
        <v>5.5</v>
      </c>
      <c r="X24" s="45">
        <v>5.5</v>
      </c>
      <c r="Y24" s="45">
        <v>5.5</v>
      </c>
      <c r="Z24" s="45">
        <v>5.5</v>
      </c>
      <c r="AA24" s="45"/>
      <c r="AB24" s="45"/>
      <c r="AC24" s="45"/>
      <c r="AD24" s="45"/>
      <c r="AE24" s="45">
        <v>5.5</v>
      </c>
      <c r="AF24" s="45">
        <v>5.5</v>
      </c>
      <c r="AG24" s="50">
        <v>25</v>
      </c>
      <c r="AH24" s="47">
        <f t="shared" si="2"/>
        <v>5.5</v>
      </c>
      <c r="AI24" s="48">
        <f t="shared" si="3"/>
        <v>5.5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/>
      <c r="AB25" s="45"/>
      <c r="AC25" s="45"/>
      <c r="AD25" s="45"/>
      <c r="AE25" s="45">
        <v>7</v>
      </c>
      <c r="AF25" s="45">
        <v>7</v>
      </c>
      <c r="AG25" s="50">
        <v>25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6.9</v>
      </c>
      <c r="C26" s="45">
        <v>6.9</v>
      </c>
      <c r="D26" s="45">
        <v>6.9</v>
      </c>
      <c r="E26" s="45">
        <v>6.9</v>
      </c>
      <c r="F26" s="45">
        <v>6.9</v>
      </c>
      <c r="G26" s="45">
        <v>6.9</v>
      </c>
      <c r="H26" s="45">
        <v>6.9</v>
      </c>
      <c r="I26" s="45">
        <v>6.9</v>
      </c>
      <c r="J26" s="45">
        <v>6.9</v>
      </c>
      <c r="K26" s="45">
        <v>6.9</v>
      </c>
      <c r="L26" s="45">
        <v>6.9</v>
      </c>
      <c r="M26" s="45">
        <v>6.9</v>
      </c>
      <c r="N26" s="45">
        <v>6.9</v>
      </c>
      <c r="O26" s="45">
        <v>6.9</v>
      </c>
      <c r="P26" s="45">
        <v>6.9</v>
      </c>
      <c r="Q26" s="45">
        <v>6.9</v>
      </c>
      <c r="R26" s="45">
        <v>6.9</v>
      </c>
      <c r="S26" s="45">
        <v>6.9</v>
      </c>
      <c r="T26" s="45">
        <v>6.9</v>
      </c>
      <c r="U26" s="45">
        <v>6.9</v>
      </c>
      <c r="V26" s="45">
        <v>6.9</v>
      </c>
      <c r="W26" s="45">
        <v>6.9</v>
      </c>
      <c r="X26" s="45">
        <v>6.9</v>
      </c>
      <c r="Y26" s="45">
        <v>6.9</v>
      </c>
      <c r="Z26" s="45">
        <v>6.9</v>
      </c>
      <c r="AA26" s="45"/>
      <c r="AB26" s="45"/>
      <c r="AC26" s="45"/>
      <c r="AD26" s="45"/>
      <c r="AE26" s="45">
        <v>6.9</v>
      </c>
      <c r="AF26" s="45">
        <v>6.9</v>
      </c>
      <c r="AG26" s="50">
        <v>23.5</v>
      </c>
      <c r="AH26" s="47">
        <f t="shared" si="2"/>
        <v>6.9</v>
      </c>
      <c r="AI26" s="48">
        <f t="shared" si="3"/>
        <v>6.9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>
        <v>3</v>
      </c>
      <c r="Y27" s="45">
        <v>3</v>
      </c>
      <c r="Z27" s="45">
        <v>3</v>
      </c>
      <c r="AA27" s="45"/>
      <c r="AB27" s="45"/>
      <c r="AC27" s="45"/>
      <c r="AD27" s="45"/>
      <c r="AE27" s="45">
        <v>3</v>
      </c>
      <c r="AF27" s="45">
        <v>3</v>
      </c>
      <c r="AG27" s="50">
        <v>22.2</v>
      </c>
      <c r="AH27" s="47">
        <f t="shared" si="2"/>
        <v>3</v>
      </c>
      <c r="AI27" s="48">
        <f t="shared" si="3"/>
        <v>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/>
      <c r="AB28" s="45"/>
      <c r="AC28" s="45"/>
      <c r="AD28" s="45"/>
      <c r="AE28" s="45">
        <v>3.5</v>
      </c>
      <c r="AF28" s="45">
        <v>3.5</v>
      </c>
      <c r="AG28" s="50">
        <v>22.1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/>
      <c r="AB29" s="45"/>
      <c r="AC29" s="45"/>
      <c r="AD29" s="45"/>
      <c r="AE29" s="45">
        <v>3</v>
      </c>
      <c r="AF29" s="45">
        <v>3</v>
      </c>
      <c r="AG29" s="50">
        <v>22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11</v>
      </c>
      <c r="C30" s="45">
        <v>11</v>
      </c>
      <c r="D30" s="45">
        <v>11</v>
      </c>
      <c r="E30" s="45">
        <v>11</v>
      </c>
      <c r="F30" s="45">
        <v>11</v>
      </c>
      <c r="G30" s="45">
        <v>11</v>
      </c>
      <c r="H30" s="45">
        <v>8.9</v>
      </c>
      <c r="I30" s="45">
        <v>8.9</v>
      </c>
      <c r="J30" s="45">
        <v>8.9</v>
      </c>
      <c r="K30" s="45">
        <v>8.9</v>
      </c>
      <c r="L30" s="45">
        <v>8.9</v>
      </c>
      <c r="M30" s="45">
        <v>8.9</v>
      </c>
      <c r="N30" s="45">
        <v>8.9</v>
      </c>
      <c r="O30" s="45">
        <v>8.9</v>
      </c>
      <c r="P30" s="45">
        <v>8.9</v>
      </c>
      <c r="Q30" s="45">
        <v>8.9</v>
      </c>
      <c r="R30" s="45">
        <v>8.9</v>
      </c>
      <c r="S30" s="45">
        <v>8.9</v>
      </c>
      <c r="T30" s="45">
        <v>8.9</v>
      </c>
      <c r="U30" s="45">
        <v>8.9</v>
      </c>
      <c r="V30" s="45">
        <v>8.9</v>
      </c>
      <c r="W30" s="45">
        <v>8.9</v>
      </c>
      <c r="X30" s="45">
        <v>8.9</v>
      </c>
      <c r="Y30" s="45">
        <v>8.9</v>
      </c>
      <c r="Z30" s="45">
        <v>8.9</v>
      </c>
      <c r="AA30" s="45"/>
      <c r="AB30" s="45"/>
      <c r="AC30" s="45"/>
      <c r="AD30" s="45"/>
      <c r="AE30" s="45">
        <v>8.9</v>
      </c>
      <c r="AF30" s="45">
        <v>8.9</v>
      </c>
      <c r="AG30" s="50">
        <v>22</v>
      </c>
      <c r="AH30" s="47">
        <f t="shared" si="2"/>
        <v>11</v>
      </c>
      <c r="AI30" s="48">
        <f t="shared" si="3"/>
        <v>8.9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>
        <v>7</v>
      </c>
      <c r="Q31" s="45">
        <v>7</v>
      </c>
      <c r="R31" s="45">
        <v>7</v>
      </c>
      <c r="S31" s="45">
        <v>7</v>
      </c>
      <c r="T31" s="45">
        <v>7</v>
      </c>
      <c r="U31" s="45">
        <v>7</v>
      </c>
      <c r="V31" s="45">
        <v>7</v>
      </c>
      <c r="W31" s="45">
        <v>7</v>
      </c>
      <c r="X31" s="45">
        <v>7</v>
      </c>
      <c r="Y31" s="45">
        <v>7</v>
      </c>
      <c r="Z31" s="45">
        <v>7</v>
      </c>
      <c r="AA31" s="45"/>
      <c r="AB31" s="45"/>
      <c r="AC31" s="45"/>
      <c r="AD31" s="45"/>
      <c r="AE31" s="45">
        <v>7</v>
      </c>
      <c r="AF31" s="45">
        <v>7</v>
      </c>
      <c r="AG31" s="50">
        <v>20</v>
      </c>
      <c r="AH31" s="47">
        <f t="shared" si="2"/>
        <v>7</v>
      </c>
      <c r="AI31" s="48">
        <f t="shared" si="3"/>
        <v>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4</v>
      </c>
      <c r="C32" s="45">
        <v>4</v>
      </c>
      <c r="D32" s="45">
        <v>4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45">
        <v>4</v>
      </c>
      <c r="L32" s="45">
        <v>4</v>
      </c>
      <c r="M32" s="45">
        <v>4</v>
      </c>
      <c r="N32" s="45">
        <v>4</v>
      </c>
      <c r="O32" s="45">
        <v>4</v>
      </c>
      <c r="P32" s="45">
        <v>4</v>
      </c>
      <c r="Q32" s="45">
        <v>4</v>
      </c>
      <c r="R32" s="45">
        <v>4</v>
      </c>
      <c r="S32" s="45">
        <v>4</v>
      </c>
      <c r="T32" s="45">
        <v>4</v>
      </c>
      <c r="U32" s="45">
        <v>4</v>
      </c>
      <c r="V32" s="45">
        <v>4</v>
      </c>
      <c r="W32" s="45">
        <v>4</v>
      </c>
      <c r="X32" s="45">
        <v>4</v>
      </c>
      <c r="Y32" s="45">
        <v>4</v>
      </c>
      <c r="Z32" s="45">
        <v>4</v>
      </c>
      <c r="AA32" s="45"/>
      <c r="AB32" s="45"/>
      <c r="AC32" s="45"/>
      <c r="AD32" s="45"/>
      <c r="AE32" s="45">
        <v>4</v>
      </c>
      <c r="AF32" s="45">
        <v>4</v>
      </c>
      <c r="AG32" s="50">
        <v>18</v>
      </c>
      <c r="AH32" s="47">
        <f t="shared" si="2"/>
        <v>4</v>
      </c>
      <c r="AI32" s="48">
        <f t="shared" si="3"/>
        <v>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/>
      <c r="AB33" s="45"/>
      <c r="AC33" s="45"/>
      <c r="AD33" s="45"/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/>
      <c r="AB34" s="45"/>
      <c r="AC34" s="45"/>
      <c r="AD34" s="45"/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2</v>
      </c>
      <c r="C35" s="45">
        <v>2</v>
      </c>
      <c r="D35" s="45">
        <v>2</v>
      </c>
      <c r="E35" s="45">
        <v>2</v>
      </c>
      <c r="F35" s="45">
        <v>2</v>
      </c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>
        <v>2</v>
      </c>
      <c r="Q35" s="45">
        <v>2</v>
      </c>
      <c r="R35" s="45">
        <v>2</v>
      </c>
      <c r="S35" s="45">
        <v>2</v>
      </c>
      <c r="T35" s="45">
        <v>2</v>
      </c>
      <c r="U35" s="45">
        <v>2</v>
      </c>
      <c r="V35" s="45">
        <v>2</v>
      </c>
      <c r="W35" s="45">
        <v>2</v>
      </c>
      <c r="X35" s="45">
        <v>2</v>
      </c>
      <c r="Y35" s="45">
        <v>2</v>
      </c>
      <c r="Z35" s="45">
        <v>2</v>
      </c>
      <c r="AA35" s="45"/>
      <c r="AB35" s="45"/>
      <c r="AC35" s="45"/>
      <c r="AD35" s="45"/>
      <c r="AE35" s="45">
        <v>2</v>
      </c>
      <c r="AF35" s="45">
        <v>2</v>
      </c>
      <c r="AG35" s="50">
        <v>13.6</v>
      </c>
      <c r="AH35" s="47">
        <f t="shared" si="2"/>
        <v>2</v>
      </c>
      <c r="AI35" s="48">
        <f t="shared" si="3"/>
        <v>2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2.9</v>
      </c>
      <c r="C36" s="45">
        <v>2.9</v>
      </c>
      <c r="D36" s="45">
        <v>2.9</v>
      </c>
      <c r="E36" s="45">
        <v>2.9</v>
      </c>
      <c r="F36" s="45">
        <v>2.9</v>
      </c>
      <c r="G36" s="45">
        <v>2.9</v>
      </c>
      <c r="H36" s="45">
        <v>2.9</v>
      </c>
      <c r="I36" s="45">
        <v>2.9</v>
      </c>
      <c r="J36" s="45">
        <v>2.9</v>
      </c>
      <c r="K36" s="45">
        <v>2.9</v>
      </c>
      <c r="L36" s="45">
        <v>2.9</v>
      </c>
      <c r="M36" s="45">
        <v>2.9</v>
      </c>
      <c r="N36" s="45">
        <v>2.9</v>
      </c>
      <c r="O36" s="45">
        <v>2.9</v>
      </c>
      <c r="P36" s="45">
        <v>2.9</v>
      </c>
      <c r="Q36" s="45">
        <v>2.9</v>
      </c>
      <c r="R36" s="45">
        <v>2.9</v>
      </c>
      <c r="S36" s="45">
        <v>2.9</v>
      </c>
      <c r="T36" s="45">
        <v>2.9</v>
      </c>
      <c r="U36" s="45">
        <v>2.9</v>
      </c>
      <c r="V36" s="45">
        <v>2.9</v>
      </c>
      <c r="W36" s="45">
        <v>2.9</v>
      </c>
      <c r="X36" s="45">
        <v>2.9</v>
      </c>
      <c r="Y36" s="45">
        <v>2.9</v>
      </c>
      <c r="Z36" s="45">
        <v>2.9</v>
      </c>
      <c r="AA36" s="45"/>
      <c r="AB36" s="45"/>
      <c r="AC36" s="45"/>
      <c r="AD36" s="45"/>
      <c r="AE36" s="45">
        <v>2.9</v>
      </c>
      <c r="AF36" s="45">
        <v>2.9</v>
      </c>
      <c r="AG36" s="50">
        <v>13</v>
      </c>
      <c r="AH36" s="47">
        <f t="shared" si="2"/>
        <v>2.9</v>
      </c>
      <c r="AI36" s="48">
        <f t="shared" si="3"/>
        <v>2.9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/>
      <c r="AB37" s="45"/>
      <c r="AC37" s="45"/>
      <c r="AD37" s="45"/>
      <c r="AE37" s="45">
        <v>4</v>
      </c>
      <c r="AF37" s="45">
        <v>4</v>
      </c>
      <c r="AG37" s="50">
        <v>12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4</v>
      </c>
      <c r="C38" s="45">
        <v>4</v>
      </c>
      <c r="D38" s="45">
        <v>4</v>
      </c>
      <c r="E38" s="45">
        <v>4</v>
      </c>
      <c r="F38" s="45">
        <v>4</v>
      </c>
      <c r="G38" s="45">
        <v>4</v>
      </c>
      <c r="H38" s="45">
        <v>4</v>
      </c>
      <c r="I38" s="45">
        <v>4</v>
      </c>
      <c r="J38" s="45">
        <v>4</v>
      </c>
      <c r="K38" s="45">
        <v>4</v>
      </c>
      <c r="L38" s="45">
        <v>4</v>
      </c>
      <c r="M38" s="45">
        <v>4</v>
      </c>
      <c r="N38" s="45">
        <v>4</v>
      </c>
      <c r="O38" s="45">
        <v>4</v>
      </c>
      <c r="P38" s="45">
        <v>4</v>
      </c>
      <c r="Q38" s="45">
        <v>4</v>
      </c>
      <c r="R38" s="45">
        <v>4</v>
      </c>
      <c r="S38" s="45">
        <v>4</v>
      </c>
      <c r="T38" s="45">
        <v>4</v>
      </c>
      <c r="U38" s="45">
        <v>4</v>
      </c>
      <c r="V38" s="45">
        <v>4</v>
      </c>
      <c r="W38" s="45">
        <v>4</v>
      </c>
      <c r="X38" s="45">
        <v>4</v>
      </c>
      <c r="Y38" s="45">
        <v>4</v>
      </c>
      <c r="Z38" s="45">
        <v>4</v>
      </c>
      <c r="AA38" s="45"/>
      <c r="AB38" s="45"/>
      <c r="AC38" s="45"/>
      <c r="AD38" s="45"/>
      <c r="AE38" s="45">
        <v>4</v>
      </c>
      <c r="AF38" s="45">
        <v>4</v>
      </c>
      <c r="AG38" s="50">
        <v>12</v>
      </c>
      <c r="AH38" s="47">
        <f t="shared" si="2"/>
        <v>4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/>
      <c r="AB39" s="45"/>
      <c r="AC39" s="45"/>
      <c r="AD39" s="45"/>
      <c r="AE39" s="45">
        <v>3</v>
      </c>
      <c r="AF39" s="45">
        <v>3</v>
      </c>
      <c r="AG39" s="50">
        <v>12</v>
      </c>
      <c r="AH39" s="47">
        <f t="shared" si="2"/>
        <v>3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/>
      <c r="AB40" s="45"/>
      <c r="AC40" s="45"/>
      <c r="AD40" s="45"/>
      <c r="AE40" s="45">
        <v>2</v>
      </c>
      <c r="AF40" s="45">
        <v>2</v>
      </c>
      <c r="AG40" s="52">
        <v>22</v>
      </c>
      <c r="AH40" s="47">
        <f t="shared" si="2"/>
        <v>2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>
        <v>3.6</v>
      </c>
      <c r="Q41" s="45">
        <v>3.6</v>
      </c>
      <c r="R41" s="45">
        <v>3.6</v>
      </c>
      <c r="S41" s="45">
        <v>3.6</v>
      </c>
      <c r="T41" s="45">
        <v>3.6</v>
      </c>
      <c r="U41" s="45">
        <v>3.6</v>
      </c>
      <c r="V41" s="45">
        <v>3.6</v>
      </c>
      <c r="W41" s="45">
        <v>3.6</v>
      </c>
      <c r="X41" s="45">
        <v>3.6</v>
      </c>
      <c r="Y41" s="45">
        <v>3.6</v>
      </c>
      <c r="Z41" s="45">
        <v>3.6</v>
      </c>
      <c r="AA41" s="45"/>
      <c r="AB41" s="45"/>
      <c r="AC41" s="45"/>
      <c r="AD41" s="45"/>
      <c r="AE41" s="45">
        <v>3.6</v>
      </c>
      <c r="AF41" s="45">
        <v>3.6</v>
      </c>
      <c r="AG41" s="51">
        <v>11.88</v>
      </c>
      <c r="AH41" s="47">
        <f t="shared" si="2"/>
        <v>3.6</v>
      </c>
      <c r="AI41" s="48">
        <f t="shared" si="3"/>
        <v>3.6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/>
      <c r="AB42" s="45"/>
      <c r="AC42" s="45"/>
      <c r="AD42" s="45"/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3</v>
      </c>
      <c r="C43" s="45">
        <v>3</v>
      </c>
      <c r="D43" s="45">
        <v>3</v>
      </c>
      <c r="E43" s="45">
        <v>3</v>
      </c>
      <c r="F43" s="45">
        <v>3</v>
      </c>
      <c r="G43" s="45">
        <v>3</v>
      </c>
      <c r="H43" s="45">
        <v>3</v>
      </c>
      <c r="I43" s="45">
        <v>3</v>
      </c>
      <c r="J43" s="45">
        <v>3</v>
      </c>
      <c r="K43" s="45">
        <v>3</v>
      </c>
      <c r="L43" s="45">
        <v>3</v>
      </c>
      <c r="M43" s="45">
        <v>3</v>
      </c>
      <c r="N43" s="45">
        <v>3</v>
      </c>
      <c r="O43" s="45">
        <v>3</v>
      </c>
      <c r="P43" s="45">
        <v>3</v>
      </c>
      <c r="Q43" s="45">
        <v>3</v>
      </c>
      <c r="R43" s="45">
        <v>3</v>
      </c>
      <c r="S43" s="45">
        <v>3</v>
      </c>
      <c r="T43" s="45">
        <v>3</v>
      </c>
      <c r="U43" s="45">
        <v>3</v>
      </c>
      <c r="V43" s="45">
        <v>3</v>
      </c>
      <c r="W43" s="45">
        <v>3</v>
      </c>
      <c r="X43" s="45">
        <v>3</v>
      </c>
      <c r="Y43" s="45">
        <v>3</v>
      </c>
      <c r="Z43" s="45">
        <v>3</v>
      </c>
      <c r="AA43" s="45"/>
      <c r="AB43" s="45"/>
      <c r="AC43" s="45"/>
      <c r="AD43" s="45"/>
      <c r="AE43" s="45">
        <v>3</v>
      </c>
      <c r="AF43" s="45">
        <v>3</v>
      </c>
      <c r="AG43" s="54">
        <v>10</v>
      </c>
      <c r="AH43" s="47">
        <f t="shared" si="2"/>
        <v>3</v>
      </c>
      <c r="AI43" s="48">
        <f t="shared" si="3"/>
        <v>3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>
        <v>3</v>
      </c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>
        <v>3</v>
      </c>
      <c r="Y44" s="45">
        <v>3</v>
      </c>
      <c r="Z44" s="45">
        <v>3</v>
      </c>
      <c r="AA44" s="45"/>
      <c r="AB44" s="45"/>
      <c r="AC44" s="45"/>
      <c r="AD44" s="45"/>
      <c r="AE44" s="45">
        <v>3</v>
      </c>
      <c r="AF44" s="45">
        <v>3</v>
      </c>
      <c r="AG44" s="54">
        <v>10</v>
      </c>
      <c r="AH44" s="47">
        <f t="shared" si="2"/>
        <v>3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/>
      <c r="AB45" s="45"/>
      <c r="AC45" s="45"/>
      <c r="AD45" s="45"/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150</v>
      </c>
      <c r="C46" s="56">
        <v>150</v>
      </c>
      <c r="D46" s="56">
        <v>150</v>
      </c>
      <c r="E46" s="56">
        <v>150</v>
      </c>
      <c r="F46" s="56">
        <v>150</v>
      </c>
      <c r="G46" s="56">
        <v>150</v>
      </c>
      <c r="H46" s="56">
        <v>150</v>
      </c>
      <c r="I46" s="56">
        <v>150</v>
      </c>
      <c r="J46" s="56">
        <v>150</v>
      </c>
      <c r="K46" s="56">
        <v>150</v>
      </c>
      <c r="L46" s="56">
        <v>150</v>
      </c>
      <c r="M46" s="56">
        <v>150</v>
      </c>
      <c r="N46" s="56">
        <v>150</v>
      </c>
      <c r="O46" s="56">
        <v>150</v>
      </c>
      <c r="P46" s="56">
        <v>150</v>
      </c>
      <c r="Q46" s="56">
        <v>150</v>
      </c>
      <c r="R46" s="56">
        <v>150</v>
      </c>
      <c r="S46" s="56">
        <v>150</v>
      </c>
      <c r="T46" s="56">
        <v>150</v>
      </c>
      <c r="U46" s="56">
        <v>150</v>
      </c>
      <c r="V46" s="56">
        <v>150</v>
      </c>
      <c r="W46" s="56">
        <v>150</v>
      </c>
      <c r="X46" s="56">
        <v>150</v>
      </c>
      <c r="Y46" s="56">
        <v>150</v>
      </c>
      <c r="Z46" s="56">
        <v>150</v>
      </c>
      <c r="AA46" s="56"/>
      <c r="AB46" s="56"/>
      <c r="AC46" s="56"/>
      <c r="AD46" s="56"/>
      <c r="AE46" s="56">
        <v>150</v>
      </c>
      <c r="AF46" s="56">
        <v>150</v>
      </c>
      <c r="AG46" s="54">
        <v>85</v>
      </c>
      <c r="AH46" s="47">
        <f t="shared" si="2"/>
        <v>150</v>
      </c>
      <c r="AI46" s="48">
        <f t="shared" si="3"/>
        <v>150</v>
      </c>
      <c r="AK46" s="49"/>
    </row>
    <row r="47" spans="1:88" ht="15.75" thickBot="1" x14ac:dyDescent="0.3">
      <c r="A47" s="57" t="s">
        <v>55</v>
      </c>
      <c r="B47" s="56"/>
      <c r="C47" s="58"/>
      <c r="D47" s="58"/>
      <c r="E47" s="58"/>
      <c r="F47" s="58"/>
      <c r="G47" s="58"/>
      <c r="H47" s="58"/>
      <c r="I47" s="58"/>
      <c r="J47" s="58">
        <v>35</v>
      </c>
      <c r="K47" s="58">
        <v>35</v>
      </c>
      <c r="L47" s="58">
        <v>35</v>
      </c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35</v>
      </c>
      <c r="AI47" s="48">
        <f t="shared" si="3"/>
        <v>35</v>
      </c>
      <c r="AK47" s="49"/>
    </row>
    <row r="48" spans="1:88" ht="15.75" thickBot="1" x14ac:dyDescent="0.3">
      <c r="A48" s="59" t="s">
        <v>56</v>
      </c>
      <c r="B48" s="60">
        <f>SUM(B11:B46)</f>
        <v>460.2</v>
      </c>
      <c r="C48" s="60">
        <f t="shared" ref="C48:AF48" si="4">SUM(C11:C46)</f>
        <v>463.59999999999997</v>
      </c>
      <c r="D48" s="60">
        <f t="shared" si="4"/>
        <v>463.59999999999997</v>
      </c>
      <c r="E48" s="60">
        <f t="shared" si="4"/>
        <v>462.79999999999995</v>
      </c>
      <c r="F48" s="60">
        <f t="shared" si="4"/>
        <v>462.79999999999995</v>
      </c>
      <c r="G48" s="60">
        <f>SUM(G11:G46)</f>
        <v>464.4</v>
      </c>
      <c r="H48" s="60">
        <f t="shared" si="4"/>
        <v>462.3</v>
      </c>
      <c r="I48" s="60">
        <f t="shared" si="4"/>
        <v>453.59999999999997</v>
      </c>
      <c r="J48" s="60">
        <f t="shared" si="4"/>
        <v>453.59999999999997</v>
      </c>
      <c r="K48" s="60">
        <f t="shared" si="4"/>
        <v>453.59999999999997</v>
      </c>
      <c r="L48" s="60">
        <f t="shared" si="4"/>
        <v>453.59999999999997</v>
      </c>
      <c r="M48" s="60">
        <f t="shared" si="4"/>
        <v>453.59999999999997</v>
      </c>
      <c r="N48" s="60">
        <f t="shared" si="4"/>
        <v>453.59999999999997</v>
      </c>
      <c r="O48" s="60">
        <f t="shared" si="4"/>
        <v>453.59999999999997</v>
      </c>
      <c r="P48" s="60">
        <f t="shared" si="4"/>
        <v>453.59999999999997</v>
      </c>
      <c r="Q48" s="60">
        <f t="shared" si="4"/>
        <v>453.59999999999997</v>
      </c>
      <c r="R48" s="60">
        <f t="shared" si="4"/>
        <v>453.59999999999997</v>
      </c>
      <c r="S48" s="60">
        <f t="shared" si="4"/>
        <v>453.59999999999997</v>
      </c>
      <c r="T48" s="60">
        <f t="shared" si="4"/>
        <v>466.59999999999997</v>
      </c>
      <c r="U48" s="60">
        <f t="shared" si="4"/>
        <v>466.59999999999997</v>
      </c>
      <c r="V48" s="60">
        <f t="shared" si="4"/>
        <v>466.59999999999997</v>
      </c>
      <c r="W48" s="60">
        <f t="shared" si="4"/>
        <v>451.59999999999997</v>
      </c>
      <c r="X48" s="60">
        <f t="shared" si="4"/>
        <v>451.59999999999997</v>
      </c>
      <c r="Y48" s="60">
        <f t="shared" si="4"/>
        <v>451.59999999999997</v>
      </c>
      <c r="Z48" s="60">
        <f t="shared" si="4"/>
        <v>451.59999999999997</v>
      </c>
      <c r="AA48" s="60">
        <f t="shared" si="4"/>
        <v>0</v>
      </c>
      <c r="AB48" s="60">
        <f t="shared" si="4"/>
        <v>0</v>
      </c>
      <c r="AC48" s="60">
        <f t="shared" si="4"/>
        <v>0</v>
      </c>
      <c r="AD48" s="60">
        <f t="shared" si="4"/>
        <v>0</v>
      </c>
      <c r="AE48" s="60">
        <f t="shared" si="4"/>
        <v>433.4</v>
      </c>
      <c r="AF48" s="60">
        <f t="shared" si="4"/>
        <v>455.4</v>
      </c>
      <c r="AG48" s="61">
        <f>SUM(AG12:AG46)</f>
        <v>875.68</v>
      </c>
      <c r="AH48" s="47">
        <f t="shared" si="2"/>
        <v>466.59999999999997</v>
      </c>
      <c r="AI48" s="48">
        <f t="shared" si="3"/>
        <v>0</v>
      </c>
      <c r="AK48" s="49"/>
    </row>
    <row r="49" spans="1:41" x14ac:dyDescent="0.25">
      <c r="A49" s="62" t="s">
        <v>57</v>
      </c>
      <c r="B49" s="45">
        <v>120</v>
      </c>
      <c r="C49" s="45">
        <v>170</v>
      </c>
      <c r="D49" s="45">
        <v>120</v>
      </c>
      <c r="E49" s="45">
        <v>120</v>
      </c>
      <c r="F49" s="45">
        <v>80</v>
      </c>
      <c r="G49" s="45">
        <v>60</v>
      </c>
      <c r="H49" s="45">
        <v>60</v>
      </c>
      <c r="I49" s="45">
        <v>60</v>
      </c>
      <c r="J49" s="45">
        <v>60</v>
      </c>
      <c r="K49" s="45">
        <v>60</v>
      </c>
      <c r="L49" s="45">
        <v>60</v>
      </c>
      <c r="M49" s="45">
        <v>60</v>
      </c>
      <c r="N49" s="45">
        <v>15</v>
      </c>
      <c r="O49" s="45">
        <v>40</v>
      </c>
      <c r="P49" s="45">
        <v>90</v>
      </c>
      <c r="Q49" s="45">
        <v>40</v>
      </c>
      <c r="R49" s="45">
        <v>40</v>
      </c>
      <c r="S49" s="45">
        <v>50</v>
      </c>
      <c r="T49" s="45">
        <v>70</v>
      </c>
      <c r="U49" s="45">
        <v>70</v>
      </c>
      <c r="V49" s="45">
        <v>50</v>
      </c>
      <c r="W49" s="45">
        <v>50</v>
      </c>
      <c r="X49" s="45">
        <v>20</v>
      </c>
      <c r="Y49" s="45">
        <v>20</v>
      </c>
      <c r="Z49" s="45">
        <v>60</v>
      </c>
      <c r="AA49" s="45"/>
      <c r="AB49" s="45"/>
      <c r="AC49" s="45"/>
      <c r="AD49" s="45"/>
      <c r="AE49" s="45">
        <v>20</v>
      </c>
      <c r="AF49" s="45">
        <v>20</v>
      </c>
      <c r="AG49" s="51">
        <v>456</v>
      </c>
      <c r="AH49" s="47">
        <f t="shared" si="2"/>
        <v>170</v>
      </c>
      <c r="AI49" s="48">
        <f t="shared" si="3"/>
        <v>15</v>
      </c>
      <c r="AK49" s="49"/>
    </row>
    <row r="50" spans="1:41" x14ac:dyDescent="0.25">
      <c r="A50" s="64" t="s">
        <v>58</v>
      </c>
      <c r="B50" s="65">
        <v>25</v>
      </c>
      <c r="C50" s="65">
        <v>25</v>
      </c>
      <c r="D50" s="65">
        <v>25</v>
      </c>
      <c r="E50" s="65">
        <v>25</v>
      </c>
      <c r="F50" s="65">
        <v>25</v>
      </c>
      <c r="G50" s="65">
        <v>25</v>
      </c>
      <c r="H50" s="65">
        <v>25</v>
      </c>
      <c r="I50" s="65">
        <v>25</v>
      </c>
      <c r="J50" s="65">
        <v>25</v>
      </c>
      <c r="K50" s="65">
        <v>25</v>
      </c>
      <c r="L50" s="65">
        <v>25</v>
      </c>
      <c r="M50" s="65">
        <v>25</v>
      </c>
      <c r="N50" s="65">
        <v>25</v>
      </c>
      <c r="O50" s="65">
        <v>25</v>
      </c>
      <c r="P50" s="65">
        <v>25</v>
      </c>
      <c r="Q50" s="65">
        <v>25</v>
      </c>
      <c r="R50" s="65">
        <v>25</v>
      </c>
      <c r="S50" s="65">
        <v>25</v>
      </c>
      <c r="T50" s="65">
        <v>25</v>
      </c>
      <c r="U50" s="65">
        <v>25</v>
      </c>
      <c r="V50" s="65">
        <v>25</v>
      </c>
      <c r="W50" s="65">
        <v>25</v>
      </c>
      <c r="X50" s="65">
        <v>25</v>
      </c>
      <c r="Y50" s="65">
        <v>25</v>
      </c>
      <c r="Z50" s="65">
        <v>25</v>
      </c>
      <c r="AA50" s="65"/>
      <c r="AB50" s="65"/>
      <c r="AC50" s="65"/>
      <c r="AD50" s="65"/>
      <c r="AE50" s="65">
        <v>25</v>
      </c>
      <c r="AF50" s="65">
        <v>25</v>
      </c>
      <c r="AG50" s="54">
        <v>60</v>
      </c>
      <c r="AH50" s="47">
        <f t="shared" si="2"/>
        <v>25</v>
      </c>
      <c r="AI50" s="48">
        <f t="shared" si="3"/>
        <v>25</v>
      </c>
      <c r="AK50" s="49"/>
    </row>
    <row r="51" spans="1:41" ht="15.75" thickBot="1" x14ac:dyDescent="0.3">
      <c r="A51" s="66" t="s">
        <v>59</v>
      </c>
      <c r="B51" s="67">
        <v>21.5</v>
      </c>
      <c r="C51" s="67">
        <v>18.5</v>
      </c>
      <c r="D51" s="67">
        <v>18.5</v>
      </c>
      <c r="E51" s="67">
        <v>18.5</v>
      </c>
      <c r="F51" s="67">
        <v>18.5</v>
      </c>
      <c r="G51" s="67">
        <v>18.5</v>
      </c>
      <c r="H51" s="67">
        <v>18.5</v>
      </c>
      <c r="I51" s="67">
        <v>18.5</v>
      </c>
      <c r="J51" s="67">
        <v>18.5</v>
      </c>
      <c r="K51" s="67">
        <v>18.5</v>
      </c>
      <c r="L51" s="67">
        <v>18.5</v>
      </c>
      <c r="M51" s="67">
        <v>18.5</v>
      </c>
      <c r="N51" s="67">
        <v>18.5</v>
      </c>
      <c r="O51" s="67">
        <v>18.5</v>
      </c>
      <c r="P51" s="67">
        <v>18.5</v>
      </c>
      <c r="Q51" s="67">
        <v>17.5</v>
      </c>
      <c r="R51" s="67">
        <v>17.5</v>
      </c>
      <c r="S51" s="67">
        <v>15.1</v>
      </c>
      <c r="T51" s="67">
        <v>15.1</v>
      </c>
      <c r="U51" s="67">
        <v>15.1</v>
      </c>
      <c r="V51" s="67">
        <v>0</v>
      </c>
      <c r="W51" s="67">
        <v>0</v>
      </c>
      <c r="X51" s="67">
        <v>0</v>
      </c>
      <c r="Y51" s="67">
        <v>0</v>
      </c>
      <c r="Z51" s="67">
        <v>0</v>
      </c>
      <c r="AA51" s="67"/>
      <c r="AB51" s="67"/>
      <c r="AC51" s="67"/>
      <c r="AD51" s="67"/>
      <c r="AE51" s="67">
        <v>0</v>
      </c>
      <c r="AF51" s="67">
        <v>0</v>
      </c>
      <c r="AG51" s="68">
        <v>22.1</v>
      </c>
      <c r="AH51" s="47">
        <f t="shared" si="2"/>
        <v>21.5</v>
      </c>
      <c r="AI51" s="48">
        <f t="shared" si="3"/>
        <v>0</v>
      </c>
      <c r="AK51" s="49"/>
    </row>
    <row r="52" spans="1:41" ht="15.75" thickBot="1" x14ac:dyDescent="0.3">
      <c r="A52" s="69" t="s">
        <v>60</v>
      </c>
      <c r="B52" s="60">
        <f t="shared" ref="B52:AG52" si="5">SUM(B49:B51)</f>
        <v>166.5</v>
      </c>
      <c r="C52" s="60">
        <f t="shared" si="5"/>
        <v>213.5</v>
      </c>
      <c r="D52" s="60">
        <f t="shared" si="5"/>
        <v>163.5</v>
      </c>
      <c r="E52" s="60">
        <f t="shared" si="5"/>
        <v>163.5</v>
      </c>
      <c r="F52" s="60">
        <f t="shared" si="5"/>
        <v>123.5</v>
      </c>
      <c r="G52" s="60">
        <f>SUM(G49:G51)</f>
        <v>103.5</v>
      </c>
      <c r="H52" s="60">
        <f t="shared" si="5"/>
        <v>103.5</v>
      </c>
      <c r="I52" s="60">
        <f t="shared" si="5"/>
        <v>103.5</v>
      </c>
      <c r="J52" s="60">
        <f t="shared" si="5"/>
        <v>103.5</v>
      </c>
      <c r="K52" s="60">
        <f t="shared" si="5"/>
        <v>103.5</v>
      </c>
      <c r="L52" s="60">
        <f t="shared" si="5"/>
        <v>103.5</v>
      </c>
      <c r="M52" s="60">
        <f t="shared" si="5"/>
        <v>103.5</v>
      </c>
      <c r="N52" s="60">
        <f t="shared" si="5"/>
        <v>58.5</v>
      </c>
      <c r="O52" s="60">
        <f t="shared" si="5"/>
        <v>83.5</v>
      </c>
      <c r="P52" s="60">
        <f t="shared" si="5"/>
        <v>133.5</v>
      </c>
      <c r="Q52" s="60">
        <f t="shared" si="5"/>
        <v>82.5</v>
      </c>
      <c r="R52" s="60">
        <f t="shared" si="5"/>
        <v>82.5</v>
      </c>
      <c r="S52" s="60">
        <f t="shared" si="5"/>
        <v>90.1</v>
      </c>
      <c r="T52" s="60">
        <f t="shared" si="5"/>
        <v>110.1</v>
      </c>
      <c r="U52" s="60">
        <f t="shared" si="5"/>
        <v>110.1</v>
      </c>
      <c r="V52" s="60">
        <f t="shared" si="5"/>
        <v>75</v>
      </c>
      <c r="W52" s="60">
        <f t="shared" si="5"/>
        <v>75</v>
      </c>
      <c r="X52" s="60">
        <f t="shared" si="5"/>
        <v>45</v>
      </c>
      <c r="Y52" s="60">
        <f t="shared" si="5"/>
        <v>45</v>
      </c>
      <c r="Z52" s="60">
        <f t="shared" si="5"/>
        <v>85</v>
      </c>
      <c r="AA52" s="60">
        <f t="shared" si="5"/>
        <v>0</v>
      </c>
      <c r="AB52" s="60">
        <f t="shared" si="5"/>
        <v>0</v>
      </c>
      <c r="AC52" s="60">
        <f t="shared" si="5"/>
        <v>0</v>
      </c>
      <c r="AD52" s="60">
        <f t="shared" si="5"/>
        <v>0</v>
      </c>
      <c r="AE52" s="60">
        <f t="shared" si="5"/>
        <v>45</v>
      </c>
      <c r="AF52" s="60">
        <f t="shared" si="5"/>
        <v>45</v>
      </c>
      <c r="AG52" s="61">
        <f t="shared" si="5"/>
        <v>538.1</v>
      </c>
      <c r="AH52" s="47">
        <f t="shared" si="2"/>
        <v>213.5</v>
      </c>
      <c r="AI52" s="48">
        <f t="shared" si="3"/>
        <v>0</v>
      </c>
      <c r="AK52" s="49"/>
    </row>
    <row r="53" spans="1:41" x14ac:dyDescent="0.25">
      <c r="A53" s="44" t="s">
        <v>61</v>
      </c>
      <c r="B53" s="45">
        <v>97.7</v>
      </c>
      <c r="C53" s="45">
        <v>91.5</v>
      </c>
      <c r="D53" s="45">
        <v>91.5</v>
      </c>
      <c r="E53" s="45">
        <v>70</v>
      </c>
      <c r="F53" s="45">
        <v>70</v>
      </c>
      <c r="G53" s="45">
        <v>81.599999999999994</v>
      </c>
      <c r="H53" s="45">
        <v>81.599999999999994</v>
      </c>
      <c r="I53" s="45">
        <v>72</v>
      </c>
      <c r="J53" s="45">
        <v>99.1</v>
      </c>
      <c r="K53" s="45">
        <v>87</v>
      </c>
      <c r="L53" s="45">
        <v>87.74</v>
      </c>
      <c r="M53" s="45">
        <v>87.74</v>
      </c>
      <c r="N53" s="45">
        <v>87.74</v>
      </c>
      <c r="O53" s="45">
        <v>87.74</v>
      </c>
      <c r="P53" s="45">
        <v>87.74</v>
      </c>
      <c r="Q53" s="45">
        <v>97.6</v>
      </c>
      <c r="R53" s="45">
        <v>110</v>
      </c>
      <c r="S53" s="45">
        <v>116.7</v>
      </c>
      <c r="T53" s="45">
        <v>128.6</v>
      </c>
      <c r="U53" s="45">
        <v>136.4</v>
      </c>
      <c r="V53" s="45">
        <v>121.7</v>
      </c>
      <c r="W53" s="45">
        <v>121.7</v>
      </c>
      <c r="X53" s="45">
        <v>30.4</v>
      </c>
      <c r="Y53" s="45">
        <v>44.8</v>
      </c>
      <c r="Z53" s="45">
        <v>44.8</v>
      </c>
      <c r="AA53" s="45"/>
      <c r="AB53" s="45"/>
      <c r="AC53" s="45"/>
      <c r="AD53" s="45"/>
      <c r="AE53" s="45">
        <v>80</v>
      </c>
      <c r="AF53" s="45">
        <v>80</v>
      </c>
      <c r="AG53" s="51">
        <v>144</v>
      </c>
      <c r="AH53" s="47">
        <f t="shared" si="2"/>
        <v>136.4</v>
      </c>
      <c r="AI53" s="48">
        <f t="shared" si="3"/>
        <v>30.4</v>
      </c>
      <c r="AK53" s="49"/>
    </row>
    <row r="54" spans="1:41" x14ac:dyDescent="0.25">
      <c r="A54" s="53" t="s">
        <v>62</v>
      </c>
      <c r="B54" s="65">
        <v>21.9</v>
      </c>
      <c r="C54" s="65">
        <v>21.7</v>
      </c>
      <c r="D54" s="65">
        <v>21.7</v>
      </c>
      <c r="E54" s="65">
        <v>22</v>
      </c>
      <c r="F54" s="65">
        <v>22</v>
      </c>
      <c r="G54" s="65">
        <v>35</v>
      </c>
      <c r="H54" s="65">
        <v>51.2</v>
      </c>
      <c r="I54" s="65">
        <v>50.3</v>
      </c>
      <c r="J54" s="65">
        <v>70.099999999999994</v>
      </c>
      <c r="K54" s="65">
        <v>69.099999999999994</v>
      </c>
      <c r="L54" s="65">
        <v>69.400000000000006</v>
      </c>
      <c r="M54" s="65">
        <v>68.599999999999994</v>
      </c>
      <c r="N54" s="65">
        <v>60.6</v>
      </c>
      <c r="O54" s="65">
        <v>55</v>
      </c>
      <c r="P54" s="65">
        <v>55</v>
      </c>
      <c r="Q54" s="65">
        <v>61.2</v>
      </c>
      <c r="R54" s="65">
        <v>61.2</v>
      </c>
      <c r="S54" s="45">
        <v>49</v>
      </c>
      <c r="T54" s="45">
        <v>34.799999999999997</v>
      </c>
      <c r="U54" s="45">
        <v>34</v>
      </c>
      <c r="V54" s="45">
        <v>21.2</v>
      </c>
      <c r="W54" s="45">
        <v>21.2</v>
      </c>
      <c r="X54" s="45">
        <v>21.2</v>
      </c>
      <c r="Y54" s="45">
        <v>21.5</v>
      </c>
      <c r="Z54" s="45">
        <v>21.5</v>
      </c>
      <c r="AA54" s="45"/>
      <c r="AB54" s="65"/>
      <c r="AC54" s="65"/>
      <c r="AD54" s="65"/>
      <c r="AE54" s="65">
        <v>22</v>
      </c>
      <c r="AF54" s="65">
        <v>35</v>
      </c>
      <c r="AG54" s="54">
        <v>70</v>
      </c>
      <c r="AH54" s="47">
        <f t="shared" si="2"/>
        <v>70.099999999999994</v>
      </c>
      <c r="AI54" s="48">
        <f t="shared" si="3"/>
        <v>21.2</v>
      </c>
      <c r="AK54" s="49"/>
    </row>
    <row r="55" spans="1:41" x14ac:dyDescent="0.25">
      <c r="A55" s="53" t="s">
        <v>63</v>
      </c>
      <c r="B55" s="65">
        <v>51.4</v>
      </c>
      <c r="C55" s="65">
        <v>32.200000000000003</v>
      </c>
      <c r="D55" s="65">
        <v>32.299999999999997</v>
      </c>
      <c r="E55" s="65">
        <v>40.9</v>
      </c>
      <c r="F55" s="65">
        <v>40.9</v>
      </c>
      <c r="G55" s="65">
        <v>40</v>
      </c>
      <c r="H55" s="65">
        <v>40</v>
      </c>
      <c r="I55" s="65">
        <v>34.200000000000003</v>
      </c>
      <c r="J55" s="65">
        <v>44.6</v>
      </c>
      <c r="K55" s="65">
        <v>33.700000000000003</v>
      </c>
      <c r="L55" s="65">
        <v>33.200000000000003</v>
      </c>
      <c r="M55" s="65">
        <v>33</v>
      </c>
      <c r="N55" s="65">
        <v>44.4</v>
      </c>
      <c r="O55" s="65">
        <v>47</v>
      </c>
      <c r="P55" s="65">
        <v>33</v>
      </c>
      <c r="Q55" s="65">
        <v>61.8</v>
      </c>
      <c r="R55" s="65">
        <v>61.8</v>
      </c>
      <c r="S55" s="45">
        <v>68.599999999999994</v>
      </c>
      <c r="T55" s="45">
        <v>68.400000000000006</v>
      </c>
      <c r="U55" s="45">
        <v>68.400000000000006</v>
      </c>
      <c r="V55" s="45">
        <v>59.5</v>
      </c>
      <c r="W55" s="45">
        <v>59.5</v>
      </c>
      <c r="X55" s="45">
        <v>15.8</v>
      </c>
      <c r="Y55" s="45">
        <v>16.3</v>
      </c>
      <c r="Z55" s="45">
        <v>16.3</v>
      </c>
      <c r="AA55" s="45"/>
      <c r="AB55" s="65"/>
      <c r="AC55" s="65"/>
      <c r="AD55" s="65"/>
      <c r="AE55" s="65">
        <v>45</v>
      </c>
      <c r="AF55" s="65">
        <v>45</v>
      </c>
      <c r="AG55" s="54">
        <v>69</v>
      </c>
      <c r="AH55" s="47">
        <f t="shared" si="2"/>
        <v>68.599999999999994</v>
      </c>
      <c r="AI55" s="48">
        <f t="shared" si="3"/>
        <v>15.8</v>
      </c>
      <c r="AK55" s="49"/>
    </row>
    <row r="56" spans="1:41" x14ac:dyDescent="0.25">
      <c r="A56" s="53" t="s">
        <v>64</v>
      </c>
      <c r="B56" s="65">
        <v>54.4</v>
      </c>
      <c r="C56" s="65">
        <v>57.2</v>
      </c>
      <c r="D56" s="65">
        <v>58.4</v>
      </c>
      <c r="E56" s="56">
        <v>59.1</v>
      </c>
      <c r="F56" s="56">
        <v>59.1</v>
      </c>
      <c r="G56" s="56">
        <v>60.4</v>
      </c>
      <c r="H56" s="56">
        <v>60.4</v>
      </c>
      <c r="I56" s="56">
        <v>60.4</v>
      </c>
      <c r="J56" s="56">
        <v>60.2</v>
      </c>
      <c r="K56" s="56">
        <v>60.2</v>
      </c>
      <c r="L56" s="56">
        <v>60</v>
      </c>
      <c r="M56" s="56">
        <v>58.4</v>
      </c>
      <c r="N56" s="56">
        <v>58.4</v>
      </c>
      <c r="O56" s="56">
        <v>58.4</v>
      </c>
      <c r="P56" s="56">
        <v>58.4</v>
      </c>
      <c r="Q56" s="56">
        <v>58.4</v>
      </c>
      <c r="R56" s="56">
        <v>54.7</v>
      </c>
      <c r="S56" s="45">
        <v>52.2</v>
      </c>
      <c r="T56" s="45">
        <v>52.7</v>
      </c>
      <c r="U56" s="45">
        <v>52.4</v>
      </c>
      <c r="V56" s="45">
        <v>52.2</v>
      </c>
      <c r="W56" s="45">
        <v>52.2</v>
      </c>
      <c r="X56" s="45">
        <v>47.7</v>
      </c>
      <c r="Y56" s="45">
        <v>50.1</v>
      </c>
      <c r="Z56" s="45">
        <v>50.1</v>
      </c>
      <c r="AA56" s="45"/>
      <c r="AB56" s="65"/>
      <c r="AC56" s="65"/>
      <c r="AD56" s="65"/>
      <c r="AE56" s="65">
        <v>51.9</v>
      </c>
      <c r="AF56" s="65">
        <v>51.9</v>
      </c>
      <c r="AG56" s="54">
        <v>60</v>
      </c>
      <c r="AH56" s="47">
        <f t="shared" si="2"/>
        <v>60.4</v>
      </c>
      <c r="AI56" s="48">
        <f t="shared" si="3"/>
        <v>47.7</v>
      </c>
      <c r="AK56" s="49"/>
    </row>
    <row r="57" spans="1:41" x14ac:dyDescent="0.25">
      <c r="A57" s="53" t="s">
        <v>65</v>
      </c>
      <c r="B57" s="65">
        <v>0</v>
      </c>
      <c r="C57" s="65">
        <v>0</v>
      </c>
      <c r="D57" s="65">
        <v>0</v>
      </c>
      <c r="E57" s="56">
        <v>10</v>
      </c>
      <c r="F57" s="56">
        <v>10</v>
      </c>
      <c r="G57" s="56">
        <v>10</v>
      </c>
      <c r="H57" s="56">
        <v>10</v>
      </c>
      <c r="I57" s="56">
        <v>10</v>
      </c>
      <c r="J57" s="56">
        <v>10</v>
      </c>
      <c r="K57" s="56">
        <v>10</v>
      </c>
      <c r="L57" s="56">
        <v>10</v>
      </c>
      <c r="M57" s="56">
        <v>15</v>
      </c>
      <c r="N57" s="56">
        <v>15</v>
      </c>
      <c r="O57" s="56">
        <v>15</v>
      </c>
      <c r="P57" s="56">
        <v>15</v>
      </c>
      <c r="Q57" s="56">
        <v>15</v>
      </c>
      <c r="R57" s="56">
        <v>15</v>
      </c>
      <c r="S57" s="45">
        <v>15</v>
      </c>
      <c r="T57" s="45">
        <v>15</v>
      </c>
      <c r="U57" s="45">
        <v>28.5</v>
      </c>
      <c r="V57" s="45">
        <v>14.6</v>
      </c>
      <c r="W57" s="45">
        <v>14.6</v>
      </c>
      <c r="X57" s="45">
        <v>22.1</v>
      </c>
      <c r="Y57" s="45">
        <v>22.1</v>
      </c>
      <c r="Z57" s="45">
        <v>22.1</v>
      </c>
      <c r="AA57" s="45"/>
      <c r="AB57" s="65"/>
      <c r="AC57" s="65"/>
      <c r="AD57" s="65"/>
      <c r="AE57" s="65">
        <v>25</v>
      </c>
      <c r="AF57" s="65">
        <v>25</v>
      </c>
      <c r="AG57" s="54">
        <v>30</v>
      </c>
      <c r="AH57" s="47">
        <f t="shared" si="2"/>
        <v>28.5</v>
      </c>
      <c r="AI57" s="48">
        <f t="shared" si="3"/>
        <v>0</v>
      </c>
      <c r="AK57" s="49"/>
    </row>
    <row r="58" spans="1:41" x14ac:dyDescent="0.25">
      <c r="A58" s="53" t="s">
        <v>66</v>
      </c>
      <c r="B58" s="65">
        <v>0</v>
      </c>
      <c r="C58" s="65">
        <v>0</v>
      </c>
      <c r="D58" s="6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8</v>
      </c>
      <c r="N58" s="45">
        <v>10.7</v>
      </c>
      <c r="O58" s="45">
        <v>13.2</v>
      </c>
      <c r="P58" s="45">
        <v>15.3</v>
      </c>
      <c r="Q58" s="45">
        <v>15.3</v>
      </c>
      <c r="R58" s="45">
        <v>15.3</v>
      </c>
      <c r="S58" s="45">
        <v>15.6</v>
      </c>
      <c r="T58" s="45">
        <v>15.6</v>
      </c>
      <c r="U58" s="45">
        <v>8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/>
      <c r="AB58" s="65"/>
      <c r="AC58" s="65"/>
      <c r="AD58" s="65"/>
      <c r="AE58" s="65">
        <v>0</v>
      </c>
      <c r="AF58" s="65">
        <v>0</v>
      </c>
      <c r="AG58" s="54">
        <v>25</v>
      </c>
      <c r="AH58" s="47">
        <f t="shared" si="2"/>
        <v>15.6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15</v>
      </c>
      <c r="C59" s="65">
        <v>15</v>
      </c>
      <c r="D59" s="65">
        <v>15</v>
      </c>
      <c r="E59" s="65">
        <v>16</v>
      </c>
      <c r="F59" s="65">
        <v>16</v>
      </c>
      <c r="G59" s="65">
        <v>16</v>
      </c>
      <c r="H59" s="65">
        <v>16</v>
      </c>
      <c r="I59" s="65">
        <v>16</v>
      </c>
      <c r="J59" s="65">
        <v>16</v>
      </c>
      <c r="K59" s="65">
        <v>16</v>
      </c>
      <c r="L59" s="65">
        <v>16</v>
      </c>
      <c r="M59" s="65">
        <v>16</v>
      </c>
      <c r="N59" s="65">
        <v>16</v>
      </c>
      <c r="O59" s="65">
        <v>16</v>
      </c>
      <c r="P59" s="65">
        <v>16</v>
      </c>
      <c r="Q59" s="65">
        <v>16</v>
      </c>
      <c r="R59" s="65">
        <v>16</v>
      </c>
      <c r="S59" s="65">
        <v>16</v>
      </c>
      <c r="T59" s="65">
        <v>16</v>
      </c>
      <c r="U59" s="65">
        <v>16</v>
      </c>
      <c r="V59" s="65">
        <v>16</v>
      </c>
      <c r="W59" s="65">
        <v>16</v>
      </c>
      <c r="X59" s="65">
        <v>16</v>
      </c>
      <c r="Y59" s="65">
        <v>16</v>
      </c>
      <c r="Z59" s="65">
        <v>16</v>
      </c>
      <c r="AA59" s="65"/>
      <c r="AB59" s="65"/>
      <c r="AC59" s="65"/>
      <c r="AD59" s="65"/>
      <c r="AE59" s="65">
        <v>15</v>
      </c>
      <c r="AF59" s="65">
        <v>15</v>
      </c>
      <c r="AG59" s="54">
        <v>24</v>
      </c>
      <c r="AH59" s="47">
        <f t="shared" si="2"/>
        <v>16</v>
      </c>
      <c r="AI59" s="48">
        <f t="shared" si="3"/>
        <v>15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/>
      <c r="AB60" s="65"/>
      <c r="AC60" s="65"/>
      <c r="AD60" s="65"/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12.1</v>
      </c>
      <c r="C61" s="65">
        <v>12.1</v>
      </c>
      <c r="D61" s="65">
        <v>12.1</v>
      </c>
      <c r="E61" s="65">
        <v>12.1</v>
      </c>
      <c r="F61" s="65">
        <v>12</v>
      </c>
      <c r="G61" s="65">
        <v>12</v>
      </c>
      <c r="H61" s="65">
        <v>12</v>
      </c>
      <c r="I61" s="65">
        <v>12</v>
      </c>
      <c r="J61" s="65">
        <v>12</v>
      </c>
      <c r="K61" s="65">
        <v>12</v>
      </c>
      <c r="L61" s="65">
        <v>12</v>
      </c>
      <c r="M61" s="65">
        <v>12</v>
      </c>
      <c r="N61" s="65">
        <v>12</v>
      </c>
      <c r="O61" s="65">
        <v>12</v>
      </c>
      <c r="P61" s="65">
        <v>12.7</v>
      </c>
      <c r="Q61" s="65">
        <v>12.7</v>
      </c>
      <c r="R61" s="65">
        <v>12.7</v>
      </c>
      <c r="S61" s="65">
        <v>12.7</v>
      </c>
      <c r="T61" s="65">
        <v>12.7</v>
      </c>
      <c r="U61" s="65">
        <v>12.7</v>
      </c>
      <c r="V61" s="65">
        <v>12.7</v>
      </c>
      <c r="W61" s="65">
        <v>12.7</v>
      </c>
      <c r="X61" s="65">
        <v>12.7</v>
      </c>
      <c r="Y61" s="65">
        <v>12.7</v>
      </c>
      <c r="Z61" s="65">
        <v>12.7</v>
      </c>
      <c r="AA61" s="65"/>
      <c r="AB61" s="65"/>
      <c r="AC61" s="65"/>
      <c r="AD61" s="65"/>
      <c r="AE61" s="65">
        <v>14.7</v>
      </c>
      <c r="AF61" s="65">
        <v>14.1</v>
      </c>
      <c r="AG61" s="54">
        <v>14.1</v>
      </c>
      <c r="AH61" s="47">
        <f t="shared" si="2"/>
        <v>14.7</v>
      </c>
      <c r="AI61" s="48">
        <f t="shared" si="3"/>
        <v>12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10.8</v>
      </c>
      <c r="C62" s="65">
        <v>10.8</v>
      </c>
      <c r="D62" s="65">
        <v>10.8</v>
      </c>
      <c r="E62" s="65">
        <v>10.8</v>
      </c>
      <c r="F62" s="65">
        <v>9.1999999999999993</v>
      </c>
      <c r="G62" s="65">
        <v>9.1999999999999993</v>
      </c>
      <c r="H62" s="65">
        <v>9.1999999999999993</v>
      </c>
      <c r="I62" s="65">
        <v>9.1999999999999993</v>
      </c>
      <c r="J62" s="65">
        <v>9.1999999999999993</v>
      </c>
      <c r="K62" s="65">
        <v>9.1999999999999993</v>
      </c>
      <c r="L62" s="65">
        <v>9.1999999999999993</v>
      </c>
      <c r="M62" s="65">
        <v>9.1999999999999993</v>
      </c>
      <c r="N62" s="65">
        <v>7.2</v>
      </c>
      <c r="O62" s="65">
        <v>7.2</v>
      </c>
      <c r="P62" s="65">
        <v>7.2</v>
      </c>
      <c r="Q62" s="65">
        <v>7.2</v>
      </c>
      <c r="R62" s="65">
        <v>8</v>
      </c>
      <c r="S62" s="65">
        <v>8</v>
      </c>
      <c r="T62" s="65">
        <v>8</v>
      </c>
      <c r="U62" s="65">
        <v>8</v>
      </c>
      <c r="V62" s="65">
        <v>8</v>
      </c>
      <c r="W62" s="65">
        <v>8</v>
      </c>
      <c r="X62" s="65">
        <v>8</v>
      </c>
      <c r="Y62" s="65">
        <v>8</v>
      </c>
      <c r="Z62" s="65">
        <v>8</v>
      </c>
      <c r="AA62" s="65"/>
      <c r="AB62" s="65"/>
      <c r="AC62" s="65"/>
      <c r="AD62" s="65"/>
      <c r="AE62" s="65">
        <v>8</v>
      </c>
      <c r="AF62" s="65">
        <v>8</v>
      </c>
      <c r="AG62" s="54">
        <v>14</v>
      </c>
      <c r="AH62" s="47">
        <f t="shared" si="2"/>
        <v>10.8</v>
      </c>
      <c r="AI62" s="48">
        <f t="shared" si="3"/>
        <v>7.2</v>
      </c>
      <c r="AK62" s="49"/>
    </row>
    <row r="63" spans="1:41" x14ac:dyDescent="0.25">
      <c r="A63" s="53" t="s">
        <v>71</v>
      </c>
      <c r="B63" s="65">
        <v>4.9000000000000004</v>
      </c>
      <c r="C63" s="65">
        <v>4.9000000000000004</v>
      </c>
      <c r="D63" s="65">
        <v>4.9000000000000004</v>
      </c>
      <c r="E63" s="65">
        <v>4.9000000000000004</v>
      </c>
      <c r="F63" s="65">
        <v>4.9000000000000004</v>
      </c>
      <c r="G63" s="65">
        <v>4.9000000000000004</v>
      </c>
      <c r="H63" s="65">
        <v>4.9000000000000004</v>
      </c>
      <c r="I63" s="65">
        <v>4.9000000000000004</v>
      </c>
      <c r="J63" s="65">
        <v>4.9000000000000004</v>
      </c>
      <c r="K63" s="65">
        <v>4.9000000000000004</v>
      </c>
      <c r="L63" s="65">
        <v>4.9000000000000004</v>
      </c>
      <c r="M63" s="65">
        <v>4.9000000000000004</v>
      </c>
      <c r="N63" s="65">
        <v>4.9000000000000004</v>
      </c>
      <c r="O63" s="65">
        <v>4.9000000000000004</v>
      </c>
      <c r="P63" s="65">
        <v>4.9000000000000004</v>
      </c>
      <c r="Q63" s="65">
        <v>4.9000000000000004</v>
      </c>
      <c r="R63" s="65">
        <v>4.9000000000000004</v>
      </c>
      <c r="S63" s="65">
        <v>4.9000000000000004</v>
      </c>
      <c r="T63" s="65">
        <v>4.9000000000000004</v>
      </c>
      <c r="U63" s="65">
        <v>4.9000000000000004</v>
      </c>
      <c r="V63" s="65">
        <v>4.9000000000000004</v>
      </c>
      <c r="W63" s="65">
        <v>4.9000000000000004</v>
      </c>
      <c r="X63" s="65">
        <v>4.9000000000000004</v>
      </c>
      <c r="Y63" s="65">
        <v>4.9000000000000004</v>
      </c>
      <c r="Z63" s="65">
        <v>4.9000000000000004</v>
      </c>
      <c r="AA63" s="65"/>
      <c r="AB63" s="65"/>
      <c r="AC63" s="65"/>
      <c r="AD63" s="65"/>
      <c r="AE63" s="65">
        <v>4.9000000000000004</v>
      </c>
      <c r="AF63" s="65">
        <v>4.9000000000000004</v>
      </c>
      <c r="AG63" s="54">
        <v>10.050000000000001</v>
      </c>
      <c r="AH63" s="47">
        <f t="shared" si="2"/>
        <v>4.9000000000000004</v>
      </c>
      <c r="AI63" s="48">
        <f t="shared" si="3"/>
        <v>4.9000000000000004</v>
      </c>
      <c r="AK63" s="49"/>
    </row>
    <row r="64" spans="1:41" x14ac:dyDescent="0.25">
      <c r="A64" s="53" t="s">
        <v>72</v>
      </c>
      <c r="B64" s="65">
        <v>1.5</v>
      </c>
      <c r="C64" s="65">
        <v>1.5</v>
      </c>
      <c r="D64" s="65">
        <v>1.5</v>
      </c>
      <c r="E64" s="65">
        <v>1.5</v>
      </c>
      <c r="F64" s="65">
        <v>1.5</v>
      </c>
      <c r="G64" s="65">
        <v>1.5</v>
      </c>
      <c r="H64" s="65">
        <v>1.5</v>
      </c>
      <c r="I64" s="65">
        <v>1.5</v>
      </c>
      <c r="J64" s="65">
        <v>1.5</v>
      </c>
      <c r="K64" s="65">
        <v>1.5</v>
      </c>
      <c r="L64" s="65">
        <v>1.5</v>
      </c>
      <c r="M64" s="65">
        <v>1.5</v>
      </c>
      <c r="N64" s="65">
        <v>1.5</v>
      </c>
      <c r="O64" s="65">
        <v>1.5</v>
      </c>
      <c r="P64" s="65">
        <v>1.5</v>
      </c>
      <c r="Q64" s="65">
        <v>1.5</v>
      </c>
      <c r="R64" s="65">
        <v>1.5</v>
      </c>
      <c r="S64" s="65">
        <v>1.5</v>
      </c>
      <c r="T64" s="65">
        <v>1.5</v>
      </c>
      <c r="U64" s="65">
        <v>1.5</v>
      </c>
      <c r="V64" s="65">
        <v>1.5</v>
      </c>
      <c r="W64" s="65">
        <v>1.5</v>
      </c>
      <c r="X64" s="65">
        <v>1.5</v>
      </c>
      <c r="Y64" s="65">
        <v>1.5</v>
      </c>
      <c r="Z64" s="65">
        <v>1.5</v>
      </c>
      <c r="AA64" s="65"/>
      <c r="AB64" s="65"/>
      <c r="AC64" s="65"/>
      <c r="AD64" s="65"/>
      <c r="AE64" s="65">
        <v>6.2</v>
      </c>
      <c r="AF64" s="65">
        <v>6.2</v>
      </c>
      <c r="AG64" s="54">
        <v>6.2</v>
      </c>
      <c r="AH64" s="47">
        <f t="shared" si="2"/>
        <v>6.2</v>
      </c>
      <c r="AI64" s="48">
        <f t="shared" si="3"/>
        <v>1.5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f t="shared" ref="B66:AG66" si="6">SUM(B53:B65)</f>
        <v>273.24</v>
      </c>
      <c r="C66" s="60">
        <f t="shared" si="6"/>
        <v>250.44000000000003</v>
      </c>
      <c r="D66" s="60">
        <f t="shared" si="6"/>
        <v>251.74</v>
      </c>
      <c r="E66" s="60">
        <f t="shared" si="6"/>
        <v>250.84</v>
      </c>
      <c r="F66" s="60">
        <f t="shared" si="6"/>
        <v>249.14</v>
      </c>
      <c r="G66" s="60">
        <f>SUM(G53:G65)</f>
        <v>274.14</v>
      </c>
      <c r="H66" s="60">
        <f t="shared" si="6"/>
        <v>290.34000000000003</v>
      </c>
      <c r="I66" s="60">
        <f t="shared" si="6"/>
        <v>274.04000000000002</v>
      </c>
      <c r="J66" s="60">
        <f t="shared" si="6"/>
        <v>331.14</v>
      </c>
      <c r="K66" s="60">
        <f t="shared" si="6"/>
        <v>307.14</v>
      </c>
      <c r="L66" s="60">
        <f t="shared" si="6"/>
        <v>307.47999999999996</v>
      </c>
      <c r="M66" s="60">
        <f t="shared" si="6"/>
        <v>317.88</v>
      </c>
      <c r="N66" s="60">
        <f t="shared" si="6"/>
        <v>321.97999999999996</v>
      </c>
      <c r="O66" s="60">
        <f t="shared" si="6"/>
        <v>321.47999999999996</v>
      </c>
      <c r="P66" s="60">
        <f t="shared" si="6"/>
        <v>310.27999999999997</v>
      </c>
      <c r="Q66" s="60">
        <f t="shared" si="6"/>
        <v>355.14</v>
      </c>
      <c r="R66" s="60">
        <f t="shared" si="6"/>
        <v>364.64</v>
      </c>
      <c r="S66" s="60">
        <f t="shared" si="6"/>
        <v>363.74</v>
      </c>
      <c r="T66" s="60">
        <f t="shared" si="6"/>
        <v>361.74</v>
      </c>
      <c r="U66" s="60">
        <f t="shared" si="6"/>
        <v>374.34</v>
      </c>
      <c r="V66" s="60">
        <f t="shared" si="6"/>
        <v>315.84000000000003</v>
      </c>
      <c r="W66" s="60">
        <f t="shared" si="6"/>
        <v>315.84000000000003</v>
      </c>
      <c r="X66" s="60">
        <f t="shared" si="6"/>
        <v>183.83999999999997</v>
      </c>
      <c r="Y66" s="60">
        <f t="shared" si="6"/>
        <v>201.43999999999997</v>
      </c>
      <c r="Z66" s="60">
        <f t="shared" si="6"/>
        <v>201.43999999999997</v>
      </c>
      <c r="AA66" s="60">
        <f t="shared" si="6"/>
        <v>3.54</v>
      </c>
      <c r="AB66" s="60">
        <f t="shared" si="6"/>
        <v>3.54</v>
      </c>
      <c r="AC66" s="60">
        <f t="shared" si="6"/>
        <v>3.54</v>
      </c>
      <c r="AD66" s="60">
        <f t="shared" si="6"/>
        <v>3.54</v>
      </c>
      <c r="AE66" s="60">
        <f t="shared" si="6"/>
        <v>276.24</v>
      </c>
      <c r="AF66" s="60">
        <f t="shared" si="6"/>
        <v>288.64</v>
      </c>
      <c r="AG66" s="61">
        <f t="shared" si="6"/>
        <v>489.91</v>
      </c>
      <c r="AH66" s="47">
        <f t="shared" si="2"/>
        <v>374.34</v>
      </c>
      <c r="AI66" s="48">
        <f t="shared" si="3"/>
        <v>3.54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14</v>
      </c>
      <c r="Q67" s="45">
        <v>60</v>
      </c>
      <c r="R67" s="45">
        <v>60</v>
      </c>
      <c r="S67" s="45">
        <v>60</v>
      </c>
      <c r="T67" s="45">
        <v>60</v>
      </c>
      <c r="U67" s="45">
        <v>60</v>
      </c>
      <c r="V67" s="45">
        <v>30</v>
      </c>
      <c r="W67" s="45">
        <v>14</v>
      </c>
      <c r="X67" s="45">
        <v>14</v>
      </c>
      <c r="Y67" s="45">
        <v>0</v>
      </c>
      <c r="Z67" s="45">
        <v>0</v>
      </c>
      <c r="AA67" s="45"/>
      <c r="AB67" s="45"/>
      <c r="AC67" s="45"/>
      <c r="AD67" s="45"/>
      <c r="AE67" s="45">
        <v>0</v>
      </c>
      <c r="AF67" s="45">
        <v>0</v>
      </c>
      <c r="AG67" s="51">
        <v>60</v>
      </c>
      <c r="AH67" s="47">
        <f t="shared" si="2"/>
        <v>60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5.9</v>
      </c>
      <c r="Q68" s="45">
        <v>29</v>
      </c>
      <c r="R68" s="45">
        <v>30.2</v>
      </c>
      <c r="S68" s="45">
        <v>30.2</v>
      </c>
      <c r="T68" s="65">
        <v>29</v>
      </c>
      <c r="U68" s="65">
        <v>29</v>
      </c>
      <c r="V68" s="65">
        <v>13.2</v>
      </c>
      <c r="W68" s="65">
        <v>5.2</v>
      </c>
      <c r="X68" s="65">
        <v>5.2</v>
      </c>
      <c r="Y68" s="65">
        <v>0</v>
      </c>
      <c r="Z68" s="65">
        <v>0</v>
      </c>
      <c r="AA68" s="65"/>
      <c r="AB68" s="65"/>
      <c r="AC68" s="65"/>
      <c r="AD68" s="65"/>
      <c r="AE68" s="65">
        <v>0</v>
      </c>
      <c r="AF68" s="45">
        <v>0</v>
      </c>
      <c r="AG68" s="54">
        <v>32</v>
      </c>
      <c r="AH68" s="47">
        <f t="shared" si="2"/>
        <v>30.2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2.1</v>
      </c>
      <c r="Q69" s="45">
        <v>10.6</v>
      </c>
      <c r="R69" s="45">
        <v>11</v>
      </c>
      <c r="S69" s="45">
        <v>11</v>
      </c>
      <c r="T69" s="67">
        <v>10.6</v>
      </c>
      <c r="U69" s="67">
        <v>10.6</v>
      </c>
      <c r="V69" s="67">
        <v>4.8</v>
      </c>
      <c r="W69" s="67">
        <v>1.9</v>
      </c>
      <c r="X69" s="67">
        <v>1.9</v>
      </c>
      <c r="Y69" s="67">
        <v>0</v>
      </c>
      <c r="Z69" s="67">
        <v>0</v>
      </c>
      <c r="AA69" s="67"/>
      <c r="AB69" s="67"/>
      <c r="AC69" s="67"/>
      <c r="AD69" s="67"/>
      <c r="AE69" s="67">
        <v>0</v>
      </c>
      <c r="AF69" s="45">
        <v>0</v>
      </c>
      <c r="AG69" s="68">
        <v>14</v>
      </c>
      <c r="AH69" s="47">
        <f t="shared" si="2"/>
        <v>11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f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7">M67+M68+M69</f>
        <v>0</v>
      </c>
      <c r="N70" s="60">
        <f t="shared" si="7"/>
        <v>0</v>
      </c>
      <c r="O70" s="60">
        <f t="shared" si="7"/>
        <v>0</v>
      </c>
      <c r="P70" s="60">
        <f t="shared" si="7"/>
        <v>22</v>
      </c>
      <c r="Q70" s="60">
        <f t="shared" si="7"/>
        <v>99.6</v>
      </c>
      <c r="R70" s="60">
        <f t="shared" si="7"/>
        <v>101.2</v>
      </c>
      <c r="S70" s="60">
        <f t="shared" si="7"/>
        <v>101.2</v>
      </c>
      <c r="T70" s="60">
        <f>T67+T68+T69</f>
        <v>99.6</v>
      </c>
      <c r="U70" s="60">
        <f>U67+U68+U69</f>
        <v>99.6</v>
      </c>
      <c r="V70" s="60">
        <f t="shared" si="7"/>
        <v>48</v>
      </c>
      <c r="W70" s="60">
        <f t="shared" si="7"/>
        <v>21.099999999999998</v>
      </c>
      <c r="X70" s="60">
        <f t="shared" si="7"/>
        <v>21.099999999999998</v>
      </c>
      <c r="Y70" s="60">
        <f t="shared" si="7"/>
        <v>0</v>
      </c>
      <c r="Z70" s="60">
        <f t="shared" si="7"/>
        <v>0</v>
      </c>
      <c r="AA70" s="60">
        <f t="shared" si="7"/>
        <v>0</v>
      </c>
      <c r="AB70" s="60">
        <f t="shared" si="7"/>
        <v>0</v>
      </c>
      <c r="AC70" s="60">
        <f t="shared" si="7"/>
        <v>0</v>
      </c>
      <c r="AD70" s="60">
        <f t="shared" si="7"/>
        <v>0</v>
      </c>
      <c r="AE70" s="60">
        <f t="shared" si="7"/>
        <v>0</v>
      </c>
      <c r="AF70" s="60">
        <f t="shared" si="7"/>
        <v>0</v>
      </c>
      <c r="AG70" s="61">
        <f>SUM(AG67:AG69)</f>
        <v>106</v>
      </c>
      <c r="AH70" s="47">
        <f t="shared" si="2"/>
        <v>101.2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60.4</v>
      </c>
      <c r="C71" s="45">
        <v>54.6</v>
      </c>
      <c r="D71" s="45">
        <v>52.4</v>
      </c>
      <c r="E71" s="45">
        <v>65</v>
      </c>
      <c r="F71" s="45">
        <v>59</v>
      </c>
      <c r="G71" s="45">
        <v>49</v>
      </c>
      <c r="H71" s="45">
        <v>48</v>
      </c>
      <c r="I71" s="45">
        <v>51.9</v>
      </c>
      <c r="J71" s="45">
        <v>49</v>
      </c>
      <c r="K71" s="45">
        <v>50.6</v>
      </c>
      <c r="L71" s="45">
        <v>50.07</v>
      </c>
      <c r="M71" s="45">
        <v>56.8</v>
      </c>
      <c r="N71" s="45">
        <v>65.7</v>
      </c>
      <c r="O71" s="45">
        <v>60.5</v>
      </c>
      <c r="P71" s="45">
        <v>71.5</v>
      </c>
      <c r="Q71" s="45">
        <v>61.8</v>
      </c>
      <c r="R71" s="45">
        <v>74.5</v>
      </c>
      <c r="S71" s="45">
        <v>67.2</v>
      </c>
      <c r="T71" s="45">
        <v>58</v>
      </c>
      <c r="U71" s="45">
        <v>65.8</v>
      </c>
      <c r="V71" s="45">
        <v>69.7</v>
      </c>
      <c r="W71" s="45">
        <v>70.2</v>
      </c>
      <c r="X71" s="45">
        <v>59.9</v>
      </c>
      <c r="Y71" s="45">
        <v>57.8</v>
      </c>
      <c r="Z71" s="45">
        <v>50.6</v>
      </c>
      <c r="AA71" s="45"/>
      <c r="AB71" s="45"/>
      <c r="AC71" s="45"/>
      <c r="AD71" s="45"/>
      <c r="AE71" s="45">
        <v>70</v>
      </c>
      <c r="AF71" s="45">
        <v>70</v>
      </c>
      <c r="AG71" s="51"/>
      <c r="AH71" s="47">
        <f t="shared" si="2"/>
        <v>74.5</v>
      </c>
      <c r="AI71" s="48">
        <f t="shared" si="3"/>
        <v>48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/>
      <c r="AB72" s="65"/>
      <c r="AC72" s="65"/>
      <c r="AD72" s="65"/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419.8</v>
      </c>
      <c r="C73" s="65">
        <v>340.5</v>
      </c>
      <c r="D73" s="65">
        <v>404.8</v>
      </c>
      <c r="E73" s="65">
        <v>416</v>
      </c>
      <c r="F73" s="65">
        <v>425</v>
      </c>
      <c r="G73" s="65">
        <v>430</v>
      </c>
      <c r="H73" s="65">
        <v>416</v>
      </c>
      <c r="I73" s="65">
        <v>445</v>
      </c>
      <c r="J73" s="65">
        <v>463</v>
      </c>
      <c r="K73" s="65">
        <v>469</v>
      </c>
      <c r="L73" s="65">
        <v>485</v>
      </c>
      <c r="M73" s="65">
        <v>472</v>
      </c>
      <c r="N73" s="65">
        <v>522</v>
      </c>
      <c r="O73" s="65">
        <v>483</v>
      </c>
      <c r="P73" s="65">
        <v>462</v>
      </c>
      <c r="Q73" s="65">
        <v>462</v>
      </c>
      <c r="R73" s="65">
        <v>469</v>
      </c>
      <c r="S73" s="65">
        <v>479.7</v>
      </c>
      <c r="T73" s="65">
        <v>487</v>
      </c>
      <c r="U73" s="65">
        <v>471.2</v>
      </c>
      <c r="V73" s="65">
        <v>458.8</v>
      </c>
      <c r="W73" s="65">
        <v>460.6</v>
      </c>
      <c r="X73" s="65">
        <v>423.8</v>
      </c>
      <c r="Y73" s="65">
        <v>421.3</v>
      </c>
      <c r="Z73" s="65">
        <v>424.7</v>
      </c>
      <c r="AA73" s="65"/>
      <c r="AB73" s="65"/>
      <c r="AC73" s="65"/>
      <c r="AD73" s="65"/>
      <c r="AE73" s="65">
        <v>140</v>
      </c>
      <c r="AF73" s="65">
        <v>40</v>
      </c>
      <c r="AG73" s="75"/>
      <c r="AH73" s="47">
        <f t="shared" si="2"/>
        <v>522</v>
      </c>
      <c r="AI73" s="48">
        <f t="shared" si="3"/>
        <v>40</v>
      </c>
      <c r="AK73" s="49"/>
    </row>
    <row r="74" spans="1:40" x14ac:dyDescent="0.25">
      <c r="A74" s="53" t="s">
        <v>82</v>
      </c>
      <c r="B74" s="65">
        <v>33.6</v>
      </c>
      <c r="C74" s="65">
        <v>34.6</v>
      </c>
      <c r="D74" s="65">
        <v>35.200000000000003</v>
      </c>
      <c r="E74" s="76">
        <v>35</v>
      </c>
      <c r="F74" s="76">
        <v>35.1</v>
      </c>
      <c r="G74" s="76">
        <v>30</v>
      </c>
      <c r="H74" s="76">
        <v>27.4</v>
      </c>
      <c r="I74" s="76">
        <v>27.6</v>
      </c>
      <c r="J74" s="76">
        <v>31</v>
      </c>
      <c r="K74" s="76">
        <v>33.9</v>
      </c>
      <c r="L74" s="76">
        <v>27</v>
      </c>
      <c r="M74" s="76">
        <v>26.5</v>
      </c>
      <c r="N74" s="76">
        <v>40.299999999999997</v>
      </c>
      <c r="O74" s="76">
        <v>47</v>
      </c>
      <c r="P74" s="76">
        <v>50</v>
      </c>
      <c r="Q74" s="76">
        <v>50</v>
      </c>
      <c r="R74" s="76">
        <v>49</v>
      </c>
      <c r="S74" s="76">
        <v>48.5</v>
      </c>
      <c r="T74" s="76">
        <v>51</v>
      </c>
      <c r="U74" s="76">
        <v>49.3</v>
      </c>
      <c r="V74" s="76">
        <v>48.7</v>
      </c>
      <c r="W74" s="76">
        <v>10</v>
      </c>
      <c r="X74" s="76">
        <v>10</v>
      </c>
      <c r="Y74" s="76">
        <v>10</v>
      </c>
      <c r="Z74" s="76">
        <v>10</v>
      </c>
      <c r="AA74" s="65"/>
      <c r="AB74" s="65"/>
      <c r="AC74" s="65"/>
      <c r="AD74" s="65"/>
      <c r="AE74" s="65">
        <v>10</v>
      </c>
      <c r="AF74" s="65">
        <v>12</v>
      </c>
      <c r="AG74" s="75"/>
      <c r="AH74" s="47">
        <f t="shared" si="2"/>
        <v>51</v>
      </c>
      <c r="AI74" s="48">
        <f t="shared" si="3"/>
        <v>10</v>
      </c>
      <c r="AK74" s="49"/>
    </row>
    <row r="75" spans="1:40" x14ac:dyDescent="0.25">
      <c r="A75" s="53" t="s">
        <v>83</v>
      </c>
      <c r="B75" s="45">
        <v>25.4</v>
      </c>
      <c r="C75" s="45">
        <v>25.4</v>
      </c>
      <c r="D75" s="45">
        <v>24.1</v>
      </c>
      <c r="E75" s="45">
        <v>24.4</v>
      </c>
      <c r="F75" s="45">
        <v>23.2</v>
      </c>
      <c r="G75" s="45">
        <v>24</v>
      </c>
      <c r="H75" s="45">
        <v>22.7</v>
      </c>
      <c r="I75" s="45">
        <v>21.8</v>
      </c>
      <c r="J75" s="45">
        <v>24.2</v>
      </c>
      <c r="K75" s="45">
        <v>26</v>
      </c>
      <c r="L75" s="45">
        <v>30.2</v>
      </c>
      <c r="M75" s="45">
        <v>32.5</v>
      </c>
      <c r="N75" s="45">
        <v>37.9</v>
      </c>
      <c r="O75" s="45">
        <v>39</v>
      </c>
      <c r="P75" s="45">
        <v>37.200000000000003</v>
      </c>
      <c r="Q75" s="45">
        <v>37.200000000000003</v>
      </c>
      <c r="R75" s="45">
        <v>37.200000000000003</v>
      </c>
      <c r="S75" s="45">
        <v>38.6</v>
      </c>
      <c r="T75" s="45">
        <v>37.700000000000003</v>
      </c>
      <c r="U75" s="45">
        <v>34.5</v>
      </c>
      <c r="V75" s="45">
        <v>30.2</v>
      </c>
      <c r="W75" s="45">
        <v>26.4</v>
      </c>
      <c r="X75" s="45">
        <v>27.5</v>
      </c>
      <c r="Y75" s="45">
        <v>0</v>
      </c>
      <c r="Z75" s="45">
        <v>0</v>
      </c>
      <c r="AA75" s="45"/>
      <c r="AB75" s="45"/>
      <c r="AC75" s="45"/>
      <c r="AD75" s="45"/>
      <c r="AE75" s="45">
        <v>0</v>
      </c>
      <c r="AF75" s="45">
        <v>0</v>
      </c>
      <c r="AG75" s="75"/>
      <c r="AH75" s="47">
        <f t="shared" ref="AH75:AH117" si="8">MAX(B75:AF75)</f>
        <v>39</v>
      </c>
      <c r="AI75" s="48">
        <f t="shared" ref="AI75:AI117" si="9">MIN(B75:AF75)</f>
        <v>0</v>
      </c>
      <c r="AK75" s="49"/>
    </row>
    <row r="76" spans="1:40" x14ac:dyDescent="0.25">
      <c r="A76" s="53" t="s">
        <v>84</v>
      </c>
      <c r="B76" s="77">
        <v>8</v>
      </c>
      <c r="C76" s="77">
        <v>8</v>
      </c>
      <c r="D76" s="77">
        <v>8</v>
      </c>
      <c r="E76" s="77">
        <v>8</v>
      </c>
      <c r="F76" s="77">
        <v>8</v>
      </c>
      <c r="G76" s="77">
        <v>8</v>
      </c>
      <c r="H76" s="77">
        <v>8</v>
      </c>
      <c r="I76" s="77">
        <v>8</v>
      </c>
      <c r="J76" s="77">
        <v>8</v>
      </c>
      <c r="K76" s="77">
        <v>8</v>
      </c>
      <c r="L76" s="77">
        <v>8</v>
      </c>
      <c r="M76" s="77">
        <v>8</v>
      </c>
      <c r="N76" s="77">
        <v>8</v>
      </c>
      <c r="O76" s="77">
        <v>8</v>
      </c>
      <c r="P76" s="77">
        <v>8</v>
      </c>
      <c r="Q76" s="77">
        <v>8</v>
      </c>
      <c r="R76" s="77">
        <v>8</v>
      </c>
      <c r="S76" s="77">
        <v>8</v>
      </c>
      <c r="T76" s="77">
        <v>8</v>
      </c>
      <c r="U76" s="77">
        <v>8</v>
      </c>
      <c r="V76" s="77">
        <v>8</v>
      </c>
      <c r="W76" s="77">
        <v>8</v>
      </c>
      <c r="X76" s="77">
        <v>8</v>
      </c>
      <c r="Y76" s="77">
        <v>8</v>
      </c>
      <c r="Z76" s="77">
        <v>8</v>
      </c>
      <c r="AA76" s="77"/>
      <c r="AB76" s="77"/>
      <c r="AC76" s="77"/>
      <c r="AD76" s="77"/>
      <c r="AE76" s="77">
        <v>8</v>
      </c>
      <c r="AF76" s="77">
        <v>8</v>
      </c>
      <c r="AG76" s="75"/>
      <c r="AH76" s="47">
        <f t="shared" si="8"/>
        <v>8</v>
      </c>
      <c r="AI76" s="48">
        <f t="shared" si="9"/>
        <v>8</v>
      </c>
      <c r="AK76" s="49"/>
    </row>
    <row r="77" spans="1:40" ht="15.75" thickBot="1" x14ac:dyDescent="0.3">
      <c r="A77" s="53" t="s">
        <v>85</v>
      </c>
      <c r="B77" s="77">
        <v>8</v>
      </c>
      <c r="C77" s="77">
        <v>8</v>
      </c>
      <c r="D77" s="77">
        <v>8</v>
      </c>
      <c r="E77" s="77">
        <v>8</v>
      </c>
      <c r="F77" s="77">
        <v>8</v>
      </c>
      <c r="G77" s="77">
        <v>8</v>
      </c>
      <c r="H77" s="77">
        <v>8</v>
      </c>
      <c r="I77" s="77">
        <v>8</v>
      </c>
      <c r="J77" s="77">
        <v>8</v>
      </c>
      <c r="K77" s="77">
        <v>8</v>
      </c>
      <c r="L77" s="77">
        <v>8</v>
      </c>
      <c r="M77" s="77">
        <v>8</v>
      </c>
      <c r="N77" s="77">
        <v>8</v>
      </c>
      <c r="O77" s="77">
        <v>8</v>
      </c>
      <c r="P77" s="77">
        <v>8</v>
      </c>
      <c r="Q77" s="77">
        <v>8</v>
      </c>
      <c r="R77" s="77">
        <v>8</v>
      </c>
      <c r="S77" s="77">
        <v>8</v>
      </c>
      <c r="T77" s="77">
        <v>8</v>
      </c>
      <c r="U77" s="77">
        <v>8</v>
      </c>
      <c r="V77" s="77">
        <v>8</v>
      </c>
      <c r="W77" s="77">
        <v>8</v>
      </c>
      <c r="X77" s="77">
        <v>8</v>
      </c>
      <c r="Y77" s="77">
        <v>8</v>
      </c>
      <c r="Z77" s="77">
        <v>8</v>
      </c>
      <c r="AA77" s="77"/>
      <c r="AB77" s="77"/>
      <c r="AC77" s="77"/>
      <c r="AD77" s="77"/>
      <c r="AE77" s="77">
        <v>0</v>
      </c>
      <c r="AF77" s="77">
        <v>0</v>
      </c>
      <c r="AG77" s="75"/>
      <c r="AH77" s="47">
        <f t="shared" si="8"/>
        <v>8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/>
      <c r="AB78" s="77"/>
      <c r="AC78" s="77"/>
      <c r="AD78" s="77"/>
      <c r="AE78" s="77">
        <v>0</v>
      </c>
      <c r="AF78" s="77">
        <v>0</v>
      </c>
      <c r="AG78" s="75"/>
      <c r="AH78" s="47">
        <f t="shared" si="8"/>
        <v>0</v>
      </c>
      <c r="AI78" s="48">
        <f t="shared" si="9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8</v>
      </c>
      <c r="C79" s="77">
        <v>8</v>
      </c>
      <c r="D79" s="77">
        <v>8</v>
      </c>
      <c r="E79" s="77">
        <v>8</v>
      </c>
      <c r="F79" s="77">
        <v>8</v>
      </c>
      <c r="G79" s="77">
        <v>8</v>
      </c>
      <c r="H79" s="77">
        <v>8</v>
      </c>
      <c r="I79" s="77">
        <v>8</v>
      </c>
      <c r="J79" s="77">
        <v>8</v>
      </c>
      <c r="K79" s="77">
        <v>8</v>
      </c>
      <c r="L79" s="77">
        <v>8</v>
      </c>
      <c r="M79" s="77">
        <v>8</v>
      </c>
      <c r="N79" s="77">
        <v>8</v>
      </c>
      <c r="O79" s="77">
        <v>8</v>
      </c>
      <c r="P79" s="77">
        <v>8</v>
      </c>
      <c r="Q79" s="77">
        <v>8</v>
      </c>
      <c r="R79" s="77">
        <v>8</v>
      </c>
      <c r="S79" s="77">
        <v>8</v>
      </c>
      <c r="T79" s="77">
        <v>8</v>
      </c>
      <c r="U79" s="77">
        <v>8</v>
      </c>
      <c r="V79" s="77">
        <v>8</v>
      </c>
      <c r="W79" s="77">
        <v>8</v>
      </c>
      <c r="X79" s="77">
        <v>8</v>
      </c>
      <c r="Y79" s="77">
        <v>8</v>
      </c>
      <c r="Z79" s="77">
        <v>8</v>
      </c>
      <c r="AA79" s="77"/>
      <c r="AB79" s="77"/>
      <c r="AC79" s="77"/>
      <c r="AD79" s="77"/>
      <c r="AE79" s="77">
        <v>0</v>
      </c>
      <c r="AF79" s="77">
        <v>0</v>
      </c>
      <c r="AG79" s="75"/>
      <c r="AH79" s="47">
        <f t="shared" si="8"/>
        <v>8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6</v>
      </c>
      <c r="C80" s="77">
        <v>6</v>
      </c>
      <c r="D80" s="77">
        <v>6</v>
      </c>
      <c r="E80" s="77">
        <v>6</v>
      </c>
      <c r="F80" s="77">
        <v>6</v>
      </c>
      <c r="G80" s="77">
        <v>6</v>
      </c>
      <c r="H80" s="77">
        <v>6</v>
      </c>
      <c r="I80" s="77">
        <v>6</v>
      </c>
      <c r="J80" s="77">
        <v>6</v>
      </c>
      <c r="K80" s="77">
        <v>6</v>
      </c>
      <c r="L80" s="77">
        <v>6</v>
      </c>
      <c r="M80" s="77">
        <v>6</v>
      </c>
      <c r="N80" s="77">
        <v>6</v>
      </c>
      <c r="O80" s="77">
        <v>6</v>
      </c>
      <c r="P80" s="77">
        <v>6</v>
      </c>
      <c r="Q80" s="77">
        <v>6</v>
      </c>
      <c r="R80" s="77">
        <v>6</v>
      </c>
      <c r="S80" s="77">
        <v>6</v>
      </c>
      <c r="T80" s="77">
        <v>6</v>
      </c>
      <c r="U80" s="77">
        <v>6</v>
      </c>
      <c r="V80" s="77">
        <v>6</v>
      </c>
      <c r="W80" s="77">
        <v>6</v>
      </c>
      <c r="X80" s="77">
        <v>6</v>
      </c>
      <c r="Y80" s="77">
        <v>6</v>
      </c>
      <c r="Z80" s="77">
        <v>6</v>
      </c>
      <c r="AA80" s="77"/>
      <c r="AB80" s="77"/>
      <c r="AC80" s="77"/>
      <c r="AD80" s="77"/>
      <c r="AE80" s="77">
        <v>0</v>
      </c>
      <c r="AF80" s="77">
        <v>0</v>
      </c>
      <c r="AG80" s="85"/>
      <c r="AH80" s="47">
        <f t="shared" si="8"/>
        <v>6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/>
      <c r="AB81" s="77"/>
      <c r="AC81" s="77"/>
      <c r="AD81" s="77"/>
      <c r="AE81" s="77">
        <v>0</v>
      </c>
      <c r="AF81" s="77">
        <v>0</v>
      </c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f t="shared" ref="B82:AF82" si="10">SUMIF(B71:B81,"&gt;0")</f>
        <v>569.19999999999993</v>
      </c>
      <c r="C82" s="60">
        <f t="shared" si="10"/>
        <v>485.1</v>
      </c>
      <c r="D82" s="60">
        <f t="shared" si="10"/>
        <v>546.5</v>
      </c>
      <c r="E82" s="60">
        <f t="shared" si="10"/>
        <v>570.4</v>
      </c>
      <c r="F82" s="60">
        <f t="shared" si="10"/>
        <v>572.30000000000007</v>
      </c>
      <c r="G82" s="60">
        <f>SUMIF(G71:G81,"&gt;0")</f>
        <v>563</v>
      </c>
      <c r="H82" s="60">
        <f t="shared" si="10"/>
        <v>544.1</v>
      </c>
      <c r="I82" s="60">
        <f t="shared" si="10"/>
        <v>576.29999999999995</v>
      </c>
      <c r="J82" s="60">
        <f t="shared" si="10"/>
        <v>597.20000000000005</v>
      </c>
      <c r="K82" s="60">
        <f t="shared" si="10"/>
        <v>609.5</v>
      </c>
      <c r="L82" s="60">
        <f t="shared" si="10"/>
        <v>622.2700000000001</v>
      </c>
      <c r="M82" s="60">
        <f t="shared" si="10"/>
        <v>617.79999999999995</v>
      </c>
      <c r="N82" s="60">
        <f t="shared" si="10"/>
        <v>695.9</v>
      </c>
      <c r="O82" s="60">
        <f t="shared" si="10"/>
        <v>659.5</v>
      </c>
      <c r="P82" s="60">
        <f t="shared" si="10"/>
        <v>650.70000000000005</v>
      </c>
      <c r="Q82" s="60">
        <f t="shared" si="10"/>
        <v>641</v>
      </c>
      <c r="R82" s="60">
        <f t="shared" si="10"/>
        <v>659.7</v>
      </c>
      <c r="S82" s="60">
        <f t="shared" si="10"/>
        <v>664</v>
      </c>
      <c r="T82" s="60">
        <f t="shared" si="10"/>
        <v>663.7</v>
      </c>
      <c r="U82" s="60">
        <f t="shared" si="10"/>
        <v>650.79999999999995</v>
      </c>
      <c r="V82" s="60">
        <f t="shared" si="10"/>
        <v>637.40000000000009</v>
      </c>
      <c r="W82" s="60">
        <f t="shared" si="10"/>
        <v>597.20000000000005</v>
      </c>
      <c r="X82" s="60">
        <f t="shared" si="10"/>
        <v>551.20000000000005</v>
      </c>
      <c r="Y82" s="60">
        <f t="shared" si="10"/>
        <v>519.1</v>
      </c>
      <c r="Z82" s="60">
        <f t="shared" si="10"/>
        <v>515.29999999999995</v>
      </c>
      <c r="AA82" s="60">
        <f t="shared" si="10"/>
        <v>0</v>
      </c>
      <c r="AB82" s="60">
        <f t="shared" si="10"/>
        <v>0</v>
      </c>
      <c r="AC82" s="60">
        <f t="shared" si="10"/>
        <v>0</v>
      </c>
      <c r="AD82" s="60">
        <f t="shared" si="10"/>
        <v>0</v>
      </c>
      <c r="AE82" s="60">
        <f t="shared" si="10"/>
        <v>228</v>
      </c>
      <c r="AF82" s="60">
        <f t="shared" si="10"/>
        <v>130</v>
      </c>
      <c r="AG82" s="88">
        <f>SUM(AG71:AG81)</f>
        <v>0</v>
      </c>
      <c r="AH82" s="47">
        <f t="shared" si="8"/>
        <v>695.9</v>
      </c>
      <c r="AI82" s="48">
        <f t="shared" si="9"/>
        <v>0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f t="shared" ref="B87:AG87" si="11">B48+B52+B70+B66+B82+B86</f>
        <v>1469.1399999999999</v>
      </c>
      <c r="C87" s="95">
        <f t="shared" si="11"/>
        <v>1412.6399999999999</v>
      </c>
      <c r="D87" s="95">
        <f t="shared" si="11"/>
        <v>1425.34</v>
      </c>
      <c r="E87" s="95">
        <f t="shared" si="11"/>
        <v>1447.54</v>
      </c>
      <c r="F87" s="95">
        <f t="shared" si="11"/>
        <v>1407.74</v>
      </c>
      <c r="G87" s="95">
        <f>G48+G52+G70+G66+G82+G86</f>
        <v>1405.04</v>
      </c>
      <c r="H87" s="95">
        <f t="shared" si="11"/>
        <v>1400.24</v>
      </c>
      <c r="I87" s="95">
        <f t="shared" si="11"/>
        <v>1407.4399999999998</v>
      </c>
      <c r="J87" s="95">
        <f t="shared" si="11"/>
        <v>1485.44</v>
      </c>
      <c r="K87" s="95">
        <f t="shared" si="11"/>
        <v>1473.7399999999998</v>
      </c>
      <c r="L87" s="95">
        <f t="shared" si="11"/>
        <v>1486.85</v>
      </c>
      <c r="M87" s="95">
        <f t="shared" si="11"/>
        <v>1492.7799999999997</v>
      </c>
      <c r="N87" s="95">
        <f t="shared" si="11"/>
        <v>1529.98</v>
      </c>
      <c r="O87" s="95">
        <f t="shared" si="11"/>
        <v>1518.08</v>
      </c>
      <c r="P87" s="95">
        <f t="shared" si="11"/>
        <v>1570.08</v>
      </c>
      <c r="Q87" s="95">
        <f t="shared" si="11"/>
        <v>1631.84</v>
      </c>
      <c r="R87" s="95">
        <f t="shared" si="11"/>
        <v>1661.6399999999999</v>
      </c>
      <c r="S87" s="95">
        <f t="shared" si="11"/>
        <v>1672.6399999999999</v>
      </c>
      <c r="T87" s="95">
        <f t="shared" si="11"/>
        <v>1701.74</v>
      </c>
      <c r="U87" s="95">
        <f t="shared" si="11"/>
        <v>1701.4399999999998</v>
      </c>
      <c r="V87" s="95">
        <f t="shared" si="11"/>
        <v>1542.8400000000001</v>
      </c>
      <c r="W87" s="95">
        <f t="shared" si="11"/>
        <v>1460.74</v>
      </c>
      <c r="X87" s="95">
        <f t="shared" si="11"/>
        <v>1252.74</v>
      </c>
      <c r="Y87" s="95">
        <f t="shared" si="11"/>
        <v>1217.1399999999999</v>
      </c>
      <c r="Z87" s="95">
        <f t="shared" si="11"/>
        <v>1253.3399999999997</v>
      </c>
      <c r="AA87" s="95">
        <f t="shared" si="11"/>
        <v>3.54</v>
      </c>
      <c r="AB87" s="95">
        <f t="shared" si="11"/>
        <v>3.54</v>
      </c>
      <c r="AC87" s="95">
        <f t="shared" si="11"/>
        <v>3.54</v>
      </c>
      <c r="AD87" s="95">
        <f t="shared" si="11"/>
        <v>3.54</v>
      </c>
      <c r="AE87" s="95">
        <f t="shared" si="11"/>
        <v>982.64</v>
      </c>
      <c r="AF87" s="95">
        <f t="shared" si="11"/>
        <v>919.04</v>
      </c>
      <c r="AG87" s="61">
        <f t="shared" si="11"/>
        <v>2065.09</v>
      </c>
      <c r="AH87" s="47">
        <f>MAX(B87:AF87)</f>
        <v>1701.74</v>
      </c>
      <c r="AI87" s="48">
        <f>MIN(B87:AF87)</f>
        <v>3.54</v>
      </c>
    </row>
    <row r="88" spans="1:40" ht="15.75" thickBot="1" x14ac:dyDescent="0.3">
      <c r="A88" s="96" t="s">
        <v>99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>
        <v>150</v>
      </c>
      <c r="N88" s="97">
        <v>150</v>
      </c>
      <c r="O88" s="97">
        <v>150</v>
      </c>
      <c r="P88" s="97">
        <v>150</v>
      </c>
      <c r="Q88" s="97"/>
      <c r="R88" s="97"/>
      <c r="S88" s="97"/>
      <c r="T88" s="97"/>
      <c r="U88" s="97"/>
      <c r="V88" s="97"/>
      <c r="W88" s="97">
        <v>180</v>
      </c>
      <c r="X88" s="97">
        <v>250</v>
      </c>
      <c r="Y88" s="97">
        <v>250</v>
      </c>
      <c r="Z88" s="97">
        <v>250</v>
      </c>
      <c r="AA88" s="97"/>
      <c r="AB88" s="97"/>
      <c r="AC88" s="97"/>
      <c r="AD88" s="97"/>
      <c r="AE88" s="97">
        <v>400</v>
      </c>
      <c r="AF88" s="97">
        <v>400</v>
      </c>
      <c r="AG88" s="88"/>
      <c r="AH88" s="47">
        <f t="shared" si="8"/>
        <v>400</v>
      </c>
      <c r="AI88" s="48">
        <f t="shared" si="9"/>
        <v>150</v>
      </c>
    </row>
    <row r="89" spans="1:40" ht="15.75" thickBot="1" x14ac:dyDescent="0.3">
      <c r="A89" s="74" t="s">
        <v>100</v>
      </c>
      <c r="B89" s="95">
        <f t="shared" ref="B89:AF89" si="12">B87+B88</f>
        <v>1469.1399999999999</v>
      </c>
      <c r="C89" s="95">
        <f t="shared" si="12"/>
        <v>1412.6399999999999</v>
      </c>
      <c r="D89" s="95">
        <f t="shared" si="12"/>
        <v>1425.34</v>
      </c>
      <c r="E89" s="95">
        <f t="shared" si="12"/>
        <v>1447.54</v>
      </c>
      <c r="F89" s="95">
        <f t="shared" si="12"/>
        <v>1407.74</v>
      </c>
      <c r="G89" s="95">
        <f>G87+G88</f>
        <v>1405.04</v>
      </c>
      <c r="H89" s="95">
        <f t="shared" si="12"/>
        <v>1400.24</v>
      </c>
      <c r="I89" s="95">
        <f t="shared" si="12"/>
        <v>1407.4399999999998</v>
      </c>
      <c r="J89" s="95">
        <f t="shared" si="12"/>
        <v>1485.44</v>
      </c>
      <c r="K89" s="95">
        <f t="shared" si="12"/>
        <v>1473.7399999999998</v>
      </c>
      <c r="L89" s="95">
        <f t="shared" si="12"/>
        <v>1486.85</v>
      </c>
      <c r="M89" s="95">
        <f t="shared" si="12"/>
        <v>1642.7799999999997</v>
      </c>
      <c r="N89" s="95">
        <f t="shared" si="12"/>
        <v>1679.98</v>
      </c>
      <c r="O89" s="95">
        <f t="shared" si="12"/>
        <v>1668.08</v>
      </c>
      <c r="P89" s="95">
        <f t="shared" si="12"/>
        <v>1720.08</v>
      </c>
      <c r="Q89" s="95">
        <f t="shared" si="12"/>
        <v>1631.84</v>
      </c>
      <c r="R89" s="95">
        <f t="shared" si="12"/>
        <v>1661.6399999999999</v>
      </c>
      <c r="S89" s="95">
        <f t="shared" si="12"/>
        <v>1672.6399999999999</v>
      </c>
      <c r="T89" s="95">
        <f t="shared" si="12"/>
        <v>1701.74</v>
      </c>
      <c r="U89" s="95">
        <f t="shared" si="12"/>
        <v>1701.4399999999998</v>
      </c>
      <c r="V89" s="95">
        <f t="shared" si="12"/>
        <v>1542.8400000000001</v>
      </c>
      <c r="W89" s="95">
        <f t="shared" si="12"/>
        <v>1640.74</v>
      </c>
      <c r="X89" s="95">
        <f t="shared" si="12"/>
        <v>1502.74</v>
      </c>
      <c r="Y89" s="95">
        <f t="shared" si="12"/>
        <v>1467.1399999999999</v>
      </c>
      <c r="Z89" s="95">
        <f t="shared" si="12"/>
        <v>1503.3399999999997</v>
      </c>
      <c r="AA89" s="95">
        <f t="shared" si="12"/>
        <v>3.54</v>
      </c>
      <c r="AB89" s="95">
        <f t="shared" si="12"/>
        <v>3.54</v>
      </c>
      <c r="AC89" s="95">
        <f t="shared" si="12"/>
        <v>3.54</v>
      </c>
      <c r="AD89" s="95">
        <f t="shared" si="12"/>
        <v>3.54</v>
      </c>
      <c r="AE89" s="95">
        <f t="shared" si="12"/>
        <v>1382.6399999999999</v>
      </c>
      <c r="AF89" s="95">
        <f t="shared" si="12"/>
        <v>1319.04</v>
      </c>
      <c r="AG89" s="88">
        <f>AG86+AG82+AG70+AG66+AG48+AG88</f>
        <v>1526.99</v>
      </c>
      <c r="AH89" s="47">
        <f t="shared" si="8"/>
        <v>1720.08</v>
      </c>
      <c r="AI89" s="48">
        <f t="shared" si="9"/>
        <v>3.54</v>
      </c>
    </row>
    <row r="90" spans="1:40" ht="15.75" thickBot="1" x14ac:dyDescent="0.3">
      <c r="A90" s="74" t="s">
        <v>101</v>
      </c>
      <c r="B90" s="95">
        <f t="shared" ref="B90:AF90" si="13">B89-B97</f>
        <v>1469.1399999999999</v>
      </c>
      <c r="C90" s="95">
        <f t="shared" si="13"/>
        <v>1412.6399999999999</v>
      </c>
      <c r="D90" s="95">
        <f t="shared" si="13"/>
        <v>1425.34</v>
      </c>
      <c r="E90" s="95">
        <f t="shared" si="13"/>
        <v>1447.54</v>
      </c>
      <c r="F90" s="95">
        <f t="shared" si="13"/>
        <v>1407.74</v>
      </c>
      <c r="G90" s="95">
        <f>G89-G97</f>
        <v>1405.04</v>
      </c>
      <c r="H90" s="95">
        <f t="shared" si="13"/>
        <v>1400.24</v>
      </c>
      <c r="I90" s="95">
        <f t="shared" si="13"/>
        <v>1407.4399999999998</v>
      </c>
      <c r="J90" s="95">
        <f t="shared" si="13"/>
        <v>1485.44</v>
      </c>
      <c r="K90" s="95">
        <f t="shared" si="13"/>
        <v>1473.7399999999998</v>
      </c>
      <c r="L90" s="95">
        <f t="shared" si="13"/>
        <v>1486.85</v>
      </c>
      <c r="M90" s="95">
        <f t="shared" si="13"/>
        <v>1642.7799999999997</v>
      </c>
      <c r="N90" s="95">
        <f t="shared" si="13"/>
        <v>1679.98</v>
      </c>
      <c r="O90" s="95">
        <f t="shared" si="13"/>
        <v>1668.08</v>
      </c>
      <c r="P90" s="95">
        <f t="shared" si="13"/>
        <v>1720.08</v>
      </c>
      <c r="Q90" s="95">
        <f t="shared" si="13"/>
        <v>1631.84</v>
      </c>
      <c r="R90" s="95">
        <f t="shared" si="13"/>
        <v>1661.6399999999999</v>
      </c>
      <c r="S90" s="95">
        <f t="shared" si="13"/>
        <v>1672.6399999999999</v>
      </c>
      <c r="T90" s="95">
        <f t="shared" si="13"/>
        <v>1701.74</v>
      </c>
      <c r="U90" s="95">
        <f t="shared" si="13"/>
        <v>1701.4399999999998</v>
      </c>
      <c r="V90" s="95">
        <f t="shared" si="13"/>
        <v>1542.8400000000001</v>
      </c>
      <c r="W90" s="95">
        <f t="shared" si="13"/>
        <v>1640.74</v>
      </c>
      <c r="X90" s="95">
        <f t="shared" si="13"/>
        <v>1502.74</v>
      </c>
      <c r="Y90" s="95">
        <f t="shared" si="13"/>
        <v>1467.1399999999999</v>
      </c>
      <c r="Z90" s="95">
        <f t="shared" si="13"/>
        <v>1503.3399999999997</v>
      </c>
      <c r="AA90" s="95">
        <f t="shared" si="13"/>
        <v>3.54</v>
      </c>
      <c r="AB90" s="95">
        <f t="shared" si="13"/>
        <v>3.54</v>
      </c>
      <c r="AC90" s="95">
        <f t="shared" si="13"/>
        <v>3.54</v>
      </c>
      <c r="AD90" s="95">
        <f t="shared" si="13"/>
        <v>3.54</v>
      </c>
      <c r="AE90" s="95">
        <f t="shared" si="13"/>
        <v>1382.6399999999999</v>
      </c>
      <c r="AF90" s="95">
        <f t="shared" si="13"/>
        <v>1319.04</v>
      </c>
      <c r="AG90" s="88"/>
      <c r="AH90" s="47">
        <f t="shared" si="8"/>
        <v>1720.08</v>
      </c>
      <c r="AI90" s="48">
        <f t="shared" si="9"/>
        <v>3.54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f t="shared" ref="B98:AF98" si="14">B82-B97</f>
        <v>569.19999999999993</v>
      </c>
      <c r="C98" s="60">
        <f t="shared" si="14"/>
        <v>485.1</v>
      </c>
      <c r="D98" s="60">
        <f t="shared" si="14"/>
        <v>546.5</v>
      </c>
      <c r="E98" s="60">
        <f t="shared" si="14"/>
        <v>570.4</v>
      </c>
      <c r="F98" s="60">
        <f t="shared" si="14"/>
        <v>572.30000000000007</v>
      </c>
      <c r="G98" s="60">
        <f>G82-G97</f>
        <v>563</v>
      </c>
      <c r="H98" s="60">
        <f t="shared" si="14"/>
        <v>544.1</v>
      </c>
      <c r="I98" s="60">
        <f t="shared" si="14"/>
        <v>576.29999999999995</v>
      </c>
      <c r="J98" s="60">
        <f t="shared" si="14"/>
        <v>597.20000000000005</v>
      </c>
      <c r="K98" s="60">
        <f t="shared" si="14"/>
        <v>609.5</v>
      </c>
      <c r="L98" s="60">
        <f t="shared" si="14"/>
        <v>622.2700000000001</v>
      </c>
      <c r="M98" s="60">
        <f t="shared" si="14"/>
        <v>617.79999999999995</v>
      </c>
      <c r="N98" s="60">
        <f t="shared" si="14"/>
        <v>695.9</v>
      </c>
      <c r="O98" s="60">
        <f t="shared" si="14"/>
        <v>659.5</v>
      </c>
      <c r="P98" s="60">
        <f t="shared" si="14"/>
        <v>650.70000000000005</v>
      </c>
      <c r="Q98" s="60">
        <f t="shared" si="14"/>
        <v>641</v>
      </c>
      <c r="R98" s="60">
        <f t="shared" si="14"/>
        <v>659.7</v>
      </c>
      <c r="S98" s="60">
        <f t="shared" si="14"/>
        <v>664</v>
      </c>
      <c r="T98" s="60">
        <f t="shared" si="14"/>
        <v>663.7</v>
      </c>
      <c r="U98" s="60">
        <f t="shared" si="14"/>
        <v>650.79999999999995</v>
      </c>
      <c r="V98" s="60">
        <f t="shared" si="14"/>
        <v>637.40000000000009</v>
      </c>
      <c r="W98" s="60">
        <f t="shared" si="14"/>
        <v>597.20000000000005</v>
      </c>
      <c r="X98" s="60">
        <f t="shared" si="14"/>
        <v>551.20000000000005</v>
      </c>
      <c r="Y98" s="60">
        <f t="shared" si="14"/>
        <v>519.1</v>
      </c>
      <c r="Z98" s="60">
        <f t="shared" si="14"/>
        <v>515.29999999999995</v>
      </c>
      <c r="AA98" s="60">
        <f t="shared" si="14"/>
        <v>0</v>
      </c>
      <c r="AB98" s="60">
        <f t="shared" si="14"/>
        <v>0</v>
      </c>
      <c r="AC98" s="60">
        <f t="shared" si="14"/>
        <v>0</v>
      </c>
      <c r="AD98" s="60">
        <f t="shared" si="14"/>
        <v>0</v>
      </c>
      <c r="AE98" s="60">
        <f t="shared" si="14"/>
        <v>228</v>
      </c>
      <c r="AF98" s="60">
        <f t="shared" si="14"/>
        <v>130</v>
      </c>
      <c r="AG98" s="88"/>
      <c r="AH98" s="47">
        <f t="shared" si="8"/>
        <v>695.9</v>
      </c>
      <c r="AI98" s="48">
        <f t="shared" si="9"/>
        <v>0</v>
      </c>
    </row>
    <row r="99" spans="1:37" x14ac:dyDescent="0.25">
      <c r="A99" s="100" t="s">
        <v>107</v>
      </c>
      <c r="B99" s="101">
        <v>50.076999999999998</v>
      </c>
      <c r="C99" s="101">
        <v>50.067999999999998</v>
      </c>
      <c r="D99" s="101">
        <v>49.984999999999999</v>
      </c>
      <c r="E99" s="101">
        <v>49.997999999999998</v>
      </c>
      <c r="F99" s="101">
        <v>50.001300000000001</v>
      </c>
      <c r="G99" s="101">
        <v>49.523000000000003</v>
      </c>
      <c r="H99" s="101">
        <v>49.954000000000001</v>
      </c>
      <c r="I99" s="101">
        <v>49.963000000000001</v>
      </c>
      <c r="J99" s="101">
        <v>50.040999999999997</v>
      </c>
      <c r="K99" s="101">
        <v>50.079000000000001</v>
      </c>
      <c r="L99" s="101">
        <v>50.073</v>
      </c>
      <c r="M99" s="101">
        <v>50.1</v>
      </c>
      <c r="N99" s="101">
        <v>50.143000000000001</v>
      </c>
      <c r="O99" s="101">
        <v>49.971400000000003</v>
      </c>
      <c r="P99" s="101">
        <v>49.997999999999998</v>
      </c>
      <c r="Q99" s="101">
        <v>49</v>
      </c>
      <c r="R99" s="101">
        <v>49.725999999999999</v>
      </c>
      <c r="S99" s="101">
        <v>50.118000000000002</v>
      </c>
      <c r="T99" s="101">
        <v>50.024000000000001</v>
      </c>
      <c r="U99" s="101">
        <v>49.899000000000001</v>
      </c>
      <c r="V99" s="101">
        <v>49.899000000000001</v>
      </c>
      <c r="W99" s="101">
        <v>49.962000000000003</v>
      </c>
      <c r="X99" s="101">
        <v>50.076000000000001</v>
      </c>
      <c r="Y99" s="101">
        <v>50.097000000000001</v>
      </c>
      <c r="Z99" s="101">
        <v>50.162999999999997</v>
      </c>
      <c r="AA99" s="101"/>
      <c r="AB99" s="101"/>
      <c r="AC99" s="101"/>
      <c r="AD99" s="101"/>
      <c r="AE99" s="101">
        <v>50.01</v>
      </c>
      <c r="AF99" s="101">
        <v>50.03</v>
      </c>
      <c r="AG99" s="102"/>
      <c r="AH99" s="47">
        <f t="shared" si="8"/>
        <v>50.162999999999997</v>
      </c>
      <c r="AI99" s="48">
        <f t="shared" si="9"/>
        <v>49</v>
      </c>
    </row>
    <row r="100" spans="1:37" x14ac:dyDescent="0.25">
      <c r="A100" s="103" t="s">
        <v>108</v>
      </c>
      <c r="B100" s="65">
        <v>124.3</v>
      </c>
      <c r="C100" s="65">
        <v>125.5</v>
      </c>
      <c r="D100" s="65">
        <v>124.7</v>
      </c>
      <c r="E100" s="65">
        <v>125.3</v>
      </c>
      <c r="F100" s="65">
        <v>127.3</v>
      </c>
      <c r="G100" s="65">
        <v>124.1</v>
      </c>
      <c r="H100" s="65">
        <v>124.7</v>
      </c>
      <c r="I100" s="65">
        <v>124.7</v>
      </c>
      <c r="J100" s="65">
        <v>125.1</v>
      </c>
      <c r="K100" s="65">
        <v>124.8</v>
      </c>
      <c r="L100" s="65">
        <v>124.3</v>
      </c>
      <c r="M100" s="65">
        <v>125.1</v>
      </c>
      <c r="N100" s="65">
        <v>122.5</v>
      </c>
      <c r="O100" s="65">
        <v>123.6</v>
      </c>
      <c r="P100" s="65">
        <v>123.2</v>
      </c>
      <c r="Q100" s="65">
        <v>124.9</v>
      </c>
      <c r="R100" s="65">
        <v>125.2</v>
      </c>
      <c r="S100" s="65">
        <v>126.1</v>
      </c>
      <c r="T100" s="65">
        <v>124.3</v>
      </c>
      <c r="U100" s="65">
        <v>124.7</v>
      </c>
      <c r="V100" s="65">
        <v>124.7</v>
      </c>
      <c r="W100" s="65">
        <v>126.3</v>
      </c>
      <c r="X100" s="65">
        <v>128.5</v>
      </c>
      <c r="Y100" s="65">
        <v>127.5</v>
      </c>
      <c r="Z100" s="65">
        <v>127.8</v>
      </c>
      <c r="AA100" s="65"/>
      <c r="AB100" s="65"/>
      <c r="AC100" s="65"/>
      <c r="AD100" s="65"/>
      <c r="AE100" s="65">
        <v>128</v>
      </c>
      <c r="AF100" s="65">
        <v>128</v>
      </c>
      <c r="AG100" s="104"/>
      <c r="AH100" s="47">
        <f t="shared" si="8"/>
        <v>128.5</v>
      </c>
      <c r="AI100" s="48">
        <f t="shared" si="9"/>
        <v>122.5</v>
      </c>
    </row>
    <row r="101" spans="1:37" x14ac:dyDescent="0.25">
      <c r="A101" s="103" t="s">
        <v>109</v>
      </c>
      <c r="B101" s="65">
        <v>129.5</v>
      </c>
      <c r="C101" s="65">
        <v>129.80000000000001</v>
      </c>
      <c r="D101" s="65">
        <v>129.6</v>
      </c>
      <c r="E101" s="65">
        <v>130.1</v>
      </c>
      <c r="F101" s="65">
        <v>131.4</v>
      </c>
      <c r="G101" s="65">
        <v>129.19999999999999</v>
      </c>
      <c r="H101" s="65">
        <v>129.1</v>
      </c>
      <c r="I101" s="65">
        <v>128.5</v>
      </c>
      <c r="J101" s="65">
        <v>128.30000000000001</v>
      </c>
      <c r="K101" s="65">
        <v>128.5</v>
      </c>
      <c r="L101" s="65">
        <v>127.6</v>
      </c>
      <c r="M101" s="65">
        <v>128.30000000000001</v>
      </c>
      <c r="N101" s="65">
        <v>126.1</v>
      </c>
      <c r="O101" s="65">
        <v>126.8</v>
      </c>
      <c r="P101" s="65">
        <v>126.3</v>
      </c>
      <c r="Q101" s="65">
        <v>128</v>
      </c>
      <c r="R101" s="65">
        <v>128.9</v>
      </c>
      <c r="S101" s="65">
        <v>129.30000000000001</v>
      </c>
      <c r="T101" s="65">
        <v>127.7</v>
      </c>
      <c r="U101" s="65">
        <v>128.1</v>
      </c>
      <c r="V101" s="65">
        <v>128.1</v>
      </c>
      <c r="W101" s="65">
        <v>129.6</v>
      </c>
      <c r="X101" s="65">
        <v>131</v>
      </c>
      <c r="Y101" s="65">
        <v>128.69999999999999</v>
      </c>
      <c r="Z101" s="65">
        <v>130.4</v>
      </c>
      <c r="AA101" s="65"/>
      <c r="AB101" s="65"/>
      <c r="AC101" s="65"/>
      <c r="AD101" s="65"/>
      <c r="AE101" s="65">
        <v>132</v>
      </c>
      <c r="AF101" s="65">
        <v>132</v>
      </c>
      <c r="AG101" s="104"/>
      <c r="AH101" s="47">
        <f t="shared" si="8"/>
        <v>132</v>
      </c>
      <c r="AI101" s="48">
        <f t="shared" si="9"/>
        <v>126.1</v>
      </c>
    </row>
    <row r="102" spans="1:37" x14ac:dyDescent="0.25">
      <c r="A102" s="103" t="s">
        <v>110</v>
      </c>
      <c r="B102" s="65">
        <v>127.7</v>
      </c>
      <c r="C102" s="65">
        <v>127</v>
      </c>
      <c r="D102" s="65">
        <v>125.1</v>
      </c>
      <c r="E102" s="65">
        <v>128.5</v>
      </c>
      <c r="F102" s="65">
        <v>133.30000000000001</v>
      </c>
      <c r="G102" s="65">
        <v>130.5</v>
      </c>
      <c r="H102" s="65">
        <v>129.69999999999999</v>
      </c>
      <c r="I102" s="65">
        <v>129.69999999999999</v>
      </c>
      <c r="J102" s="65">
        <v>123.9</v>
      </c>
      <c r="K102" s="65">
        <v>126.2</v>
      </c>
      <c r="L102" s="65">
        <v>126</v>
      </c>
      <c r="M102" s="65">
        <v>125.3</v>
      </c>
      <c r="N102" s="65">
        <v>124</v>
      </c>
      <c r="O102" s="65">
        <v>120.6</v>
      </c>
      <c r="P102" s="65">
        <v>121.5</v>
      </c>
      <c r="Q102" s="65">
        <v>127</v>
      </c>
      <c r="R102" s="65">
        <v>123.8</v>
      </c>
      <c r="S102" s="65">
        <v>123.3</v>
      </c>
      <c r="T102" s="65">
        <v>125.9</v>
      </c>
      <c r="U102" s="65">
        <v>122.5</v>
      </c>
      <c r="V102" s="65">
        <v>122.5</v>
      </c>
      <c r="W102" s="65">
        <v>128.30000000000001</v>
      </c>
      <c r="X102" s="65">
        <v>127.7</v>
      </c>
      <c r="Y102" s="65">
        <v>127</v>
      </c>
      <c r="Z102" s="65">
        <v>130.4</v>
      </c>
      <c r="AA102" s="65"/>
      <c r="AB102" s="65"/>
      <c r="AC102" s="65"/>
      <c r="AD102" s="65"/>
      <c r="AE102" s="65">
        <v>128</v>
      </c>
      <c r="AF102" s="65">
        <v>128</v>
      </c>
      <c r="AG102" s="104"/>
      <c r="AH102" s="47">
        <f t="shared" si="8"/>
        <v>133.30000000000001</v>
      </c>
      <c r="AI102" s="48">
        <f t="shared" si="9"/>
        <v>120.6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>
        <v>132.30000000000001</v>
      </c>
      <c r="C104" s="106">
        <v>130.5</v>
      </c>
      <c r="D104" s="106">
        <v>131.1</v>
      </c>
      <c r="E104" s="106">
        <v>131.4</v>
      </c>
      <c r="F104" s="106">
        <v>134.6</v>
      </c>
      <c r="G104" s="106">
        <v>131.4</v>
      </c>
      <c r="H104" s="106">
        <v>134.80000000000001</v>
      </c>
      <c r="I104" s="106">
        <v>134.80000000000001</v>
      </c>
      <c r="J104" s="106">
        <v>132.19999999999999</v>
      </c>
      <c r="K104" s="106">
        <v>134</v>
      </c>
      <c r="L104" s="106">
        <v>135.30000000000001</v>
      </c>
      <c r="M104" s="106">
        <v>135.19999999999999</v>
      </c>
      <c r="N104" s="106">
        <v>131.30000000000001</v>
      </c>
      <c r="O104" s="106">
        <v>131.4</v>
      </c>
      <c r="P104" s="106">
        <v>130</v>
      </c>
      <c r="Q104" s="106">
        <v>131.5</v>
      </c>
      <c r="R104" s="106">
        <v>134</v>
      </c>
      <c r="S104" s="106">
        <v>133.1</v>
      </c>
      <c r="T104" s="106">
        <v>133</v>
      </c>
      <c r="U104" s="106">
        <v>129.6</v>
      </c>
      <c r="V104" s="106">
        <v>129.6</v>
      </c>
      <c r="W104" s="106">
        <v>135.30000000000001</v>
      </c>
      <c r="X104" s="106">
        <v>133.4</v>
      </c>
      <c r="Y104" s="106">
        <v>128.6</v>
      </c>
      <c r="Z104" s="106">
        <v>133.4</v>
      </c>
      <c r="AA104" s="106"/>
      <c r="AB104" s="106"/>
      <c r="AC104" s="106"/>
      <c r="AD104" s="106"/>
      <c r="AE104" s="106">
        <v>130</v>
      </c>
      <c r="AF104" s="106">
        <v>130</v>
      </c>
      <c r="AG104" s="107"/>
      <c r="AH104" s="47">
        <f t="shared" si="8"/>
        <v>135.30000000000001</v>
      </c>
      <c r="AI104" s="48">
        <f t="shared" si="9"/>
        <v>128.6</v>
      </c>
    </row>
    <row r="105" spans="1:37" x14ac:dyDescent="0.25">
      <c r="A105" s="103" t="s">
        <v>113</v>
      </c>
      <c r="B105" s="65">
        <v>134.5</v>
      </c>
      <c r="C105" s="65">
        <v>135.30000000000001</v>
      </c>
      <c r="D105" s="65">
        <v>136.69999999999999</v>
      </c>
      <c r="E105" s="65">
        <v>134.19999999999999</v>
      </c>
      <c r="F105" s="65">
        <v>131.9</v>
      </c>
      <c r="G105" s="65">
        <v>131.4</v>
      </c>
      <c r="H105" s="65">
        <v>131.30000000000001</v>
      </c>
      <c r="I105" s="65">
        <v>131.30000000000001</v>
      </c>
      <c r="J105" s="65">
        <v>134.19999999999999</v>
      </c>
      <c r="K105" s="65">
        <v>133</v>
      </c>
      <c r="L105" s="65">
        <v>125.9</v>
      </c>
      <c r="M105" s="65">
        <v>129.9</v>
      </c>
      <c r="N105" s="65">
        <v>131.6</v>
      </c>
      <c r="O105" s="65">
        <v>129.19999999999999</v>
      </c>
      <c r="P105" s="65">
        <v>127</v>
      </c>
      <c r="Q105" s="65">
        <v>127.4</v>
      </c>
      <c r="R105" s="65">
        <v>126.8</v>
      </c>
      <c r="S105" s="65">
        <v>126.6</v>
      </c>
      <c r="T105" s="65">
        <v>126</v>
      </c>
      <c r="U105" s="65">
        <v>130.9</v>
      </c>
      <c r="V105" s="65">
        <v>130.9</v>
      </c>
      <c r="W105" s="65">
        <v>134</v>
      </c>
      <c r="X105" s="65">
        <v>137.4</v>
      </c>
      <c r="Y105" s="65">
        <v>132.30000000000001</v>
      </c>
      <c r="Z105" s="65">
        <v>133.5</v>
      </c>
      <c r="AA105" s="65"/>
      <c r="AB105" s="65"/>
      <c r="AC105" s="65"/>
      <c r="AD105" s="65"/>
      <c r="AE105" s="65">
        <v>130</v>
      </c>
      <c r="AF105" s="65">
        <v>130</v>
      </c>
      <c r="AG105" s="104"/>
      <c r="AH105" s="47">
        <f t="shared" si="8"/>
        <v>137.4</v>
      </c>
      <c r="AI105" s="48">
        <f t="shared" si="9"/>
        <v>125.9</v>
      </c>
    </row>
    <row r="106" spans="1:37" ht="15.75" thickBot="1" x14ac:dyDescent="0.3">
      <c r="A106" s="103" t="s">
        <v>114</v>
      </c>
      <c r="B106" s="92">
        <v>65</v>
      </c>
      <c r="C106" s="92">
        <v>65.099999999999994</v>
      </c>
      <c r="D106" s="92">
        <v>65.099999999999994</v>
      </c>
      <c r="E106" s="92">
        <v>65.099999999999994</v>
      </c>
      <c r="F106" s="92">
        <v>66.099999999999994</v>
      </c>
      <c r="G106" s="92">
        <v>64.7</v>
      </c>
      <c r="H106" s="92">
        <v>64.599999999999994</v>
      </c>
      <c r="I106" s="92">
        <v>64.599999999999994</v>
      </c>
      <c r="J106" s="92">
        <v>64</v>
      </c>
      <c r="K106" s="92">
        <v>64.099999999999994</v>
      </c>
      <c r="L106" s="92">
        <v>63.7</v>
      </c>
      <c r="M106" s="92">
        <v>64.2</v>
      </c>
      <c r="N106" s="92">
        <v>63.1</v>
      </c>
      <c r="O106" s="92">
        <v>63.3</v>
      </c>
      <c r="P106" s="92">
        <v>63.2</v>
      </c>
      <c r="Q106" s="92">
        <v>63.7</v>
      </c>
      <c r="R106" s="92">
        <v>65</v>
      </c>
      <c r="S106" s="92">
        <v>64.8</v>
      </c>
      <c r="T106" s="92">
        <v>65</v>
      </c>
      <c r="U106" s="92">
        <v>64</v>
      </c>
      <c r="V106" s="92">
        <v>64</v>
      </c>
      <c r="W106" s="92">
        <v>64.8</v>
      </c>
      <c r="X106" s="92">
        <v>65.5</v>
      </c>
      <c r="Y106" s="92">
        <v>64.099999999999994</v>
      </c>
      <c r="Z106" s="92">
        <v>65</v>
      </c>
      <c r="AA106" s="92"/>
      <c r="AB106" s="92"/>
      <c r="AC106" s="92"/>
      <c r="AD106" s="92"/>
      <c r="AE106" s="92">
        <v>66.7</v>
      </c>
      <c r="AF106" s="92">
        <v>66.7</v>
      </c>
      <c r="AG106" s="108"/>
      <c r="AH106" s="47">
        <f t="shared" si="8"/>
        <v>66.7</v>
      </c>
      <c r="AI106" s="48">
        <f t="shared" si="9"/>
        <v>63.1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f t="shared" ref="B108:AF108" si="15">SUM(B18,B24,B27:B28,B56,B58:B59,B61,B63,B109:B113,B135,B141,B147,B156,B158,B170,B177,B180:B181,B188,B190,B192,B196:B198,B200:B202,B207,B213:B214,B216:B218,B226,B231)</f>
        <v>127.69999999999999</v>
      </c>
      <c r="C108" s="111">
        <f t="shared" si="15"/>
        <v>116.73999999999998</v>
      </c>
      <c r="D108" s="111">
        <f t="shared" si="15"/>
        <v>108.74000000000001</v>
      </c>
      <c r="E108" s="111">
        <f t="shared" si="15"/>
        <v>105.54</v>
      </c>
      <c r="F108" s="111">
        <f t="shared" si="15"/>
        <v>113.24000000000001</v>
      </c>
      <c r="G108" s="111">
        <f t="shared" si="15"/>
        <v>148.04000000000002</v>
      </c>
      <c r="H108" s="111">
        <f t="shared" si="15"/>
        <v>167.44</v>
      </c>
      <c r="I108" s="111">
        <f t="shared" si="15"/>
        <v>191.44</v>
      </c>
      <c r="J108" s="111">
        <f t="shared" si="15"/>
        <v>222.54000000000002</v>
      </c>
      <c r="K108" s="111">
        <f t="shared" si="15"/>
        <v>248.44000000000005</v>
      </c>
      <c r="L108" s="111">
        <f t="shared" si="15"/>
        <v>272.44</v>
      </c>
      <c r="M108" s="111">
        <f t="shared" si="15"/>
        <v>280.84000000000003</v>
      </c>
      <c r="N108" s="111">
        <f t="shared" si="15"/>
        <v>275.53999999999996</v>
      </c>
      <c r="O108" s="111">
        <f t="shared" si="15"/>
        <v>284.14</v>
      </c>
      <c r="P108" s="111">
        <v>42</v>
      </c>
      <c r="Q108" s="111">
        <f t="shared" si="15"/>
        <v>243.29000000000002</v>
      </c>
      <c r="R108" s="111">
        <f t="shared" si="15"/>
        <v>263.70000000000005</v>
      </c>
      <c r="S108" s="111">
        <f t="shared" si="15"/>
        <v>266.3</v>
      </c>
      <c r="T108" s="111">
        <f t="shared" si="15"/>
        <v>258.89999999999998</v>
      </c>
      <c r="U108" s="111">
        <f t="shared" si="15"/>
        <v>169.90000000000003</v>
      </c>
      <c r="V108" s="111">
        <f t="shared" si="15"/>
        <v>161.70000000000005</v>
      </c>
      <c r="W108" s="111">
        <f t="shared" si="15"/>
        <v>300.80000000000007</v>
      </c>
      <c r="X108" s="111">
        <f t="shared" si="15"/>
        <v>281.20000000000005</v>
      </c>
      <c r="Y108" s="111">
        <f t="shared" si="15"/>
        <v>299.3</v>
      </c>
      <c r="Z108" s="111">
        <f t="shared" si="15"/>
        <v>330.70000000000005</v>
      </c>
      <c r="AA108" s="111">
        <f t="shared" si="15"/>
        <v>0</v>
      </c>
      <c r="AB108" s="111">
        <f t="shared" si="15"/>
        <v>0</v>
      </c>
      <c r="AC108" s="111">
        <f t="shared" si="15"/>
        <v>0</v>
      </c>
      <c r="AD108" s="111">
        <f t="shared" si="15"/>
        <v>0</v>
      </c>
      <c r="AE108" s="111">
        <f t="shared" si="15"/>
        <v>101.60000000000002</v>
      </c>
      <c r="AF108" s="111">
        <f t="shared" si="15"/>
        <v>112</v>
      </c>
      <c r="AG108" s="112"/>
      <c r="AH108" s="47">
        <f t="shared" si="8"/>
        <v>330.70000000000005</v>
      </c>
      <c r="AI108" s="48">
        <f t="shared" si="9"/>
        <v>0</v>
      </c>
    </row>
    <row r="109" spans="1:37" x14ac:dyDescent="0.25">
      <c r="A109" s="100" t="s">
        <v>117</v>
      </c>
      <c r="B109" s="113">
        <v>2.5</v>
      </c>
      <c r="C109" s="113">
        <v>-9.9</v>
      </c>
      <c r="D109" s="113">
        <v>-10.1</v>
      </c>
      <c r="E109" s="113">
        <v>-8.5</v>
      </c>
      <c r="F109" s="113">
        <v>-6.5</v>
      </c>
      <c r="G109" s="113">
        <v>8.4</v>
      </c>
      <c r="H109" s="113">
        <v>7.1</v>
      </c>
      <c r="I109" s="113">
        <v>1.8</v>
      </c>
      <c r="J109" s="113">
        <v>11.5</v>
      </c>
      <c r="K109" s="113">
        <v>14.3</v>
      </c>
      <c r="L109" s="113">
        <v>19.2</v>
      </c>
      <c r="M109" s="113">
        <v>24.3</v>
      </c>
      <c r="N109" s="113">
        <v>24.7</v>
      </c>
      <c r="O109" s="113">
        <v>24.3</v>
      </c>
      <c r="P109" s="113">
        <v>6.4</v>
      </c>
      <c r="Q109" s="113">
        <v>11.9</v>
      </c>
      <c r="R109" s="113">
        <v>11.8</v>
      </c>
      <c r="S109" s="113">
        <v>11.4</v>
      </c>
      <c r="T109" s="113">
        <v>9.1</v>
      </c>
      <c r="U109" s="113">
        <v>6.3</v>
      </c>
      <c r="V109" s="113">
        <v>6.3</v>
      </c>
      <c r="W109" s="113">
        <v>47</v>
      </c>
      <c r="X109" s="113">
        <v>37</v>
      </c>
      <c r="Y109" s="113">
        <v>33.200000000000003</v>
      </c>
      <c r="Z109" s="113">
        <v>37.6</v>
      </c>
      <c r="AA109" s="113"/>
      <c r="AB109" s="113"/>
      <c r="AC109" s="113"/>
      <c r="AD109" s="113"/>
      <c r="AE109" s="113">
        <v>44</v>
      </c>
      <c r="AF109" s="113"/>
      <c r="AG109" s="114">
        <v>75</v>
      </c>
      <c r="AH109" s="47">
        <f t="shared" si="8"/>
        <v>47</v>
      </c>
      <c r="AI109" s="48">
        <f t="shared" si="9"/>
        <v>-10.1</v>
      </c>
    </row>
    <row r="110" spans="1:37" x14ac:dyDescent="0.25">
      <c r="A110" s="103" t="s">
        <v>118</v>
      </c>
      <c r="B110" s="115">
        <v>11.4</v>
      </c>
      <c r="C110" s="115">
        <v>-4.8</v>
      </c>
      <c r="D110" s="115">
        <v>-4.5999999999999996</v>
      </c>
      <c r="E110" s="115">
        <v>-4.5999999999999996</v>
      </c>
      <c r="F110" s="115">
        <v>0</v>
      </c>
      <c r="G110" s="115">
        <v>0</v>
      </c>
      <c r="H110" s="115">
        <v>18.7</v>
      </c>
      <c r="I110" s="115">
        <v>11.4</v>
      </c>
      <c r="J110" s="115">
        <v>24.2</v>
      </c>
      <c r="K110" s="115">
        <v>22.3</v>
      </c>
      <c r="L110" s="115">
        <v>26.8</v>
      </c>
      <c r="M110" s="115">
        <v>34.299999999999997</v>
      </c>
      <c r="N110" s="115">
        <v>34.799999999999997</v>
      </c>
      <c r="O110" s="115">
        <v>34.1</v>
      </c>
      <c r="P110" s="115">
        <v>14</v>
      </c>
      <c r="Q110" s="115">
        <v>22.8</v>
      </c>
      <c r="R110" s="115">
        <v>25.2</v>
      </c>
      <c r="S110" s="115">
        <v>21.8</v>
      </c>
      <c r="T110" s="115">
        <v>16.2</v>
      </c>
      <c r="U110" s="115">
        <v>13.8</v>
      </c>
      <c r="V110" s="115">
        <v>13.8</v>
      </c>
      <c r="W110" s="115">
        <v>63</v>
      </c>
      <c r="X110" s="115">
        <v>47.8</v>
      </c>
      <c r="Y110" s="115">
        <v>40.9</v>
      </c>
      <c r="Z110" s="115">
        <v>48.2</v>
      </c>
      <c r="AA110" s="115"/>
      <c r="AB110" s="115"/>
      <c r="AC110" s="115"/>
      <c r="AD110" s="115"/>
      <c r="AE110" s="115">
        <v>26</v>
      </c>
      <c r="AF110" s="115"/>
      <c r="AG110" s="114">
        <v>240</v>
      </c>
      <c r="AH110" s="47">
        <f t="shared" si="8"/>
        <v>63</v>
      </c>
      <c r="AI110" s="48">
        <f t="shared" si="9"/>
        <v>-4.8</v>
      </c>
    </row>
    <row r="111" spans="1:37" x14ac:dyDescent="0.25">
      <c r="A111" s="103" t="s">
        <v>119</v>
      </c>
      <c r="B111" s="115">
        <v>-77</v>
      </c>
      <c r="C111" s="115">
        <v>-70.5</v>
      </c>
      <c r="D111" s="115">
        <v>-73</v>
      </c>
      <c r="E111" s="115">
        <v>-73.599999999999994</v>
      </c>
      <c r="F111" s="115">
        <v>-70.5</v>
      </c>
      <c r="G111" s="115">
        <v>-60</v>
      </c>
      <c r="H111" s="115">
        <v>-58.3</v>
      </c>
      <c r="I111" s="115">
        <v>-42.3</v>
      </c>
      <c r="J111" s="115">
        <v>-34</v>
      </c>
      <c r="K111" s="115">
        <v>-17.5</v>
      </c>
      <c r="L111" s="115">
        <v>-11.7</v>
      </c>
      <c r="M111" s="115">
        <f>-8.3-8.8</f>
        <v>-17.100000000000001</v>
      </c>
      <c r="N111" s="115">
        <v>-22</v>
      </c>
      <c r="O111" s="115">
        <v>-14</v>
      </c>
      <c r="P111" s="115">
        <v>-10</v>
      </c>
      <c r="Q111" s="115">
        <f>-41.9-12.21</f>
        <v>-54.11</v>
      </c>
      <c r="R111" s="115">
        <v>-26</v>
      </c>
      <c r="S111" s="115">
        <f>-16.2-6.2</f>
        <v>-22.4</v>
      </c>
      <c r="T111" s="115">
        <f>-16.2-6.2</f>
        <v>-22.4</v>
      </c>
      <c r="U111" s="115">
        <v>-48</v>
      </c>
      <c r="V111" s="115">
        <v>-48</v>
      </c>
      <c r="W111" s="115">
        <v>-36</v>
      </c>
      <c r="X111" s="115">
        <v>-10.5</v>
      </c>
      <c r="Y111" s="115">
        <v>17</v>
      </c>
      <c r="Z111" s="115">
        <v>18.899999999999999</v>
      </c>
      <c r="AA111" s="115"/>
      <c r="AB111" s="115"/>
      <c r="AC111" s="115"/>
      <c r="AD111" s="115"/>
      <c r="AE111" s="115">
        <v>-77</v>
      </c>
      <c r="AF111" s="115"/>
      <c r="AG111" s="114">
        <v>240</v>
      </c>
      <c r="AH111" s="47">
        <f t="shared" si="8"/>
        <v>18.899999999999999</v>
      </c>
      <c r="AI111" s="48">
        <f t="shared" si="9"/>
        <v>-77</v>
      </c>
    </row>
    <row r="112" spans="1:37" x14ac:dyDescent="0.25">
      <c r="A112" s="103" t="s">
        <v>120</v>
      </c>
      <c r="B112" s="115">
        <v>-10</v>
      </c>
      <c r="C112" s="115">
        <v>-9.4</v>
      </c>
      <c r="D112" s="115">
        <v>-12.6</v>
      </c>
      <c r="E112" s="115">
        <v>-12.7</v>
      </c>
      <c r="F112" s="115">
        <v>-9.1</v>
      </c>
      <c r="G112" s="115">
        <v>-10.199999999999999</v>
      </c>
      <c r="H112" s="115">
        <v>-7.1</v>
      </c>
      <c r="I112" s="115">
        <v>-3.2</v>
      </c>
      <c r="J112" s="115">
        <v>-2.1</v>
      </c>
      <c r="K112" s="115">
        <v>2.2999999999999998</v>
      </c>
      <c r="L112" s="115">
        <v>2.2000000000000002</v>
      </c>
      <c r="M112" s="115">
        <v>5.3</v>
      </c>
      <c r="N112" s="115">
        <v>2</v>
      </c>
      <c r="O112" s="115">
        <v>3.2</v>
      </c>
      <c r="P112" s="115">
        <v>19</v>
      </c>
      <c r="Q112" s="115">
        <v>30.8</v>
      </c>
      <c r="R112" s="115">
        <v>38</v>
      </c>
      <c r="S112" s="115">
        <v>35.799999999999997</v>
      </c>
      <c r="T112" s="115">
        <v>35.799999999999997</v>
      </c>
      <c r="U112" s="115">
        <v>39</v>
      </c>
      <c r="V112" s="115">
        <v>39</v>
      </c>
      <c r="W112" s="115">
        <v>25.5</v>
      </c>
      <c r="X112" s="115">
        <v>20.100000000000001</v>
      </c>
      <c r="Y112" s="115">
        <v>13.5</v>
      </c>
      <c r="Z112" s="115">
        <v>19.8</v>
      </c>
      <c r="AA112" s="115"/>
      <c r="AB112" s="115"/>
      <c r="AC112" s="115"/>
      <c r="AD112" s="115"/>
      <c r="AE112" s="115">
        <v>-6</v>
      </c>
      <c r="AF112" s="115"/>
      <c r="AG112" s="114">
        <v>60</v>
      </c>
      <c r="AH112" s="47">
        <f t="shared" si="8"/>
        <v>39</v>
      </c>
      <c r="AI112" s="48">
        <f t="shared" si="9"/>
        <v>-12.7</v>
      </c>
    </row>
    <row r="113" spans="1:37" x14ac:dyDescent="0.25">
      <c r="A113" s="116" t="s">
        <v>121</v>
      </c>
      <c r="B113" s="117">
        <v>86.5</v>
      </c>
      <c r="C113" s="117">
        <v>93.3</v>
      </c>
      <c r="D113" s="117">
        <v>89.8</v>
      </c>
      <c r="E113" s="117">
        <v>85.8</v>
      </c>
      <c r="F113" s="117">
        <v>80.3</v>
      </c>
      <c r="G113" s="117">
        <v>89.5</v>
      </c>
      <c r="H113" s="117">
        <v>86.7</v>
      </c>
      <c r="I113" s="117">
        <v>103.4</v>
      </c>
      <c r="J113" s="117">
        <v>102.8</v>
      </c>
      <c r="K113" s="117">
        <v>106.9</v>
      </c>
      <c r="L113" s="117">
        <v>116</v>
      </c>
      <c r="M113" s="117">
        <v>107.7</v>
      </c>
      <c r="N113" s="117">
        <v>107</v>
      </c>
      <c r="O113" s="117">
        <v>105</v>
      </c>
      <c r="P113" s="117">
        <v>105</v>
      </c>
      <c r="Q113" s="117">
        <v>98.5</v>
      </c>
      <c r="R113" s="117">
        <v>85</v>
      </c>
      <c r="S113" s="117">
        <v>92.2</v>
      </c>
      <c r="T113" s="117">
        <v>92.2</v>
      </c>
      <c r="U113" s="117">
        <v>38.700000000000003</v>
      </c>
      <c r="V113" s="117">
        <v>38.700000000000003</v>
      </c>
      <c r="W113" s="117">
        <v>89.4</v>
      </c>
      <c r="X113" s="117">
        <v>79.400000000000006</v>
      </c>
      <c r="Y113" s="117">
        <v>84.9</v>
      </c>
      <c r="Z113" s="117">
        <v>96.4</v>
      </c>
      <c r="AA113" s="117"/>
      <c r="AB113" s="117"/>
      <c r="AC113" s="117"/>
      <c r="AD113" s="117"/>
      <c r="AE113" s="117">
        <v>2</v>
      </c>
      <c r="AF113" s="117"/>
      <c r="AG113" s="118">
        <v>120</v>
      </c>
      <c r="AH113" s="47">
        <f t="shared" si="8"/>
        <v>116</v>
      </c>
      <c r="AI113" s="48">
        <f t="shared" si="9"/>
        <v>2</v>
      </c>
    </row>
    <row r="114" spans="1:37" x14ac:dyDescent="0.25">
      <c r="A114" s="116" t="s">
        <v>122</v>
      </c>
      <c r="B114" s="117">
        <v>102.4</v>
      </c>
      <c r="C114" s="117">
        <v>105.4</v>
      </c>
      <c r="D114" s="117">
        <v>107</v>
      </c>
      <c r="E114" s="117">
        <v>107.9</v>
      </c>
      <c r="F114" s="117">
        <v>102</v>
      </c>
      <c r="G114" s="117">
        <v>103.2</v>
      </c>
      <c r="H114" s="117">
        <v>95.4</v>
      </c>
      <c r="I114" s="117">
        <v>104</v>
      </c>
      <c r="J114" s="117">
        <v>100.9</v>
      </c>
      <c r="K114" s="117">
        <v>100</v>
      </c>
      <c r="L114" s="117">
        <v>104</v>
      </c>
      <c r="M114" s="117">
        <v>98.8</v>
      </c>
      <c r="N114" s="117">
        <v>107</v>
      </c>
      <c r="O114" s="117">
        <v>94</v>
      </c>
      <c r="P114" s="117">
        <v>89</v>
      </c>
      <c r="Q114" s="117">
        <v>106</v>
      </c>
      <c r="R114" s="117">
        <v>97</v>
      </c>
      <c r="S114" s="117">
        <v>99.2</v>
      </c>
      <c r="T114" s="117">
        <v>99.2</v>
      </c>
      <c r="U114" s="117">
        <v>98</v>
      </c>
      <c r="V114" s="117">
        <v>98</v>
      </c>
      <c r="W114" s="117">
        <v>73.900000000000006</v>
      </c>
      <c r="X114" s="117">
        <v>66.900000000000006</v>
      </c>
      <c r="Y114" s="117">
        <v>98.4</v>
      </c>
      <c r="Z114" s="117">
        <v>85.7</v>
      </c>
      <c r="AA114" s="117"/>
      <c r="AB114" s="117"/>
      <c r="AC114" s="117"/>
      <c r="AD114" s="117"/>
      <c r="AE114" s="117">
        <v>50</v>
      </c>
      <c r="AF114" s="117"/>
      <c r="AG114" s="118"/>
      <c r="AH114" s="47">
        <f t="shared" si="8"/>
        <v>107.9</v>
      </c>
      <c r="AI114" s="48">
        <f t="shared" si="9"/>
        <v>50</v>
      </c>
    </row>
    <row r="115" spans="1:37" x14ac:dyDescent="0.25">
      <c r="A115" s="116" t="s">
        <v>123</v>
      </c>
      <c r="B115" s="117">
        <v>50.6</v>
      </c>
      <c r="C115" s="117">
        <v>58.3</v>
      </c>
      <c r="D115" s="117">
        <v>60.6</v>
      </c>
      <c r="E115" s="117">
        <v>58.2</v>
      </c>
      <c r="F115" s="117">
        <v>56.5</v>
      </c>
      <c r="G115" s="117">
        <v>54.1</v>
      </c>
      <c r="H115" s="117">
        <v>50.1</v>
      </c>
      <c r="I115" s="117">
        <v>50.9</v>
      </c>
      <c r="J115" s="117">
        <v>65.8</v>
      </c>
      <c r="K115" s="117">
        <v>43.2</v>
      </c>
      <c r="L115" s="117">
        <v>37.1</v>
      </c>
      <c r="M115" s="117">
        <v>28.7</v>
      </c>
      <c r="N115" s="117">
        <v>28</v>
      </c>
      <c r="O115" s="117">
        <v>31</v>
      </c>
      <c r="P115" s="117">
        <v>32</v>
      </c>
      <c r="Q115" s="117">
        <v>50.5</v>
      </c>
      <c r="R115" s="117">
        <v>42</v>
      </c>
      <c r="S115" s="117">
        <v>44.6</v>
      </c>
      <c r="T115" s="117">
        <v>44.6</v>
      </c>
      <c r="U115" s="117">
        <v>38.4</v>
      </c>
      <c r="V115" s="117">
        <v>38.4</v>
      </c>
      <c r="W115" s="117">
        <v>0</v>
      </c>
      <c r="X115" s="117">
        <v>0</v>
      </c>
      <c r="Y115" s="117">
        <v>0</v>
      </c>
      <c r="Z115" s="117">
        <v>0</v>
      </c>
      <c r="AA115" s="117"/>
      <c r="AB115" s="117"/>
      <c r="AC115" s="117"/>
      <c r="AD115" s="117"/>
      <c r="AE115" s="117"/>
      <c r="AF115" s="117"/>
      <c r="AG115" s="119"/>
      <c r="AH115" s="47">
        <f t="shared" si="8"/>
        <v>65.8</v>
      </c>
      <c r="AI115" s="48">
        <f t="shared" si="9"/>
        <v>0</v>
      </c>
    </row>
    <row r="116" spans="1:37" x14ac:dyDescent="0.25">
      <c r="A116" s="120" t="s">
        <v>124</v>
      </c>
      <c r="B116" s="106">
        <v>-33.299999999999997</v>
      </c>
      <c r="C116" s="106">
        <v>-15.3</v>
      </c>
      <c r="D116" s="106">
        <v>-22.1</v>
      </c>
      <c r="E116" s="106">
        <v>-3.2</v>
      </c>
      <c r="F116" s="106">
        <v>-13.7</v>
      </c>
      <c r="G116" s="106">
        <v>-17.96</v>
      </c>
      <c r="H116" s="106">
        <v>-19.600000000000001</v>
      </c>
      <c r="I116" s="106">
        <v>-22.2</v>
      </c>
      <c r="J116" s="106">
        <v>-28.9</v>
      </c>
      <c r="K116" s="106">
        <v>-34.6</v>
      </c>
      <c r="L116" s="106">
        <v>-40.4</v>
      </c>
      <c r="M116" s="106">
        <v>-42.8</v>
      </c>
      <c r="N116" s="106">
        <v>-34</v>
      </c>
      <c r="O116" s="106">
        <v>-40</v>
      </c>
      <c r="P116" s="106">
        <v>-41</v>
      </c>
      <c r="Q116" s="106">
        <v>-37.700000000000003</v>
      </c>
      <c r="R116" s="106">
        <v>-34</v>
      </c>
      <c r="S116" s="106">
        <v>-40.6</v>
      </c>
      <c r="T116" s="106">
        <v>-40.6</v>
      </c>
      <c r="U116" s="106">
        <v>-42</v>
      </c>
      <c r="V116" s="106">
        <v>-42</v>
      </c>
      <c r="W116" s="106">
        <v>-47</v>
      </c>
      <c r="X116" s="106">
        <v>-52.9</v>
      </c>
      <c r="Y116" s="106">
        <v>-15.8</v>
      </c>
      <c r="Z116" s="106">
        <v>-26.1</v>
      </c>
      <c r="AA116" s="106"/>
      <c r="AB116" s="106"/>
      <c r="AC116" s="106"/>
      <c r="AD116" s="106"/>
      <c r="AE116" s="106">
        <v>-33</v>
      </c>
      <c r="AF116" s="106"/>
      <c r="AG116" s="119"/>
      <c r="AH116" s="47">
        <f t="shared" si="8"/>
        <v>-3.2</v>
      </c>
      <c r="AI116" s="48">
        <f t="shared" si="9"/>
        <v>-52.9</v>
      </c>
    </row>
    <row r="117" spans="1:37" ht="15.75" thickBot="1" x14ac:dyDescent="0.3">
      <c r="A117" s="120" t="s">
        <v>125</v>
      </c>
      <c r="B117" s="106">
        <v>117.8</v>
      </c>
      <c r="C117" s="106">
        <v>104.8</v>
      </c>
      <c r="D117" s="106">
        <v>107.2</v>
      </c>
      <c r="E117" s="106">
        <v>101.2</v>
      </c>
      <c r="F117" s="106">
        <v>93</v>
      </c>
      <c r="G117" s="106">
        <v>94.6</v>
      </c>
      <c r="H117" s="106">
        <v>98.6</v>
      </c>
      <c r="I117" s="106">
        <v>102.3</v>
      </c>
      <c r="J117" s="106">
        <v>109</v>
      </c>
      <c r="K117" s="106">
        <v>109.6</v>
      </c>
      <c r="L117" s="106">
        <v>112.3</v>
      </c>
      <c r="M117" s="106">
        <v>118.1</v>
      </c>
      <c r="N117" s="106">
        <v>113</v>
      </c>
      <c r="O117" s="106">
        <v>118</v>
      </c>
      <c r="P117" s="106">
        <v>120</v>
      </c>
      <c r="Q117" s="106">
        <v>113.5</v>
      </c>
      <c r="R117" s="106">
        <v>109</v>
      </c>
      <c r="S117" s="106">
        <v>111.6</v>
      </c>
      <c r="T117" s="106">
        <v>118</v>
      </c>
      <c r="U117" s="106">
        <v>102.5</v>
      </c>
      <c r="V117" s="106">
        <v>102.5</v>
      </c>
      <c r="W117" s="106">
        <v>113.8</v>
      </c>
      <c r="X117" s="106">
        <v>105.2</v>
      </c>
      <c r="Y117" s="106">
        <v>93.1</v>
      </c>
      <c r="Z117" s="106">
        <v>105.6</v>
      </c>
      <c r="AA117" s="106"/>
      <c r="AB117" s="106"/>
      <c r="AC117" s="106"/>
      <c r="AD117" s="106"/>
      <c r="AE117" s="106">
        <v>56</v>
      </c>
      <c r="AF117" s="106"/>
      <c r="AG117" s="119"/>
      <c r="AH117" s="47">
        <f t="shared" si="8"/>
        <v>120</v>
      </c>
      <c r="AI117" s="48">
        <f t="shared" si="9"/>
        <v>56</v>
      </c>
    </row>
    <row r="118" spans="1:37" ht="15.75" thickBot="1" x14ac:dyDescent="0.3">
      <c r="A118" s="121" t="s">
        <v>126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230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231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232</v>
      </c>
      <c r="B224" s="135">
        <f t="shared" ref="B224:AG224" si="16">SUM(B119:B223)</f>
        <v>0</v>
      </c>
      <c r="C224" s="136">
        <f t="shared" si="16"/>
        <v>0</v>
      </c>
      <c r="D224" s="136">
        <f t="shared" si="16"/>
        <v>0</v>
      </c>
      <c r="E224" s="136">
        <f t="shared" si="16"/>
        <v>0</v>
      </c>
      <c r="F224" s="136">
        <f t="shared" si="16"/>
        <v>0</v>
      </c>
      <c r="G224" s="136">
        <f t="shared" si="16"/>
        <v>0</v>
      </c>
      <c r="H224" s="136">
        <f t="shared" si="16"/>
        <v>0</v>
      </c>
      <c r="I224" s="136">
        <f t="shared" si="16"/>
        <v>0</v>
      </c>
      <c r="J224" s="136">
        <f t="shared" si="16"/>
        <v>0</v>
      </c>
      <c r="K224" s="136">
        <f t="shared" si="16"/>
        <v>0</v>
      </c>
      <c r="L224" s="136">
        <f t="shared" si="16"/>
        <v>0</v>
      </c>
      <c r="M224" s="136">
        <f t="shared" si="16"/>
        <v>0</v>
      </c>
      <c r="N224" s="136">
        <f t="shared" si="16"/>
        <v>0</v>
      </c>
      <c r="O224" s="136">
        <f t="shared" si="16"/>
        <v>0</v>
      </c>
      <c r="P224" s="136">
        <f t="shared" si="16"/>
        <v>0</v>
      </c>
      <c r="Q224" s="136">
        <f t="shared" si="16"/>
        <v>0</v>
      </c>
      <c r="R224" s="136">
        <f t="shared" si="16"/>
        <v>0</v>
      </c>
      <c r="S224" s="136">
        <f t="shared" si="16"/>
        <v>0</v>
      </c>
      <c r="T224" s="136">
        <f t="shared" si="16"/>
        <v>0</v>
      </c>
      <c r="U224" s="136">
        <f t="shared" si="16"/>
        <v>0</v>
      </c>
      <c r="V224" s="136">
        <f t="shared" si="16"/>
        <v>0</v>
      </c>
      <c r="W224" s="136">
        <f t="shared" si="16"/>
        <v>0</v>
      </c>
      <c r="X224" s="136">
        <f t="shared" si="16"/>
        <v>0</v>
      </c>
      <c r="Y224" s="136">
        <f t="shared" si="16"/>
        <v>0</v>
      </c>
      <c r="Z224" s="136">
        <f t="shared" si="16"/>
        <v>0</v>
      </c>
      <c r="AA224" s="136">
        <f t="shared" si="16"/>
        <v>0</v>
      </c>
      <c r="AB224" s="136">
        <f t="shared" si="16"/>
        <v>0</v>
      </c>
      <c r="AC224" s="136">
        <f t="shared" si="16"/>
        <v>0</v>
      </c>
      <c r="AD224" s="136">
        <f t="shared" si="16"/>
        <v>0</v>
      </c>
      <c r="AE224" s="136">
        <f t="shared" si="16"/>
        <v>0</v>
      </c>
      <c r="AF224" s="137">
        <f t="shared" si="16"/>
        <v>0</v>
      </c>
      <c r="AG224" s="138">
        <f t="shared" si="16"/>
        <v>412.72299999999984</v>
      </c>
      <c r="AH224" s="47"/>
      <c r="AI224" s="48"/>
      <c r="AK224" s="49"/>
    </row>
    <row r="225" spans="1:37" ht="15.75" thickBot="1" x14ac:dyDescent="0.3">
      <c r="A225" s="26" t="s">
        <v>73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233</v>
      </c>
      <c r="B226" s="140">
        <f t="shared" ref="B226:B231" si="17">AF226</f>
        <v>0</v>
      </c>
      <c r="C226" s="140">
        <v>0.3</v>
      </c>
      <c r="D226" s="140">
        <f t="shared" ref="D226:P231" si="18">C226</f>
        <v>0.3</v>
      </c>
      <c r="E226" s="140">
        <f t="shared" si="18"/>
        <v>0.3</v>
      </c>
      <c r="F226" s="140">
        <f t="shared" si="18"/>
        <v>0.3</v>
      </c>
      <c r="G226" s="140">
        <f t="shared" si="18"/>
        <v>0.3</v>
      </c>
      <c r="H226" s="140">
        <f t="shared" si="18"/>
        <v>0.3</v>
      </c>
      <c r="I226" s="140">
        <f t="shared" si="18"/>
        <v>0.3</v>
      </c>
      <c r="J226" s="140">
        <f t="shared" si="18"/>
        <v>0.3</v>
      </c>
      <c r="K226" s="140">
        <f t="shared" si="18"/>
        <v>0.3</v>
      </c>
      <c r="L226" s="140">
        <f t="shared" si="18"/>
        <v>0.3</v>
      </c>
      <c r="M226" s="140">
        <f t="shared" si="18"/>
        <v>0.3</v>
      </c>
      <c r="N226" s="140">
        <f t="shared" si="18"/>
        <v>0.3</v>
      </c>
      <c r="O226" s="140">
        <f t="shared" si="18"/>
        <v>0.3</v>
      </c>
      <c r="P226" s="140">
        <f t="shared" si="18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234</v>
      </c>
      <c r="B227" s="128">
        <f t="shared" si="17"/>
        <v>0</v>
      </c>
      <c r="C227" s="128">
        <v>0.4</v>
      </c>
      <c r="D227" s="128">
        <f t="shared" si="18"/>
        <v>0.4</v>
      </c>
      <c r="E227" s="128">
        <f t="shared" si="18"/>
        <v>0.4</v>
      </c>
      <c r="F227" s="128">
        <f t="shared" si="18"/>
        <v>0.4</v>
      </c>
      <c r="G227" s="128">
        <f t="shared" si="18"/>
        <v>0.4</v>
      </c>
      <c r="H227" s="128">
        <f t="shared" si="18"/>
        <v>0.4</v>
      </c>
      <c r="I227" s="128">
        <f t="shared" si="18"/>
        <v>0.4</v>
      </c>
      <c r="J227" s="128">
        <f t="shared" si="18"/>
        <v>0.4</v>
      </c>
      <c r="K227" s="128">
        <f t="shared" si="18"/>
        <v>0.4</v>
      </c>
      <c r="L227" s="128">
        <f t="shared" si="18"/>
        <v>0.4</v>
      </c>
      <c r="M227" s="128">
        <f t="shared" si="18"/>
        <v>0.4</v>
      </c>
      <c r="N227" s="128">
        <f t="shared" si="18"/>
        <v>0.4</v>
      </c>
      <c r="O227" s="128">
        <f t="shared" si="18"/>
        <v>0.4</v>
      </c>
      <c r="P227" s="128">
        <f t="shared" si="18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235</v>
      </c>
      <c r="B228" s="128">
        <f t="shared" si="17"/>
        <v>0</v>
      </c>
      <c r="C228" s="128">
        <v>1.5</v>
      </c>
      <c r="D228" s="128">
        <f t="shared" si="18"/>
        <v>1.5</v>
      </c>
      <c r="E228" s="128">
        <f t="shared" si="18"/>
        <v>1.5</v>
      </c>
      <c r="F228" s="128">
        <f t="shared" si="18"/>
        <v>1.5</v>
      </c>
      <c r="G228" s="128">
        <f t="shared" si="18"/>
        <v>1.5</v>
      </c>
      <c r="H228" s="128">
        <f t="shared" si="18"/>
        <v>1.5</v>
      </c>
      <c r="I228" s="111">
        <f ca="1">SUM(I140,I146,I149:I150,I176,I178:I179,I181,I183,I229:I233,I255,I261,I267,I276,I278,I290,I297,I300:I301,I308,I310,I312,I316:I318,I320:I322,I327,I333:I334,I336:I338,I346,I351)</f>
        <v>123.21900000000009</v>
      </c>
      <c r="J228" s="128">
        <f t="shared" ca="1" si="18"/>
        <v>123.21900000000009</v>
      </c>
      <c r="K228" s="128">
        <f t="shared" ca="1" si="18"/>
        <v>123.21900000000009</v>
      </c>
      <c r="L228" s="128">
        <f t="shared" ca="1" si="18"/>
        <v>123.21900000000009</v>
      </c>
      <c r="M228" s="128">
        <f t="shared" ca="1" si="18"/>
        <v>123.21900000000009</v>
      </c>
      <c r="N228" s="128">
        <f t="shared" ca="1" si="18"/>
        <v>119.19900000000008</v>
      </c>
      <c r="O228" s="128">
        <f t="shared" ca="1" si="18"/>
        <v>115.17900000000007</v>
      </c>
      <c r="P228" s="128">
        <f t="shared" ca="1" si="18"/>
        <v>111.15900000000006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236</v>
      </c>
      <c r="B229" s="128">
        <f t="shared" si="17"/>
        <v>0</v>
      </c>
      <c r="C229" s="128">
        <v>0.3</v>
      </c>
      <c r="D229" s="128">
        <f t="shared" si="18"/>
        <v>0.3</v>
      </c>
      <c r="E229" s="128">
        <f t="shared" si="18"/>
        <v>0.3</v>
      </c>
      <c r="F229" s="128">
        <f t="shared" si="18"/>
        <v>0.3</v>
      </c>
      <c r="G229" s="128">
        <f t="shared" si="18"/>
        <v>0.3</v>
      </c>
      <c r="H229" s="128">
        <f t="shared" si="18"/>
        <v>0.3</v>
      </c>
      <c r="I229" s="128">
        <f t="shared" si="18"/>
        <v>0.3</v>
      </c>
      <c r="J229" s="128">
        <f t="shared" si="18"/>
        <v>0.3</v>
      </c>
      <c r="K229" s="128">
        <f t="shared" si="18"/>
        <v>0.3</v>
      </c>
      <c r="L229" s="128">
        <f t="shared" si="18"/>
        <v>0.3</v>
      </c>
      <c r="M229" s="128">
        <f t="shared" si="18"/>
        <v>0.3</v>
      </c>
      <c r="N229" s="128">
        <f t="shared" si="18"/>
        <v>0.3</v>
      </c>
      <c r="O229" s="128">
        <f t="shared" si="18"/>
        <v>0.3</v>
      </c>
      <c r="P229" s="128">
        <f t="shared" si="18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237</v>
      </c>
      <c r="B230" s="128">
        <f t="shared" si="17"/>
        <v>0</v>
      </c>
      <c r="C230" s="128">
        <v>0.4</v>
      </c>
      <c r="D230" s="128">
        <f t="shared" si="18"/>
        <v>0.4</v>
      </c>
      <c r="E230" s="128">
        <f t="shared" si="18"/>
        <v>0.4</v>
      </c>
      <c r="F230" s="128">
        <f t="shared" si="18"/>
        <v>0.4</v>
      </c>
      <c r="G230" s="128">
        <f t="shared" si="18"/>
        <v>0.4</v>
      </c>
      <c r="H230" s="128">
        <f t="shared" si="18"/>
        <v>0.4</v>
      </c>
      <c r="I230" s="128">
        <f t="shared" si="18"/>
        <v>0.4</v>
      </c>
      <c r="J230" s="128">
        <f t="shared" si="18"/>
        <v>0.4</v>
      </c>
      <c r="K230" s="128">
        <f t="shared" si="18"/>
        <v>0.4</v>
      </c>
      <c r="L230" s="128">
        <f t="shared" si="18"/>
        <v>0.4</v>
      </c>
      <c r="M230" s="128">
        <f t="shared" si="18"/>
        <v>0.4</v>
      </c>
      <c r="N230" s="128">
        <f t="shared" si="18"/>
        <v>0.4</v>
      </c>
      <c r="O230" s="128">
        <f t="shared" si="18"/>
        <v>0.4</v>
      </c>
      <c r="P230" s="128">
        <f t="shared" si="1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238</v>
      </c>
      <c r="B231" s="132">
        <f t="shared" si="17"/>
        <v>0</v>
      </c>
      <c r="C231" s="132">
        <v>0.64</v>
      </c>
      <c r="D231" s="132">
        <f t="shared" si="18"/>
        <v>0.64</v>
      </c>
      <c r="E231" s="132">
        <f t="shared" si="18"/>
        <v>0.64</v>
      </c>
      <c r="F231" s="132">
        <f t="shared" si="18"/>
        <v>0.64</v>
      </c>
      <c r="G231" s="132">
        <f t="shared" si="18"/>
        <v>0.64</v>
      </c>
      <c r="H231" s="132">
        <f t="shared" si="18"/>
        <v>0.64</v>
      </c>
      <c r="I231" s="132">
        <f t="shared" si="18"/>
        <v>0.64</v>
      </c>
      <c r="J231" s="132">
        <f t="shared" si="18"/>
        <v>0.64</v>
      </c>
      <c r="K231" s="132">
        <f t="shared" si="18"/>
        <v>0.64</v>
      </c>
      <c r="L231" s="132">
        <f t="shared" si="18"/>
        <v>0.64</v>
      </c>
      <c r="M231" s="132">
        <f t="shared" si="18"/>
        <v>0.64</v>
      </c>
      <c r="N231" s="132">
        <f t="shared" si="18"/>
        <v>0.64</v>
      </c>
      <c r="O231" s="132">
        <f t="shared" si="18"/>
        <v>0.64</v>
      </c>
      <c r="P231" s="132">
        <f t="shared" si="18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73</v>
      </c>
      <c r="B232" s="136">
        <f t="shared" ref="B232:AG232" si="19">SUM(B226:B231)</f>
        <v>0</v>
      </c>
      <c r="C232" s="136">
        <f t="shared" si="19"/>
        <v>3.54</v>
      </c>
      <c r="D232" s="136">
        <f t="shared" si="19"/>
        <v>3.54</v>
      </c>
      <c r="E232" s="136">
        <f t="shared" si="19"/>
        <v>3.54</v>
      </c>
      <c r="F232" s="136">
        <f t="shared" si="19"/>
        <v>3.54</v>
      </c>
      <c r="G232" s="136">
        <f t="shared" si="19"/>
        <v>3.54</v>
      </c>
      <c r="H232" s="136">
        <f t="shared" si="19"/>
        <v>3.54</v>
      </c>
      <c r="I232" s="136">
        <f t="shared" ca="1" si="19"/>
        <v>121.23900000000009</v>
      </c>
      <c r="J232" s="136">
        <f t="shared" ca="1" si="19"/>
        <v>121.23900000000009</v>
      </c>
      <c r="K232" s="136">
        <f t="shared" ca="1" si="19"/>
        <v>121.23900000000009</v>
      </c>
      <c r="L232" s="136">
        <f t="shared" ca="1" si="19"/>
        <v>121.23900000000009</v>
      </c>
      <c r="M232" s="136">
        <f t="shared" ca="1" si="19"/>
        <v>125.2590000000001</v>
      </c>
      <c r="N232" s="136">
        <f t="shared" ca="1" si="19"/>
        <v>121.23900000000009</v>
      </c>
      <c r="O232" s="136">
        <f t="shared" ca="1" si="19"/>
        <v>117.21900000000008</v>
      </c>
      <c r="P232" s="136">
        <f t="shared" ca="1" si="19"/>
        <v>113.19900000000007</v>
      </c>
      <c r="Q232" s="136">
        <f t="shared" si="19"/>
        <v>0</v>
      </c>
      <c r="R232" s="136">
        <f t="shared" si="19"/>
        <v>0</v>
      </c>
      <c r="S232" s="136">
        <f t="shared" si="19"/>
        <v>0</v>
      </c>
      <c r="T232" s="136">
        <f t="shared" si="19"/>
        <v>0</v>
      </c>
      <c r="U232" s="136">
        <f t="shared" si="19"/>
        <v>0</v>
      </c>
      <c r="V232" s="136">
        <f t="shared" si="19"/>
        <v>0</v>
      </c>
      <c r="W232" s="136">
        <f t="shared" si="19"/>
        <v>0</v>
      </c>
      <c r="X232" s="136">
        <f t="shared" si="19"/>
        <v>0</v>
      </c>
      <c r="Y232" s="136">
        <f t="shared" si="19"/>
        <v>0</v>
      </c>
      <c r="Z232" s="136">
        <f t="shared" si="19"/>
        <v>0</v>
      </c>
      <c r="AA232" s="136">
        <f t="shared" si="19"/>
        <v>0</v>
      </c>
      <c r="AB232" s="136">
        <f t="shared" si="19"/>
        <v>0</v>
      </c>
      <c r="AC232" s="136">
        <f t="shared" si="19"/>
        <v>0</v>
      </c>
      <c r="AD232" s="136">
        <f t="shared" si="19"/>
        <v>0</v>
      </c>
      <c r="AE232" s="136">
        <f t="shared" si="19"/>
        <v>0</v>
      </c>
      <c r="AF232" s="136">
        <f t="shared" si="19"/>
        <v>0</v>
      </c>
      <c r="AG232" s="145">
        <f t="shared" si="19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239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240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241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242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243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244</v>
      </c>
      <c r="B241" s="160">
        <f>MAX(G89:N89)</f>
        <v>1679.98</v>
      </c>
      <c r="C241" s="161">
        <f>INDEX(G9:N9,1,MATCH(MAX(G89:N89),G89:N89,0))</f>
        <v>0.375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0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78" t="s">
        <v>245</v>
      </c>
      <c r="B243" s="178"/>
      <c r="C243" s="43"/>
      <c r="D243" s="162" t="str">
        <f ca="1">"Pie Chart of Daily Peak Demand(Inclusive of Export) of Nepal ("&amp;A4&amp;" "&amp;B4&amp;")"</f>
        <v>Pie Chart of Daily Peak Demand(Inclusive of Export) of Nepal (Nepali Date: 2080/01/0)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2080/01/0)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246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247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248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249</v>
      </c>
      <c r="T246" s="170">
        <f t="shared" ref="T246:AX246" si="20">B89</f>
        <v>1469.1399999999999</v>
      </c>
      <c r="U246" s="170">
        <f t="shared" si="20"/>
        <v>1412.6399999999999</v>
      </c>
      <c r="V246" s="170">
        <f t="shared" si="20"/>
        <v>1425.34</v>
      </c>
      <c r="W246" s="170">
        <f t="shared" si="20"/>
        <v>1447.54</v>
      </c>
      <c r="X246" s="170">
        <f t="shared" si="20"/>
        <v>1407.74</v>
      </c>
      <c r="Y246" s="170">
        <f t="shared" si="20"/>
        <v>1405.04</v>
      </c>
      <c r="Z246" s="170">
        <f t="shared" si="20"/>
        <v>1400.24</v>
      </c>
      <c r="AA246" s="170">
        <f t="shared" si="20"/>
        <v>1407.4399999999998</v>
      </c>
      <c r="AB246" s="170">
        <f t="shared" si="20"/>
        <v>1485.44</v>
      </c>
      <c r="AC246" s="170">
        <f t="shared" si="20"/>
        <v>1473.7399999999998</v>
      </c>
      <c r="AD246" s="170">
        <f t="shared" si="20"/>
        <v>1486.85</v>
      </c>
      <c r="AE246" s="170">
        <f t="shared" si="20"/>
        <v>1642.7799999999997</v>
      </c>
      <c r="AF246" s="170">
        <f t="shared" si="20"/>
        <v>1679.98</v>
      </c>
      <c r="AG246" s="170">
        <f t="shared" si="20"/>
        <v>1668.08</v>
      </c>
      <c r="AH246" s="170">
        <f t="shared" si="20"/>
        <v>1720.08</v>
      </c>
      <c r="AI246" s="170">
        <f t="shared" si="20"/>
        <v>1631.84</v>
      </c>
      <c r="AJ246" s="170">
        <f t="shared" si="20"/>
        <v>1661.6399999999999</v>
      </c>
      <c r="AK246" s="170">
        <f t="shared" si="20"/>
        <v>1672.6399999999999</v>
      </c>
      <c r="AL246" s="170">
        <f t="shared" si="20"/>
        <v>1701.74</v>
      </c>
      <c r="AM246" s="170">
        <f t="shared" si="20"/>
        <v>1701.4399999999998</v>
      </c>
      <c r="AN246" s="170">
        <f t="shared" si="20"/>
        <v>1542.8400000000001</v>
      </c>
      <c r="AO246" s="170">
        <f t="shared" si="20"/>
        <v>1640.74</v>
      </c>
      <c r="AP246" s="170">
        <f t="shared" si="20"/>
        <v>1502.74</v>
      </c>
      <c r="AQ246" s="170">
        <f t="shared" si="20"/>
        <v>1467.1399999999999</v>
      </c>
      <c r="AR246" s="170">
        <f t="shared" si="20"/>
        <v>1503.3399999999997</v>
      </c>
      <c r="AS246" s="170">
        <f t="shared" si="20"/>
        <v>3.54</v>
      </c>
      <c r="AT246" s="170">
        <f t="shared" si="20"/>
        <v>3.54</v>
      </c>
      <c r="AU246" s="170">
        <f t="shared" si="20"/>
        <v>3.54</v>
      </c>
      <c r="AV246" s="170">
        <f t="shared" si="20"/>
        <v>3.54</v>
      </c>
      <c r="AW246" s="170">
        <f t="shared" si="20"/>
        <v>1382.6399999999999</v>
      </c>
      <c r="AX246" s="170">
        <f t="shared" si="20"/>
        <v>1319.04</v>
      </c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251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252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253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239</v>
      </c>
      <c r="B267" s="173">
        <f t="shared" ref="B267:AE267" si="21">C231</f>
        <v>0.64</v>
      </c>
      <c r="C267" s="173">
        <f t="shared" si="21"/>
        <v>0.64</v>
      </c>
      <c r="D267" s="173">
        <f t="shared" si="21"/>
        <v>0.64</v>
      </c>
      <c r="E267" s="173">
        <f t="shared" si="21"/>
        <v>0.64</v>
      </c>
      <c r="F267" s="173">
        <f t="shared" si="21"/>
        <v>0.64</v>
      </c>
      <c r="G267" s="173">
        <f t="shared" si="21"/>
        <v>0.64</v>
      </c>
      <c r="H267" s="173">
        <f t="shared" si="21"/>
        <v>0.64</v>
      </c>
      <c r="I267" s="173">
        <f t="shared" si="21"/>
        <v>0.64</v>
      </c>
      <c r="J267" s="173">
        <f t="shared" si="21"/>
        <v>0.64</v>
      </c>
      <c r="K267" s="173">
        <f t="shared" si="21"/>
        <v>0.64</v>
      </c>
      <c r="L267" s="173">
        <f t="shared" si="21"/>
        <v>0.64</v>
      </c>
      <c r="M267" s="173">
        <f t="shared" si="21"/>
        <v>0.64</v>
      </c>
      <c r="N267" s="173">
        <f t="shared" si="21"/>
        <v>0.64</v>
      </c>
      <c r="O267" s="173">
        <f t="shared" si="21"/>
        <v>0.64</v>
      </c>
      <c r="P267" s="173">
        <f t="shared" si="21"/>
        <v>0</v>
      </c>
      <c r="Q267" s="173">
        <f t="shared" si="21"/>
        <v>0</v>
      </c>
      <c r="R267" s="173">
        <f t="shared" si="21"/>
        <v>0</v>
      </c>
      <c r="S267" s="173">
        <f t="shared" si="21"/>
        <v>0</v>
      </c>
      <c r="T267" s="173">
        <f t="shared" si="21"/>
        <v>0</v>
      </c>
      <c r="U267" s="173">
        <f t="shared" si="21"/>
        <v>0</v>
      </c>
      <c r="V267" s="173">
        <f t="shared" si="21"/>
        <v>0</v>
      </c>
      <c r="W267" s="173">
        <f t="shared" si="21"/>
        <v>0</v>
      </c>
      <c r="X267" s="173">
        <f t="shared" si="21"/>
        <v>0</v>
      </c>
      <c r="Y267" s="173">
        <f t="shared" si="21"/>
        <v>0</v>
      </c>
      <c r="Z267" s="173">
        <f t="shared" si="21"/>
        <v>0</v>
      </c>
      <c r="AA267" s="173">
        <f t="shared" si="21"/>
        <v>0</v>
      </c>
      <c r="AB267" s="173">
        <f t="shared" si="21"/>
        <v>0</v>
      </c>
      <c r="AC267" s="173">
        <f t="shared" si="21"/>
        <v>0</v>
      </c>
      <c r="AD267" s="173">
        <f t="shared" si="21"/>
        <v>0</v>
      </c>
      <c r="AE267" s="173">
        <f t="shared" si="21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2">IF(B235&lt;100,"",B235-520)</f>
        <v/>
      </c>
      <c r="C268" s="174" t="str">
        <f t="shared" si="22"/>
        <v/>
      </c>
      <c r="D268" s="174" t="str">
        <f t="shared" si="22"/>
        <v/>
      </c>
      <c r="E268" s="174" t="str">
        <f t="shared" si="22"/>
        <v/>
      </c>
      <c r="F268" s="174" t="str">
        <f t="shared" si="22"/>
        <v/>
      </c>
      <c r="G268" s="174" t="str">
        <f t="shared" si="22"/>
        <v/>
      </c>
      <c r="H268" s="174" t="str">
        <f t="shared" si="22"/>
        <v/>
      </c>
      <c r="I268" s="174" t="str">
        <f t="shared" si="22"/>
        <v/>
      </c>
      <c r="J268" s="174" t="str">
        <f t="shared" si="22"/>
        <v/>
      </c>
      <c r="K268" s="174" t="str">
        <f t="shared" si="22"/>
        <v/>
      </c>
      <c r="L268" s="174" t="str">
        <f t="shared" si="22"/>
        <v/>
      </c>
      <c r="M268" s="174" t="str">
        <f t="shared" si="22"/>
        <v/>
      </c>
      <c r="N268" s="174" t="str">
        <f t="shared" si="22"/>
        <v/>
      </c>
      <c r="O268" s="174" t="str">
        <f t="shared" si="22"/>
        <v/>
      </c>
      <c r="P268" s="174" t="str">
        <f t="shared" si="22"/>
        <v/>
      </c>
      <c r="Q268" s="174" t="str">
        <f t="shared" si="22"/>
        <v/>
      </c>
      <c r="R268" s="174" t="str">
        <f t="shared" si="22"/>
        <v/>
      </c>
      <c r="S268" s="174" t="str">
        <f t="shared" si="22"/>
        <v/>
      </c>
      <c r="T268" s="174" t="str">
        <f t="shared" si="22"/>
        <v/>
      </c>
      <c r="U268" s="174" t="str">
        <f t="shared" si="22"/>
        <v/>
      </c>
      <c r="V268" s="174" t="str">
        <f t="shared" si="22"/>
        <v/>
      </c>
      <c r="W268" s="174" t="str">
        <f t="shared" si="22"/>
        <v/>
      </c>
      <c r="X268" s="174" t="str">
        <f t="shared" si="22"/>
        <v/>
      </c>
      <c r="Y268" s="174" t="str">
        <f t="shared" si="22"/>
        <v/>
      </c>
      <c r="Z268" s="174" t="str">
        <f t="shared" si="22"/>
        <v/>
      </c>
      <c r="AA268" s="174" t="str">
        <f t="shared" si="22"/>
        <v/>
      </c>
      <c r="AB268" s="174" t="str">
        <f t="shared" si="22"/>
        <v/>
      </c>
      <c r="AC268" s="174" t="str">
        <f t="shared" si="22"/>
        <v/>
      </c>
      <c r="AD268" s="174" t="str">
        <f t="shared" si="22"/>
        <v/>
      </c>
      <c r="AE268" s="174" t="str">
        <f t="shared" si="22"/>
        <v/>
      </c>
      <c r="AF268" s="174" t="str">
        <f t="shared" si="22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3">IF(B236&lt;100,"",B236-620)</f>
        <v/>
      </c>
      <c r="C269" s="174" t="str">
        <f t="shared" si="23"/>
        <v/>
      </c>
      <c r="D269" s="174" t="str">
        <f t="shared" si="23"/>
        <v/>
      </c>
      <c r="E269" s="174" t="str">
        <f t="shared" si="23"/>
        <v/>
      </c>
      <c r="F269" s="174" t="str">
        <f t="shared" si="23"/>
        <v/>
      </c>
      <c r="G269" s="174" t="str">
        <f t="shared" si="23"/>
        <v/>
      </c>
      <c r="H269" s="174" t="str">
        <f t="shared" si="23"/>
        <v/>
      </c>
      <c r="I269" s="174" t="str">
        <f t="shared" si="23"/>
        <v/>
      </c>
      <c r="J269" s="174" t="str">
        <f t="shared" si="23"/>
        <v/>
      </c>
      <c r="K269" s="174" t="str">
        <f t="shared" si="23"/>
        <v/>
      </c>
      <c r="L269" s="174" t="str">
        <f t="shared" si="23"/>
        <v/>
      </c>
      <c r="M269" s="174" t="str">
        <f t="shared" si="23"/>
        <v/>
      </c>
      <c r="N269" s="174" t="str">
        <f t="shared" si="23"/>
        <v/>
      </c>
      <c r="O269" s="174" t="str">
        <f t="shared" si="23"/>
        <v/>
      </c>
      <c r="P269" s="174" t="str">
        <f t="shared" si="23"/>
        <v/>
      </c>
      <c r="Q269" s="174" t="str">
        <f t="shared" si="23"/>
        <v/>
      </c>
      <c r="R269" s="174" t="str">
        <f t="shared" si="23"/>
        <v/>
      </c>
      <c r="S269" s="174" t="str">
        <f t="shared" si="23"/>
        <v/>
      </c>
      <c r="T269" s="174" t="str">
        <f t="shared" si="23"/>
        <v/>
      </c>
      <c r="U269" s="174" t="str">
        <f t="shared" si="23"/>
        <v/>
      </c>
      <c r="V269" s="174" t="str">
        <f t="shared" si="23"/>
        <v/>
      </c>
      <c r="W269" s="174" t="str">
        <f t="shared" si="23"/>
        <v/>
      </c>
      <c r="X269" s="174" t="str">
        <f t="shared" si="23"/>
        <v/>
      </c>
      <c r="Y269" s="174" t="str">
        <f t="shared" si="23"/>
        <v/>
      </c>
      <c r="Z269" s="174" t="str">
        <f t="shared" si="23"/>
        <v/>
      </c>
      <c r="AA269" s="174" t="str">
        <f t="shared" si="23"/>
        <v/>
      </c>
      <c r="AB269" s="174" t="str">
        <f t="shared" si="23"/>
        <v/>
      </c>
      <c r="AC269" s="174" t="str">
        <f t="shared" si="23"/>
        <v/>
      </c>
      <c r="AD269" s="174" t="str">
        <f t="shared" si="23"/>
        <v/>
      </c>
      <c r="AE269" s="174" t="str">
        <f t="shared" si="23"/>
        <v/>
      </c>
      <c r="AF269" s="174" t="str">
        <f t="shared" si="23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4">IF(B237&lt;100,"",B237-330)</f>
        <v/>
      </c>
      <c r="C270" s="174" t="str">
        <f t="shared" si="24"/>
        <v/>
      </c>
      <c r="D270" s="174" t="str">
        <f t="shared" si="24"/>
        <v/>
      </c>
      <c r="E270" s="174" t="str">
        <f t="shared" si="24"/>
        <v/>
      </c>
      <c r="F270" s="174" t="str">
        <f t="shared" si="24"/>
        <v/>
      </c>
      <c r="G270" s="174" t="str">
        <f t="shared" si="24"/>
        <v/>
      </c>
      <c r="H270" s="174" t="str">
        <f t="shared" si="24"/>
        <v/>
      </c>
      <c r="I270" s="174" t="str">
        <f t="shared" si="24"/>
        <v/>
      </c>
      <c r="J270" s="174" t="str">
        <f t="shared" si="24"/>
        <v/>
      </c>
      <c r="K270" s="174" t="str">
        <f t="shared" si="24"/>
        <v/>
      </c>
      <c r="L270" s="174" t="str">
        <f t="shared" si="24"/>
        <v/>
      </c>
      <c r="M270" s="174" t="str">
        <f t="shared" si="24"/>
        <v/>
      </c>
      <c r="N270" s="174" t="str">
        <f t="shared" si="24"/>
        <v/>
      </c>
      <c r="O270" s="174" t="str">
        <f t="shared" si="24"/>
        <v/>
      </c>
      <c r="P270" s="174" t="str">
        <f t="shared" si="24"/>
        <v/>
      </c>
      <c r="Q270" s="174" t="str">
        <f t="shared" si="24"/>
        <v/>
      </c>
      <c r="R270" s="174" t="str">
        <f t="shared" si="24"/>
        <v/>
      </c>
      <c r="S270" s="174" t="str">
        <f t="shared" si="24"/>
        <v/>
      </c>
      <c r="T270" s="174" t="str">
        <f t="shared" si="24"/>
        <v/>
      </c>
      <c r="U270" s="174" t="str">
        <f t="shared" si="24"/>
        <v/>
      </c>
      <c r="V270" s="174" t="str">
        <f t="shared" si="24"/>
        <v/>
      </c>
      <c r="W270" s="174" t="str">
        <f t="shared" si="24"/>
        <v/>
      </c>
      <c r="X270" s="174" t="str">
        <f t="shared" si="24"/>
        <v/>
      </c>
      <c r="Y270" s="174" t="str">
        <f t="shared" si="24"/>
        <v/>
      </c>
      <c r="Z270" s="174" t="str">
        <f t="shared" si="24"/>
        <v/>
      </c>
      <c r="AA270" s="174" t="str">
        <f t="shared" si="24"/>
        <v/>
      </c>
      <c r="AB270" s="174" t="str">
        <f t="shared" si="24"/>
        <v/>
      </c>
      <c r="AC270" s="174" t="str">
        <f t="shared" si="24"/>
        <v/>
      </c>
      <c r="AD270" s="174" t="str">
        <f t="shared" si="24"/>
        <v/>
      </c>
      <c r="AE270" s="174" t="str">
        <f t="shared" si="24"/>
        <v/>
      </c>
      <c r="AF270" s="174" t="str">
        <f t="shared" si="24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5">IF(B238&lt;100,"",B238-1500)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4100" priority="344">
      <formula>B$9&gt;=20/24</formula>
    </cfRule>
    <cfRule type="expression" dxfId="14099" priority="345">
      <formula>AND(B$9&gt;=14/24,B$9&lt;20/24)</formula>
    </cfRule>
    <cfRule type="expression" dxfId="14098" priority="346">
      <formula>AND(B$9&gt;=8/24,B$9&lt;14/24)</formula>
    </cfRule>
    <cfRule type="expression" dxfId="14097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4096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4095" priority="341">
      <formula>$AH12=0</formula>
    </cfRule>
  </conditionalFormatting>
  <conditionalFormatting sqref="A114">
    <cfRule type="expression" dxfId="14094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4093" priority="338">
      <formula>$AH45=0</formula>
    </cfRule>
  </conditionalFormatting>
  <conditionalFormatting sqref="A98">
    <cfRule type="expression" dxfId="14092" priority="337">
      <formula>$AH98=0</formula>
    </cfRule>
  </conditionalFormatting>
  <conditionalFormatting sqref="A18">
    <cfRule type="expression" dxfId="14091" priority="336">
      <formula>$AH18=0</formula>
    </cfRule>
  </conditionalFormatting>
  <conditionalFormatting sqref="A196:A201">
    <cfRule type="expression" dxfId="14090" priority="335">
      <formula>$AH196=0</formula>
    </cfRule>
  </conditionalFormatting>
  <conditionalFormatting sqref="A190:A195">
    <cfRule type="expression" dxfId="14089" priority="334">
      <formula>$AH190=0</formula>
    </cfRule>
  </conditionalFormatting>
  <conditionalFormatting sqref="A58">
    <cfRule type="expression" dxfId="14088" priority="333">
      <formula>$AH58=0</formula>
    </cfRule>
  </conditionalFormatting>
  <conditionalFormatting sqref="A94">
    <cfRule type="expression" dxfId="14087" priority="332">
      <formula>$AH94=0</formula>
    </cfRule>
  </conditionalFormatting>
  <conditionalFormatting sqref="AD99:AF99 E99:X99">
    <cfRule type="expression" dxfId="14086" priority="328">
      <formula>E$9&gt;=20/24</formula>
    </cfRule>
    <cfRule type="expression" dxfId="14085" priority="329">
      <formula>AND(E$9&gt;=14/24,E$9&lt;20/24)</formula>
    </cfRule>
    <cfRule type="expression" dxfId="14084" priority="330">
      <formula>AND(E$9&gt;=8/24,E$9&lt;14/24)</formula>
    </cfRule>
    <cfRule type="expression" dxfId="14083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4082" priority="350">
      <formula>C$9&gt;=20/24</formula>
    </cfRule>
    <cfRule type="expression" dxfId="14081" priority="351">
      <formula>AND(C$9&gt;=14/24,C$9&lt;20/24)</formula>
    </cfRule>
    <cfRule type="expression" dxfId="14080" priority="352">
      <formula>AND(C$9&gt;=8/24,C$9&lt;14/24)</formula>
    </cfRule>
    <cfRule type="expression" dxfId="14079" priority="353">
      <formula>C$9&lt;8/24</formula>
    </cfRule>
  </conditionalFormatting>
  <conditionalFormatting sqref="A233">
    <cfRule type="expression" dxfId="14078" priority="354">
      <formula>$AH233=0</formula>
    </cfRule>
  </conditionalFormatting>
  <conditionalFormatting sqref="AG245">
    <cfRule type="expression" dxfId="14077" priority="355">
      <formula>B$9&gt;=20/24</formula>
    </cfRule>
    <cfRule type="expression" dxfId="14076" priority="356">
      <formula>AND(B$9&gt;=14/24,B$9&lt;20/24)</formula>
    </cfRule>
    <cfRule type="expression" dxfId="14075" priority="357">
      <formula>AND(B$9&gt;=8/24,B$9&lt;14/24)</formula>
    </cfRule>
    <cfRule type="expression" dxfId="14074" priority="358">
      <formula>B$9&lt;8/24</formula>
    </cfRule>
  </conditionalFormatting>
  <conditionalFormatting sqref="S8">
    <cfRule type="expression" dxfId="14073" priority="323">
      <formula>U$9&gt;=20/24</formula>
    </cfRule>
    <cfRule type="expression" dxfId="14072" priority="324">
      <formula>AND(U$9&gt;=14/24,U$9&lt;20/24)</formula>
    </cfRule>
    <cfRule type="expression" dxfId="14071" priority="325">
      <formula>AND(U$9&gt;=8/24,U$9&lt;14/24)</formula>
    </cfRule>
    <cfRule type="expression" dxfId="14070" priority="326">
      <formula>U$9&lt;8/24</formula>
    </cfRule>
  </conditionalFormatting>
  <conditionalFormatting sqref="AB8">
    <cfRule type="expression" dxfId="14069" priority="319">
      <formula>AD$9&gt;=20/24</formula>
    </cfRule>
    <cfRule type="expression" dxfId="14068" priority="320">
      <formula>AND(AD$9&gt;=14/24,AD$9&lt;20/24)</formula>
    </cfRule>
    <cfRule type="expression" dxfId="14067" priority="321">
      <formula>AND(AD$9&gt;=8/24,AD$9&lt;14/24)</formula>
    </cfRule>
    <cfRule type="expression" dxfId="14066" priority="322">
      <formula>AD$9&lt;8/24</formula>
    </cfRule>
  </conditionalFormatting>
  <conditionalFormatting sqref="AH245:AX245">
    <cfRule type="expression" dxfId="14065" priority="359">
      <formula>AG$9&gt;=20/24</formula>
    </cfRule>
    <cfRule type="expression" dxfId="14064" priority="360">
      <formula>AND(AG$9&gt;=14/24,AG$9&lt;20/24)</formula>
    </cfRule>
    <cfRule type="expression" dxfId="14063" priority="361">
      <formula>AND(AG$9&gt;=8/24,AG$9&lt;14/24)</formula>
    </cfRule>
    <cfRule type="expression" dxfId="14062" priority="362">
      <formula>AG$9&lt;8/24</formula>
    </cfRule>
  </conditionalFormatting>
  <conditionalFormatting sqref="T245">
    <cfRule type="expression" dxfId="14061" priority="363">
      <formula>AX$9&gt;=20/24</formula>
    </cfRule>
    <cfRule type="expression" dxfId="14060" priority="364">
      <formula>AND(AX$9&gt;=14/24,AX$9&lt;20/24)</formula>
    </cfRule>
    <cfRule type="expression" dxfId="14059" priority="365">
      <formula>AND(AX$9&gt;=8/24,AX$9&lt;14/24)</formula>
    </cfRule>
    <cfRule type="expression" dxfId="14058" priority="366">
      <formula>AX$9&lt;8/24</formula>
    </cfRule>
  </conditionalFormatting>
  <conditionalFormatting sqref="A115:A116">
    <cfRule type="expression" dxfId="14057" priority="318">
      <formula>$AH115=0</formula>
    </cfRule>
  </conditionalFormatting>
  <conditionalFormatting sqref="E71:AF71 AB54:AF57">
    <cfRule type="expression" dxfId="14056" priority="314">
      <formula>E$9&gt;=20/24</formula>
    </cfRule>
    <cfRule type="expression" dxfId="14055" priority="315">
      <formula>AND(E$9&gt;=14/24,E$9&lt;20/24)</formula>
    </cfRule>
    <cfRule type="expression" dxfId="14054" priority="316">
      <formula>AND(E$9&gt;=8/24,E$9&lt;14/24)</formula>
    </cfRule>
    <cfRule type="expression" dxfId="14053" priority="317">
      <formula>E$9&lt;8/24</formula>
    </cfRule>
  </conditionalFormatting>
  <conditionalFormatting sqref="AB53:AF53">
    <cfRule type="expression" dxfId="14052" priority="310">
      <formula>AB$9&gt;=20/24</formula>
    </cfRule>
    <cfRule type="expression" dxfId="14051" priority="311">
      <formula>AND(AB$9&gt;=14/24,AB$9&lt;20/24)</formula>
    </cfRule>
    <cfRule type="expression" dxfId="14050" priority="312">
      <formula>AND(AB$9&gt;=8/24,AB$9&lt;14/24)</formula>
    </cfRule>
    <cfRule type="expression" dxfId="14049" priority="313">
      <formula>AB$9&lt;8/24</formula>
    </cfRule>
  </conditionalFormatting>
  <conditionalFormatting sqref="AB53:AF57">
    <cfRule type="expression" dxfId="14048" priority="309">
      <formula>AB53&gt;$AG53</formula>
    </cfRule>
  </conditionalFormatting>
  <conditionalFormatting sqref="X96:AF96 X47:AF47 Y67:AF69 D86:AF86 M100:X106 E72:AF73 AD100:AF106 AA74:AF74">
    <cfRule type="expression" dxfId="14047" priority="305">
      <formula>D$9&gt;=20/24</formula>
    </cfRule>
    <cfRule type="expression" dxfId="14046" priority="306">
      <formula>AND(D$9&gt;=14/24,D$9&lt;20/24)</formula>
    </cfRule>
    <cfRule type="expression" dxfId="14045" priority="307">
      <formula>AND(D$9&gt;=8/24,D$9&lt;14/24)</formula>
    </cfRule>
    <cfRule type="expression" dxfId="14044" priority="308">
      <formula>D$9&lt;8/24</formula>
    </cfRule>
  </conditionalFormatting>
  <conditionalFormatting sqref="X47:AF47 Y67:AF69">
    <cfRule type="expression" dxfId="14043" priority="304">
      <formula>X47&gt;$AG47</formula>
    </cfRule>
  </conditionalFormatting>
  <conditionalFormatting sqref="S53:AA58">
    <cfRule type="expression" dxfId="14042" priority="300">
      <formula>S$9&gt;=20/24</formula>
    </cfRule>
    <cfRule type="expression" dxfId="14041" priority="301">
      <formula>AND(S$9&gt;=14/24,S$9&lt;20/24)</formula>
    </cfRule>
    <cfRule type="expression" dxfId="14040" priority="302">
      <formula>AND(S$9&gt;=8/24,S$9&lt;14/24)</formula>
    </cfRule>
    <cfRule type="expression" dxfId="14039" priority="303">
      <formula>S$9&lt;8/24</formula>
    </cfRule>
  </conditionalFormatting>
  <conditionalFormatting sqref="S53:AA58">
    <cfRule type="expression" dxfId="14038" priority="299">
      <formula>S53&gt;$AG53</formula>
    </cfRule>
  </conditionalFormatting>
  <conditionalFormatting sqref="C97:AF97 D88:AF88">
    <cfRule type="expression" dxfId="14037" priority="295">
      <formula>C$9&gt;=20/24</formula>
    </cfRule>
    <cfRule type="expression" dxfId="14036" priority="296">
      <formula>AND(C$9&gt;=14/24,C$9&lt;20/24)</formula>
    </cfRule>
    <cfRule type="expression" dxfId="14035" priority="297">
      <formula>AND(C$9&gt;=8/24,C$9&lt;14/24)</formula>
    </cfRule>
    <cfRule type="expression" dxfId="14034" priority="298">
      <formula>C$9&lt;8/24</formula>
    </cfRule>
  </conditionalFormatting>
  <conditionalFormatting sqref="T47:W47">
    <cfRule type="expression" dxfId="14033" priority="291">
      <formula>T$9&gt;=20/24</formula>
    </cfRule>
    <cfRule type="expression" dxfId="14032" priority="292">
      <formula>AND(T$9&gt;=14/24,T$9&lt;20/24)</formula>
    </cfRule>
    <cfRule type="expression" dxfId="14031" priority="293">
      <formula>AND(T$9&gt;=8/24,T$9&lt;14/24)</formula>
    </cfRule>
    <cfRule type="expression" dxfId="14030" priority="294">
      <formula>T$9&lt;8/24</formula>
    </cfRule>
  </conditionalFormatting>
  <conditionalFormatting sqref="T47:W47">
    <cfRule type="expression" dxfId="14029" priority="290">
      <formula>T47&gt;$AG47</formula>
    </cfRule>
  </conditionalFormatting>
  <conditionalFormatting sqref="E54:R55">
    <cfRule type="expression" dxfId="14028" priority="286">
      <formula>E$9&gt;=20/24</formula>
    </cfRule>
    <cfRule type="expression" dxfId="14027" priority="287">
      <formula>AND(E$9&gt;=14/24,E$9&lt;20/24)</formula>
    </cfRule>
    <cfRule type="expression" dxfId="14026" priority="288">
      <formula>AND(E$9&gt;=8/24,E$9&lt;14/24)</formula>
    </cfRule>
    <cfRule type="expression" dxfId="14025" priority="289">
      <formula>E$9&lt;8/24</formula>
    </cfRule>
  </conditionalFormatting>
  <conditionalFormatting sqref="E53:R53">
    <cfRule type="expression" dxfId="14024" priority="282">
      <formula>E$9&gt;=20/24</formula>
    </cfRule>
    <cfRule type="expression" dxfId="14023" priority="283">
      <formula>AND(E$9&gt;=14/24,E$9&lt;20/24)</formula>
    </cfRule>
    <cfRule type="expression" dxfId="14022" priority="284">
      <formula>AND(E$9&gt;=8/24,E$9&lt;14/24)</formula>
    </cfRule>
    <cfRule type="expression" dxfId="14021" priority="285">
      <formula>E$9&lt;8/24</formula>
    </cfRule>
  </conditionalFormatting>
  <conditionalFormatting sqref="E53:R55">
    <cfRule type="expression" dxfId="14020" priority="281">
      <formula>E53&gt;$AG53</formula>
    </cfRule>
  </conditionalFormatting>
  <conditionalFormatting sqref="AG70 AG87 E100:L106 Q67:X69">
    <cfRule type="expression" dxfId="14019" priority="277">
      <formula>E$9&gt;=20/24</formula>
    </cfRule>
    <cfRule type="expression" dxfId="14018" priority="278">
      <formula>AND(E$9&gt;=14/24,E$9&lt;20/24)</formula>
    </cfRule>
    <cfRule type="expression" dxfId="14017" priority="279">
      <formula>AND(E$9&gt;=8/24,E$9&lt;14/24)</formula>
    </cfRule>
    <cfRule type="expression" dxfId="14016" priority="280">
      <formula>E$9&lt;8/24</formula>
    </cfRule>
  </conditionalFormatting>
  <conditionalFormatting sqref="AG48 AG66 AG70 Q67:X69">
    <cfRule type="expression" dxfId="14015" priority="276">
      <formula>Q48&gt;$AG48</formula>
    </cfRule>
  </conditionalFormatting>
  <conditionalFormatting sqref="AB58:AF58">
    <cfRule type="expression" dxfId="14014" priority="272">
      <formula>AB$9&gt;=20/24</formula>
    </cfRule>
    <cfRule type="expression" dxfId="14013" priority="273">
      <formula>AND(AB$9&gt;=14/24,AB$9&lt;20/24)</formula>
    </cfRule>
    <cfRule type="expression" dxfId="14012" priority="274">
      <formula>AND(AB$9&gt;=8/24,AB$9&lt;14/24)</formula>
    </cfRule>
    <cfRule type="expression" dxfId="14011" priority="275">
      <formula>AB$9&lt;8/24</formula>
    </cfRule>
  </conditionalFormatting>
  <conditionalFormatting sqref="AB58:AF58">
    <cfRule type="expression" dxfId="14010" priority="271">
      <formula>AB58&gt;$AG58</formula>
    </cfRule>
  </conditionalFormatting>
  <conditionalFormatting sqref="A43">
    <cfRule type="expression" dxfId="14009" priority="270">
      <formula>$AH43=0</formula>
    </cfRule>
  </conditionalFormatting>
  <conditionalFormatting sqref="X91:AF95">
    <cfRule type="expression" dxfId="14008" priority="266">
      <formula>X$9&gt;=20/24</formula>
    </cfRule>
    <cfRule type="expression" dxfId="14007" priority="267">
      <formula>AND(X$9&gt;=14/24,X$9&lt;20/24)</formula>
    </cfRule>
    <cfRule type="expression" dxfId="14006" priority="268">
      <formula>AND(X$9&gt;=8/24,X$9&lt;14/24)</formula>
    </cfRule>
    <cfRule type="expression" dxfId="14005" priority="269">
      <formula>X$9&lt;8/24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F49:AF51">
    <cfRule type="expression" dxfId="14004" priority="262">
      <formula>F$9&gt;=20/24</formula>
    </cfRule>
    <cfRule type="expression" dxfId="14003" priority="263">
      <formula>AND(F$9&gt;=14/24,F$9&lt;20/24)</formula>
    </cfRule>
    <cfRule type="expression" dxfId="14002" priority="264">
      <formula>AND(F$9&gt;=8/24,F$9&lt;14/24)</formula>
    </cfRule>
    <cfRule type="expression" dxfId="14001" priority="265">
      <formula>F$9&lt;8/24</formula>
    </cfRule>
  </conditionalFormatting>
  <conditionalFormatting sqref="F49:AF51">
    <cfRule type="expression" dxfId="14000" priority="261">
      <formula>F49&gt;$AG49</formula>
    </cfRule>
  </conditionalFormatting>
  <conditionalFormatting sqref="AG52">
    <cfRule type="expression" dxfId="13999" priority="257">
      <formula>AG$9&gt;=20/24</formula>
    </cfRule>
    <cfRule type="expression" dxfId="13998" priority="258">
      <formula>AND(AG$9&gt;=14/24,AG$9&lt;20/24)</formula>
    </cfRule>
    <cfRule type="expression" dxfId="13997" priority="259">
      <formula>AND(AG$9&gt;=8/24,AG$9&lt;14/24)</formula>
    </cfRule>
    <cfRule type="expression" dxfId="13996" priority="260">
      <formula>AG$9&lt;8/24</formula>
    </cfRule>
  </conditionalFormatting>
  <conditionalFormatting sqref="AG52">
    <cfRule type="expression" dxfId="13995" priority="256">
      <formula>AG52&gt;$AG52</formula>
    </cfRule>
  </conditionalFormatting>
  <conditionalFormatting sqref="C107:AF107">
    <cfRule type="expression" dxfId="13994" priority="252">
      <formula>C$9&gt;=20/24</formula>
    </cfRule>
    <cfRule type="expression" dxfId="13993" priority="253">
      <formula>AND(C$9&gt;=14/24,C$9&lt;20/24)</formula>
    </cfRule>
    <cfRule type="expression" dxfId="13992" priority="254">
      <formula>AND(C$9&gt;=8/24,C$9&lt;14/24)</formula>
    </cfRule>
    <cfRule type="expression" dxfId="13991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3990" priority="250">
      <formula>$AH40=0</formula>
    </cfRule>
  </conditionalFormatting>
  <conditionalFormatting sqref="A90">
    <cfRule type="expression" dxfId="13989" priority="248">
      <formula>$AH90=0</formula>
    </cfRule>
  </conditionalFormatting>
  <conditionalFormatting sqref="A87">
    <cfRule type="expression" dxfId="13988" priority="249">
      <formula>$AH87=0</formula>
    </cfRule>
  </conditionalFormatting>
  <conditionalFormatting sqref="D110:AF110">
    <cfRule type="expression" dxfId="13987" priority="244">
      <formula>D$9&gt;=20/24</formula>
    </cfRule>
    <cfRule type="expression" dxfId="13986" priority="245">
      <formula>AND(D$9&gt;=14/24,D$9&lt;20/24)</formula>
    </cfRule>
    <cfRule type="expression" dxfId="13985" priority="246">
      <formula>AND(D$9&gt;=8/24,D$9&lt;14/24)</formula>
    </cfRule>
    <cfRule type="expression" dxfId="13984" priority="247">
      <formula>D$9&lt;8/24</formula>
    </cfRule>
  </conditionalFormatting>
  <conditionalFormatting sqref="A110">
    <cfRule type="expression" dxfId="13983" priority="243">
      <formula>$AH110=0</formula>
    </cfRule>
  </conditionalFormatting>
  <conditionalFormatting sqref="A21">
    <cfRule type="expression" dxfId="13982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3981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3980" priority="235">
      <formula>Y$9&gt;=20/24</formula>
    </cfRule>
    <cfRule type="expression" dxfId="13979" priority="236">
      <formula>AND(Y$9&gt;=14/24,Y$9&lt;20/24)</formula>
    </cfRule>
    <cfRule type="expression" dxfId="13978" priority="237">
      <formula>AND(Y$9&gt;=8/24,Y$9&lt;14/24)</formula>
    </cfRule>
    <cfRule type="expression" dxfId="13977" priority="238">
      <formula>Y$9&lt;8/24</formula>
    </cfRule>
  </conditionalFormatting>
  <conditionalFormatting sqref="Y100:AC106">
    <cfRule type="expression" dxfId="13976" priority="231">
      <formula>Y$9&gt;=20/24</formula>
    </cfRule>
    <cfRule type="expression" dxfId="13975" priority="232">
      <formula>AND(Y$9&gt;=14/24,Y$9&lt;20/24)</formula>
    </cfRule>
    <cfRule type="expression" dxfId="13974" priority="233">
      <formula>AND(Y$9&gt;=8/24,Y$9&lt;14/24)</formula>
    </cfRule>
    <cfRule type="expression" dxfId="13973" priority="234">
      <formula>Y$9&lt;8/24</formula>
    </cfRule>
  </conditionalFormatting>
  <conditionalFormatting sqref="C109 C111:C116 AA34:AF43 AA17:AF32">
    <cfRule type="expression" dxfId="13972" priority="227">
      <formula>C$9&gt;=20/24</formula>
    </cfRule>
    <cfRule type="expression" dxfId="13971" priority="228">
      <formula>AND(C$9&gt;=14/24,C$9&lt;20/24)</formula>
    </cfRule>
    <cfRule type="expression" dxfId="13970" priority="229">
      <formula>AND(C$9&gt;=8/24,C$9&lt;14/24)</formula>
    </cfRule>
    <cfRule type="expression" dxfId="13969" priority="230">
      <formula>C$9&lt;8/24</formula>
    </cfRule>
  </conditionalFormatting>
  <conditionalFormatting sqref="C47:S47">
    <cfRule type="expression" dxfId="13968" priority="223">
      <formula>C$9&gt;=20/24</formula>
    </cfRule>
    <cfRule type="expression" dxfId="13967" priority="224">
      <formula>AND(C$9&gt;=14/24,C$9&lt;20/24)</formula>
    </cfRule>
    <cfRule type="expression" dxfId="13966" priority="225">
      <formula>AND(C$9&gt;=8/24,C$9&lt;14/24)</formula>
    </cfRule>
    <cfRule type="expression" dxfId="13965" priority="226">
      <formula>C$9&lt;8/24</formula>
    </cfRule>
  </conditionalFormatting>
  <conditionalFormatting sqref="C47:S47 AA34:AF43 AA17:AF32">
    <cfRule type="expression" dxfId="13964" priority="222">
      <formula>C17&gt;$AG17</formula>
    </cfRule>
  </conditionalFormatting>
  <conditionalFormatting sqref="C99:D99">
    <cfRule type="expression" dxfId="13963" priority="218">
      <formula>C$9&gt;=20/24</formula>
    </cfRule>
    <cfRule type="expression" dxfId="13962" priority="219">
      <formula>AND(C$9&gt;=14/24,C$9&lt;20/24)</formula>
    </cfRule>
    <cfRule type="expression" dxfId="13961" priority="220">
      <formula>AND(C$9&gt;=8/24,C$9&lt;14/24)</formula>
    </cfRule>
    <cfRule type="expression" dxfId="13960" priority="221">
      <formula>C$9&lt;8/24</formula>
    </cfRule>
  </conditionalFormatting>
  <conditionalFormatting sqref="C86 D100:D106 C96:W96 C83:AF85 M67:P69 E75:AF76 E74:Z74">
    <cfRule type="expression" dxfId="13959" priority="214">
      <formula>C$9&gt;=20/24</formula>
    </cfRule>
    <cfRule type="expression" dxfId="13958" priority="215">
      <formula>AND(C$9&gt;=14/24,C$9&lt;20/24)</formula>
    </cfRule>
    <cfRule type="expression" dxfId="13957" priority="216">
      <formula>AND(C$9&gt;=8/24,C$9&lt;14/24)</formula>
    </cfRule>
    <cfRule type="expression" dxfId="13956" priority="217">
      <formula>C$9&lt;8/24</formula>
    </cfRule>
  </conditionalFormatting>
  <conditionalFormatting sqref="M67:P69 E56:R57">
    <cfRule type="expression" dxfId="13955" priority="213">
      <formula>E56&gt;$AG56</formula>
    </cfRule>
  </conditionalFormatting>
  <conditionalFormatting sqref="E58:R58">
    <cfRule type="expression" dxfId="13954" priority="209">
      <formula>E$9&gt;=20/24</formula>
    </cfRule>
    <cfRule type="expression" dxfId="13953" priority="210">
      <formula>AND(E$9&gt;=14/24,E$9&lt;20/24)</formula>
    </cfRule>
    <cfRule type="expression" dxfId="13952" priority="211">
      <formula>AND(E$9&gt;=8/24,E$9&lt;14/24)</formula>
    </cfRule>
    <cfRule type="expression" dxfId="13951" priority="212">
      <formula>E$9&lt;8/24</formula>
    </cfRule>
  </conditionalFormatting>
  <conditionalFormatting sqref="E58:R58">
    <cfRule type="expression" dxfId="13950" priority="208">
      <formula>E58&gt;$AG58</formula>
    </cfRule>
  </conditionalFormatting>
  <conditionalFormatting sqref="B71:D71 B54:D57">
    <cfRule type="expression" dxfId="13949" priority="137">
      <formula>B$9&gt;=20/24</formula>
    </cfRule>
    <cfRule type="expression" dxfId="13948" priority="138">
      <formula>AND(B$9&gt;=14/24,B$9&lt;20/24)</formula>
    </cfRule>
    <cfRule type="expression" dxfId="13947" priority="139">
      <formula>AND(B$9&gt;=8/24,B$9&lt;14/24)</formula>
    </cfRule>
    <cfRule type="expression" dxfId="13946" priority="140">
      <formula>B$9&lt;8/24</formula>
    </cfRule>
  </conditionalFormatting>
  <conditionalFormatting sqref="C87:AF87 C89:AF89 C98:AF98 C70:AF70">
    <cfRule type="expression" dxfId="13945" priority="204">
      <formula>C$9&gt;=20/24</formula>
    </cfRule>
    <cfRule type="expression" dxfId="13944" priority="205">
      <formula>AND(C$9&gt;=14/24,C$9&lt;20/24)</formula>
    </cfRule>
    <cfRule type="expression" dxfId="13943" priority="206">
      <formula>AND(C$9&gt;=8/24,C$9&lt;14/24)</formula>
    </cfRule>
    <cfRule type="expression" dxfId="13942" priority="207">
      <formula>C$9&lt;8/24</formula>
    </cfRule>
  </conditionalFormatting>
  <conditionalFormatting sqref="C70:AF70 C65:AF66">
    <cfRule type="expression" dxfId="13941" priority="203">
      <formula>C65&gt;$AG65</formula>
    </cfRule>
  </conditionalFormatting>
  <conditionalFormatting sqref="C82:AF82">
    <cfRule type="expression" dxfId="13940" priority="199">
      <formula>C$9&gt;=20/24</formula>
    </cfRule>
    <cfRule type="expression" dxfId="13939" priority="200">
      <formula>AND(C$9&gt;=14/24,C$9&lt;20/24)</formula>
    </cfRule>
    <cfRule type="expression" dxfId="13938" priority="201">
      <formula>AND(C$9&gt;=8/24,C$9&lt;14/24)</formula>
    </cfRule>
    <cfRule type="expression" dxfId="13937" priority="202">
      <formula>C$9&lt;8/24</formula>
    </cfRule>
  </conditionalFormatting>
  <conditionalFormatting sqref="C91:W95">
    <cfRule type="expression" dxfId="13936" priority="195">
      <formula>C$9&gt;=20/24</formula>
    </cfRule>
    <cfRule type="expression" dxfId="13935" priority="196">
      <formula>AND(C$9&gt;=14/24,C$9&lt;20/24)</formula>
    </cfRule>
    <cfRule type="expression" dxfId="13934" priority="197">
      <formula>AND(C$9&gt;=8/24,C$9&lt;14/24)</formula>
    </cfRule>
    <cfRule type="expression" dxfId="13933" priority="198">
      <formula>C$9&lt;8/24</formula>
    </cfRule>
  </conditionalFormatting>
  <conditionalFormatting sqref="C52:AF52">
    <cfRule type="expression" dxfId="13932" priority="191">
      <formula>C$9&gt;=20/24</formula>
    </cfRule>
    <cfRule type="expression" dxfId="13931" priority="192">
      <formula>AND(C$9&gt;=14/24,C$9&lt;20/24)</formula>
    </cfRule>
    <cfRule type="expression" dxfId="13930" priority="193">
      <formula>AND(C$9&gt;=8/24,C$9&lt;14/24)</formula>
    </cfRule>
    <cfRule type="expression" dxfId="13929" priority="194">
      <formula>C$9&lt;8/24</formula>
    </cfRule>
  </conditionalFormatting>
  <conditionalFormatting sqref="C52:AF52">
    <cfRule type="expression" dxfId="13928" priority="190">
      <formula>C52&gt;$AG52</formula>
    </cfRule>
  </conditionalFormatting>
  <conditionalFormatting sqref="B49:E51">
    <cfRule type="expression" dxfId="13927" priority="105">
      <formula>B$9&gt;=20/24</formula>
    </cfRule>
    <cfRule type="expression" dxfId="13926" priority="106">
      <formula>AND(B$9&gt;=14/24,B$9&lt;20/24)</formula>
    </cfRule>
    <cfRule type="expression" dxfId="13925" priority="107">
      <formula>AND(B$9&gt;=8/24,B$9&lt;14/24)</formula>
    </cfRule>
    <cfRule type="expression" dxfId="13924" priority="108">
      <formula>B$9&lt;8/24</formula>
    </cfRule>
  </conditionalFormatting>
  <conditionalFormatting sqref="C110">
    <cfRule type="expression" dxfId="13923" priority="182">
      <formula>C$9&gt;=20/24</formula>
    </cfRule>
    <cfRule type="expression" dxfId="13922" priority="183">
      <formula>AND(C$9&gt;=14/24,C$9&lt;20/24)</formula>
    </cfRule>
    <cfRule type="expression" dxfId="13921" priority="184">
      <formula>AND(C$9&gt;=8/24,C$9&lt;14/24)</formula>
    </cfRule>
    <cfRule type="expression" dxfId="13920" priority="185">
      <formula>C$9&lt;8/24</formula>
    </cfRule>
  </conditionalFormatting>
  <conditionalFormatting sqref="E59:F59 F60:F64 G59:AF64">
    <cfRule type="expression" dxfId="13919" priority="178">
      <formula>E$9&gt;=20/24</formula>
    </cfRule>
    <cfRule type="expression" dxfId="13918" priority="179">
      <formula>AND(E$9&gt;=14/24,E$9&lt;20/24)</formula>
    </cfRule>
    <cfRule type="expression" dxfId="13917" priority="180">
      <formula>AND(E$9&gt;=8/24,E$9&lt;14/24)</formula>
    </cfRule>
    <cfRule type="expression" dxfId="13916" priority="181">
      <formula>E$9&lt;8/24</formula>
    </cfRule>
  </conditionalFormatting>
  <conditionalFormatting sqref="E59:F59 F60:F64 G59:AF64">
    <cfRule type="expression" dxfId="13915" priority="177">
      <formula>E59&gt;$AG59</formula>
    </cfRule>
  </conditionalFormatting>
  <conditionalFormatting sqref="AA45:AF45 AA13:AF15">
    <cfRule type="expression" dxfId="13914" priority="176">
      <formula>AA13&gt;$AG13</formula>
    </cfRule>
  </conditionalFormatting>
  <conditionalFormatting sqref="E12:AF12">
    <cfRule type="expression" dxfId="13913" priority="172">
      <formula>E$9&gt;=20/24</formula>
    </cfRule>
    <cfRule type="expression" dxfId="13912" priority="173">
      <formula>AND(E$9&gt;=14/24,E$9&lt;20/24)</formula>
    </cfRule>
    <cfRule type="expression" dxfId="13911" priority="174">
      <formula>AND(E$9&gt;=8/24,E$9&lt;14/24)</formula>
    </cfRule>
    <cfRule type="expression" dxfId="13910" priority="175">
      <formula>E$9&lt;8/24</formula>
    </cfRule>
  </conditionalFormatting>
  <conditionalFormatting sqref="E12:AF12">
    <cfRule type="expression" dxfId="13909" priority="171">
      <formula>E12&gt;$AG12</formula>
    </cfRule>
  </conditionalFormatting>
  <conditionalFormatting sqref="AA13:AF15">
    <cfRule type="expression" dxfId="13908" priority="167">
      <formula>AA$9&gt;=20/24</formula>
    </cfRule>
    <cfRule type="expression" dxfId="13907" priority="168">
      <formula>AND(AA$9&gt;=14/24,AA$9&lt;20/24)</formula>
    </cfRule>
    <cfRule type="expression" dxfId="13906" priority="169">
      <formula>AND(AA$9&gt;=8/24,AA$9&lt;14/24)</formula>
    </cfRule>
    <cfRule type="expression" dxfId="13905" priority="170">
      <formula>AA$9&lt;8/24</formula>
    </cfRule>
  </conditionalFormatting>
  <conditionalFormatting sqref="AA45:AF45">
    <cfRule type="expression" dxfId="13904" priority="163">
      <formula>AA$9&gt;=20/24</formula>
    </cfRule>
    <cfRule type="expression" dxfId="13903" priority="164">
      <formula>AND(AA$9&gt;=14/24,AA$9&lt;20/24)</formula>
    </cfRule>
    <cfRule type="expression" dxfId="13902" priority="165">
      <formula>AND(AA$9&gt;=8/24,AA$9&lt;14/24)</formula>
    </cfRule>
    <cfRule type="expression" dxfId="13901" priority="166">
      <formula>AA$9&lt;8/24</formula>
    </cfRule>
  </conditionalFormatting>
  <conditionalFormatting sqref="E77:AF81">
    <cfRule type="expression" dxfId="13900" priority="159">
      <formula>E$9&gt;=20/24</formula>
    </cfRule>
    <cfRule type="expression" dxfId="13899" priority="160">
      <formula>AND(E$9&gt;=14/24,E$9&lt;20/24)</formula>
    </cfRule>
    <cfRule type="expression" dxfId="13898" priority="161">
      <formula>AND(E$9&gt;=8/24,E$9&lt;14/24)</formula>
    </cfRule>
    <cfRule type="expression" dxfId="13897" priority="162">
      <formula>E$9&lt;8/24</formula>
    </cfRule>
  </conditionalFormatting>
  <conditionalFormatting sqref="AL78:AN78 AL84:AN84 AN79:AN80">
    <cfRule type="expression" dxfId="13896" priority="155">
      <formula>AL$9&gt;=20/24</formula>
    </cfRule>
    <cfRule type="expression" dxfId="13895" priority="156">
      <formula>AND(AL$9&gt;=14/24,AL$9&lt;20/24)</formula>
    </cfRule>
    <cfRule type="expression" dxfId="13894" priority="157">
      <formula>AND(AL$9&gt;=8/24,AL$9&lt;14/24)</formula>
    </cfRule>
    <cfRule type="expression" dxfId="13893" priority="158">
      <formula>AL$9&lt;8/24</formula>
    </cfRule>
  </conditionalFormatting>
  <conditionalFormatting sqref="AN81:AN82">
    <cfRule type="expression" dxfId="13892" priority="151">
      <formula>AN$9&gt;=20/24</formula>
    </cfRule>
    <cfRule type="expression" dxfId="13891" priority="152">
      <formula>AND(AN$9&gt;=14/24,AN$9&lt;20/24)</formula>
    </cfRule>
    <cfRule type="expression" dxfId="13890" priority="153">
      <formula>AND(AN$9&gt;=8/24,AN$9&lt;14/24)</formula>
    </cfRule>
    <cfRule type="expression" dxfId="13889" priority="154">
      <formula>AN$9&lt;8/24</formula>
    </cfRule>
  </conditionalFormatting>
  <conditionalFormatting sqref="AL79:AM83">
    <cfRule type="expression" dxfId="13888" priority="368">
      <formula>AJ$9&gt;=20/24</formula>
    </cfRule>
    <cfRule type="expression" dxfId="13887" priority="369">
      <formula>AND(AJ$9&gt;=14/24,AJ$9&lt;20/24)</formula>
    </cfRule>
    <cfRule type="expression" dxfId="13886" priority="370">
      <formula>AND(AJ$9&gt;=8/24,AJ$9&lt;14/24)</formula>
    </cfRule>
    <cfRule type="expression" dxfId="13885" priority="371">
      <formula>AJ$9&lt;8/24</formula>
    </cfRule>
  </conditionalFormatting>
  <conditionalFormatting sqref="A117">
    <cfRule type="expression" dxfId="13884" priority="150">
      <formula>$AH117=0</formula>
    </cfRule>
  </conditionalFormatting>
  <conditionalFormatting sqref="B109 B111:B116 B12:D15 E13:Z15 B17:Z32 B34:Z43 B45:Z45">
    <cfRule type="expression" dxfId="13883" priority="146">
      <formula>B$9&gt;=20/24</formula>
    </cfRule>
    <cfRule type="expression" dxfId="13882" priority="147">
      <formula>AND(B$9&gt;=14/24,B$9&lt;20/24)</formula>
    </cfRule>
    <cfRule type="expression" dxfId="13881" priority="148">
      <formula>AND(B$9&gt;=8/24,B$9&lt;14/24)</formula>
    </cfRule>
    <cfRule type="expression" dxfId="13880" priority="149">
      <formula>B$9&lt;8/24</formula>
    </cfRule>
  </conditionalFormatting>
  <conditionalFormatting sqref="B12:D15 E13:Z15 B17:Z32 B34:Z43 B45:Z45">
    <cfRule type="expression" dxfId="13879" priority="145">
      <formula>B12&gt;$AG12</formula>
    </cfRule>
  </conditionalFormatting>
  <conditionalFormatting sqref="B99">
    <cfRule type="expression" dxfId="13878" priority="141">
      <formula>B$9&gt;=20/24</formula>
    </cfRule>
    <cfRule type="expression" dxfId="13877" priority="142">
      <formula>AND(B$9&gt;=14/24,B$9&lt;20/24)</formula>
    </cfRule>
    <cfRule type="expression" dxfId="13876" priority="143">
      <formula>AND(B$9&gt;=8/24,B$9&lt;14/24)</formula>
    </cfRule>
    <cfRule type="expression" dxfId="13875" priority="144">
      <formula>B$9&lt;8/24</formula>
    </cfRule>
  </conditionalFormatting>
  <conditionalFormatting sqref="B53:D53">
    <cfRule type="expression" dxfId="13874" priority="133">
      <formula>B$9&gt;=20/24</formula>
    </cfRule>
    <cfRule type="expression" dxfId="13873" priority="134">
      <formula>AND(B$9&gt;=14/24,B$9&lt;20/24)</formula>
    </cfRule>
    <cfRule type="expression" dxfId="13872" priority="135">
      <formula>AND(B$9&gt;=8/24,B$9&lt;14/24)</formula>
    </cfRule>
    <cfRule type="expression" dxfId="13871" priority="136">
      <formula>B$9&lt;8/24</formula>
    </cfRule>
  </conditionalFormatting>
  <conditionalFormatting sqref="B53:D57">
    <cfRule type="expression" dxfId="13870" priority="132">
      <formula>B53&gt;$AG53</formula>
    </cfRule>
  </conditionalFormatting>
  <conditionalFormatting sqref="B96 B86 B47 B72:D74 B100:C106 B67:L69">
    <cfRule type="expression" dxfId="13869" priority="128">
      <formula>B$9&gt;=20/24</formula>
    </cfRule>
    <cfRule type="expression" dxfId="13868" priority="129">
      <formula>AND(B$9&gt;=14/24,B$9&lt;20/24)</formula>
    </cfRule>
    <cfRule type="expression" dxfId="13867" priority="130">
      <formula>AND(B$9&gt;=8/24,B$9&lt;14/24)</formula>
    </cfRule>
    <cfRule type="expression" dxfId="13866" priority="131">
      <formula>B$9&lt;8/24</formula>
    </cfRule>
  </conditionalFormatting>
  <conditionalFormatting sqref="B47 B67:L69">
    <cfRule type="expression" dxfId="13865" priority="127">
      <formula>B47&gt;$AG47</formula>
    </cfRule>
  </conditionalFormatting>
  <conditionalFormatting sqref="B97 B88:C88">
    <cfRule type="expression" dxfId="13864" priority="123">
      <formula>B$9&gt;=20/24</formula>
    </cfRule>
    <cfRule type="expression" dxfId="13863" priority="124">
      <formula>AND(B$9&gt;=14/24,B$9&lt;20/24)</formula>
    </cfRule>
    <cfRule type="expression" dxfId="13862" priority="125">
      <formula>AND(B$9&gt;=8/24,B$9&lt;14/24)</formula>
    </cfRule>
    <cfRule type="expression" dxfId="13861" priority="126">
      <formula>B$9&lt;8/24</formula>
    </cfRule>
  </conditionalFormatting>
  <conditionalFormatting sqref="B46:AF46">
    <cfRule type="expression" dxfId="13860" priority="119">
      <formula>B$9&gt;=20/24</formula>
    </cfRule>
    <cfRule type="expression" dxfId="13859" priority="120">
      <formula>AND(B$9&gt;=14/24,B$9&lt;20/24)</formula>
    </cfRule>
    <cfRule type="expression" dxfId="13858" priority="121">
      <formula>AND(B$9&gt;=8/24,B$9&lt;14/24)</formula>
    </cfRule>
    <cfRule type="expression" dxfId="13857" priority="122">
      <formula>B$9&lt;8/24</formula>
    </cfRule>
  </conditionalFormatting>
  <conditionalFormatting sqref="B46:AF46">
    <cfRule type="expression" dxfId="13856" priority="118">
      <formula>B46&gt;$AG46</formula>
    </cfRule>
  </conditionalFormatting>
  <conditionalFormatting sqref="B58:D58">
    <cfRule type="expression" dxfId="13855" priority="114">
      <formula>B$9&gt;=20/24</formula>
    </cfRule>
    <cfRule type="expression" dxfId="13854" priority="115">
      <formula>AND(B$9&gt;=14/24,B$9&lt;20/24)</formula>
    </cfRule>
    <cfRule type="expression" dxfId="13853" priority="116">
      <formula>AND(B$9&gt;=8/24,B$9&lt;14/24)</formula>
    </cfRule>
    <cfRule type="expression" dxfId="13852" priority="117">
      <formula>B$9&lt;8/24</formula>
    </cfRule>
  </conditionalFormatting>
  <conditionalFormatting sqref="B58:D58">
    <cfRule type="expression" dxfId="13851" priority="113">
      <formula>B58&gt;$AG58</formula>
    </cfRule>
  </conditionalFormatting>
  <conditionalFormatting sqref="B91:B95">
    <cfRule type="expression" dxfId="13850" priority="109">
      <formula>B$9&gt;=20/24</formula>
    </cfRule>
    <cfRule type="expression" dxfId="13849" priority="110">
      <formula>AND(B$9&gt;=14/24,B$9&lt;20/24)</formula>
    </cfRule>
    <cfRule type="expression" dxfId="13848" priority="111">
      <formula>AND(B$9&gt;=8/24,B$9&lt;14/24)</formula>
    </cfRule>
    <cfRule type="expression" dxfId="13847" priority="112">
      <formula>B$9&lt;8/24</formula>
    </cfRule>
  </conditionalFormatting>
  <conditionalFormatting sqref="B49:E51">
    <cfRule type="expression" dxfId="13846" priority="104">
      <formula>B49&gt;$AG49</formula>
    </cfRule>
  </conditionalFormatting>
  <conditionalFormatting sqref="B107">
    <cfRule type="expression" dxfId="13845" priority="100">
      <formula>B$9&gt;=20/24</formula>
    </cfRule>
    <cfRule type="expression" dxfId="13844" priority="101">
      <formula>AND(B$9&gt;=14/24,B$9&lt;20/24)</formula>
    </cfRule>
    <cfRule type="expression" dxfId="13843" priority="102">
      <formula>AND(B$9&gt;=8/24,B$9&lt;14/24)</formula>
    </cfRule>
    <cfRule type="expression" dxfId="13842" priority="103">
      <formula>B$9&lt;8/24</formula>
    </cfRule>
  </conditionalFormatting>
  <conditionalFormatting sqref="B110">
    <cfRule type="expression" dxfId="13841" priority="96">
      <formula>B$9&gt;=20/24</formula>
    </cfRule>
    <cfRule type="expression" dxfId="13840" priority="97">
      <formula>AND(B$9&gt;=14/24,B$9&lt;20/24)</formula>
    </cfRule>
    <cfRule type="expression" dxfId="13839" priority="98">
      <formula>AND(B$9&gt;=8/24,B$9&lt;14/24)</formula>
    </cfRule>
    <cfRule type="expression" dxfId="13838" priority="99">
      <formula>B$9&lt;8/24</formula>
    </cfRule>
  </conditionalFormatting>
  <conditionalFormatting sqref="B83:B85 B75:D76">
    <cfRule type="expression" dxfId="13837" priority="92">
      <formula>B$9&gt;=20/24</formula>
    </cfRule>
    <cfRule type="expression" dxfId="13836" priority="93">
      <formula>AND(B$9&gt;=14/24,B$9&lt;20/24)</formula>
    </cfRule>
    <cfRule type="expression" dxfId="13835" priority="94">
      <formula>AND(B$9&gt;=8/24,B$9&lt;14/24)</formula>
    </cfRule>
    <cfRule type="expression" dxfId="13834" priority="95">
      <formula>B$9&lt;8/24</formula>
    </cfRule>
  </conditionalFormatting>
  <conditionalFormatting sqref="B89 B98 B70 B87">
    <cfRule type="expression" dxfId="13833" priority="88">
      <formula>B$9&gt;=20/24</formula>
    </cfRule>
    <cfRule type="expression" dxfId="13832" priority="89">
      <formula>AND(B$9&gt;=14/24,B$9&lt;20/24)</formula>
    </cfRule>
    <cfRule type="expression" dxfId="13831" priority="90">
      <formula>AND(B$9&gt;=8/24,B$9&lt;14/24)</formula>
    </cfRule>
    <cfRule type="expression" dxfId="13830" priority="91">
      <formula>B$9&lt;8/24</formula>
    </cfRule>
  </conditionalFormatting>
  <conditionalFormatting sqref="B65:B66 B70 B48:AF48">
    <cfRule type="expression" dxfId="13829" priority="87">
      <formula>B48&gt;$AG48</formula>
    </cfRule>
  </conditionalFormatting>
  <conditionalFormatting sqref="B82">
    <cfRule type="expression" dxfId="13828" priority="83">
      <formula>B$9&gt;=20/24</formula>
    </cfRule>
    <cfRule type="expression" dxfId="13827" priority="84">
      <formula>AND(B$9&gt;=14/24,B$9&lt;20/24)</formula>
    </cfRule>
    <cfRule type="expression" dxfId="13826" priority="85">
      <formula>AND(B$9&gt;=8/24,B$9&lt;14/24)</formula>
    </cfRule>
    <cfRule type="expression" dxfId="13825" priority="86">
      <formula>B$9&lt;8/24</formula>
    </cfRule>
  </conditionalFormatting>
  <conditionalFormatting sqref="B52">
    <cfRule type="expression" dxfId="13824" priority="79">
      <formula>B$9&gt;=20/24</formula>
    </cfRule>
    <cfRule type="expression" dxfId="13823" priority="80">
      <formula>AND(B$9&gt;=14/24,B$9&lt;20/24)</formula>
    </cfRule>
    <cfRule type="expression" dxfId="13822" priority="81">
      <formula>AND(B$9&gt;=8/24,B$9&lt;14/24)</formula>
    </cfRule>
    <cfRule type="expression" dxfId="13821" priority="82">
      <formula>B$9&lt;8/24</formula>
    </cfRule>
  </conditionalFormatting>
  <conditionalFormatting sqref="B52">
    <cfRule type="expression" dxfId="13820" priority="78">
      <formula>B52&gt;$AG52</formula>
    </cfRule>
  </conditionalFormatting>
  <conditionalFormatting sqref="B59:D64 E60:E64">
    <cfRule type="expression" dxfId="13819" priority="70">
      <formula>B$9&gt;=20/24</formula>
    </cfRule>
    <cfRule type="expression" dxfId="13818" priority="71">
      <formula>AND(B$9&gt;=14/24,B$9&lt;20/24)</formula>
    </cfRule>
    <cfRule type="expression" dxfId="13817" priority="72">
      <formula>AND(B$9&gt;=8/24,B$9&lt;14/24)</formula>
    </cfRule>
    <cfRule type="expression" dxfId="13816" priority="73">
      <formula>B$9&lt;8/24</formula>
    </cfRule>
  </conditionalFormatting>
  <conditionalFormatting sqref="B59:D64 E60:E64">
    <cfRule type="expression" dxfId="13815" priority="69">
      <formula>B59&gt;$AG59</formula>
    </cfRule>
  </conditionalFormatting>
  <conditionalFormatting sqref="B77:D81">
    <cfRule type="expression" dxfId="13814" priority="65">
      <formula>B$9&gt;=20/24</formula>
    </cfRule>
    <cfRule type="expression" dxfId="13813" priority="66">
      <formula>AND(B$9&gt;=14/24,B$9&lt;20/24)</formula>
    </cfRule>
    <cfRule type="expression" dxfId="13812" priority="67">
      <formula>AND(B$9&gt;=8/24,B$9&lt;14/24)</formula>
    </cfRule>
    <cfRule type="expression" dxfId="13811" priority="68">
      <formula>B$9&lt;8/24</formula>
    </cfRule>
  </conditionalFormatting>
  <conditionalFormatting sqref="A11">
    <cfRule type="expression" dxfId="13810" priority="64">
      <formula>$AH11=0</formula>
    </cfRule>
  </conditionalFormatting>
  <conditionalFormatting sqref="Q11 T11:AF11">
    <cfRule type="expression" dxfId="13809" priority="60">
      <formula>Q$9&gt;=20/24</formula>
    </cfRule>
    <cfRule type="expression" dxfId="13808" priority="61">
      <formula>AND(Q$9&gt;=14/24,Q$9&lt;20/24)</formula>
    </cfRule>
    <cfRule type="expression" dxfId="13807" priority="62">
      <formula>AND(Q$9&gt;=8/24,Q$9&lt;14/24)</formula>
    </cfRule>
    <cfRule type="expression" dxfId="13806" priority="63">
      <formula>Q$9&lt;8/24</formula>
    </cfRule>
  </conditionalFormatting>
  <conditionalFormatting sqref="Q11 T11:AF11">
    <cfRule type="expression" dxfId="13805" priority="59">
      <formula>Q11&gt;$AG11</formula>
    </cfRule>
  </conditionalFormatting>
  <conditionalFormatting sqref="B11:P11">
    <cfRule type="expression" dxfId="13804" priority="55">
      <formula>B$9&gt;=20/24</formula>
    </cfRule>
    <cfRule type="expression" dxfId="13803" priority="56">
      <formula>AND(B$9&gt;=14/24,B$9&lt;20/24)</formula>
    </cfRule>
    <cfRule type="expression" dxfId="13802" priority="57">
      <formula>AND(B$9&gt;=8/24,B$9&lt;14/24)</formula>
    </cfRule>
    <cfRule type="expression" dxfId="13801" priority="58">
      <formula>B$9&lt;8/24</formula>
    </cfRule>
  </conditionalFormatting>
  <conditionalFormatting sqref="B11:P11">
    <cfRule type="expression" dxfId="13800" priority="54">
      <formula>B11&gt;$AG11</formula>
    </cfRule>
  </conditionalFormatting>
  <conditionalFormatting sqref="A16">
    <cfRule type="expression" dxfId="13799" priority="52">
      <formula>$AH16=0</formula>
    </cfRule>
  </conditionalFormatting>
  <conditionalFormatting sqref="AL16">
    <cfRule type="iconSet" priority="53">
      <iconSet iconSet="3TrafficLights2" reverse="1">
        <cfvo type="percent" val="0"/>
        <cfvo type="num" val="1"/>
        <cfvo type="num" val="1"/>
      </iconSet>
    </cfRule>
  </conditionalFormatting>
  <conditionalFormatting sqref="AA16:AF16">
    <cfRule type="expression" dxfId="13798" priority="48">
      <formula>AA$9&gt;=20/24</formula>
    </cfRule>
    <cfRule type="expression" dxfId="13797" priority="49">
      <formula>AND(AA$9&gt;=14/24,AA$9&lt;20/24)</formula>
    </cfRule>
    <cfRule type="expression" dxfId="13796" priority="50">
      <formula>AND(AA$9&gt;=8/24,AA$9&lt;14/24)</formula>
    </cfRule>
    <cfRule type="expression" dxfId="13795" priority="51">
      <formula>AA$9&lt;8/24</formula>
    </cfRule>
  </conditionalFormatting>
  <conditionalFormatting sqref="AA16:AF16">
    <cfRule type="expression" dxfId="13794" priority="47">
      <formula>AA16&gt;$AG16</formula>
    </cfRule>
  </conditionalFormatting>
  <conditionalFormatting sqref="B16:Z16">
    <cfRule type="expression" dxfId="13793" priority="43">
      <formula>B$9&gt;=20/24</formula>
    </cfRule>
    <cfRule type="expression" dxfId="13792" priority="44">
      <formula>AND(B$9&gt;=14/24,B$9&lt;20/24)</formula>
    </cfRule>
    <cfRule type="expression" dxfId="13791" priority="45">
      <formula>AND(B$9&gt;=8/24,B$9&lt;14/24)</formula>
    </cfRule>
    <cfRule type="expression" dxfId="13790" priority="46">
      <formula>B$9&lt;8/24</formula>
    </cfRule>
  </conditionalFormatting>
  <conditionalFormatting sqref="B16:Z16">
    <cfRule type="expression" dxfId="13789" priority="42">
      <formula>B16&gt;$AG16</formula>
    </cfRule>
  </conditionalFormatting>
  <conditionalFormatting sqref="A33">
    <cfRule type="expression" dxfId="13788" priority="40">
      <formula>$AH33=0</formula>
    </cfRule>
  </conditionalFormatting>
  <conditionalFormatting sqref="AL33">
    <cfRule type="iconSet" priority="41">
      <iconSet iconSet="3TrafficLights2" reverse="1">
        <cfvo type="percent" val="0"/>
        <cfvo type="num" val="1"/>
        <cfvo type="num" val="1"/>
      </iconSet>
    </cfRule>
  </conditionalFormatting>
  <conditionalFormatting sqref="AA33:AF33">
    <cfRule type="expression" dxfId="13787" priority="36">
      <formula>AA$9&gt;=20/24</formula>
    </cfRule>
    <cfRule type="expression" dxfId="13786" priority="37">
      <formula>AND(AA$9&gt;=14/24,AA$9&lt;20/24)</formula>
    </cfRule>
    <cfRule type="expression" dxfId="13785" priority="38">
      <formula>AND(AA$9&gt;=8/24,AA$9&lt;14/24)</formula>
    </cfRule>
    <cfRule type="expression" dxfId="13784" priority="39">
      <formula>AA$9&lt;8/24</formula>
    </cfRule>
  </conditionalFormatting>
  <conditionalFormatting sqref="AA33:AF33">
    <cfRule type="expression" dxfId="13783" priority="35">
      <formula>AA33&gt;$AG33</formula>
    </cfRule>
  </conditionalFormatting>
  <conditionalFormatting sqref="B33:Z33">
    <cfRule type="expression" dxfId="13782" priority="31">
      <formula>B$9&gt;=20/24</formula>
    </cfRule>
    <cfRule type="expression" dxfId="13781" priority="32">
      <formula>AND(B$9&gt;=14/24,B$9&lt;20/24)</formula>
    </cfRule>
    <cfRule type="expression" dxfId="13780" priority="33">
      <formula>AND(B$9&gt;=8/24,B$9&lt;14/24)</formula>
    </cfRule>
    <cfRule type="expression" dxfId="13779" priority="34">
      <formula>B$9&lt;8/24</formula>
    </cfRule>
  </conditionalFormatting>
  <conditionalFormatting sqref="B33:Z33">
    <cfRule type="expression" dxfId="13778" priority="30">
      <formula>B33&gt;$AG33</formula>
    </cfRule>
  </conditionalFormatting>
  <conditionalFormatting sqref="A44">
    <cfRule type="expression" dxfId="13777" priority="28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13776" priority="27">
      <formula>AA44&gt;$AG44</formula>
    </cfRule>
  </conditionalFormatting>
  <conditionalFormatting sqref="AA44:AF44">
    <cfRule type="expression" dxfId="13775" priority="23">
      <formula>AA$9&gt;=20/24</formula>
    </cfRule>
    <cfRule type="expression" dxfId="13774" priority="24">
      <formula>AND(AA$9&gt;=14/24,AA$9&lt;20/24)</formula>
    </cfRule>
    <cfRule type="expression" dxfId="13773" priority="25">
      <formula>AND(AA$9&gt;=8/24,AA$9&lt;14/24)</formula>
    </cfRule>
    <cfRule type="expression" dxfId="13772" priority="26">
      <formula>AA$9&lt;8/24</formula>
    </cfRule>
  </conditionalFormatting>
  <conditionalFormatting sqref="B44:Z44">
    <cfRule type="expression" dxfId="13771" priority="19">
      <formula>B$9&gt;=20/24</formula>
    </cfRule>
    <cfRule type="expression" dxfId="13770" priority="20">
      <formula>AND(B$9&gt;=14/24,B$9&lt;20/24)</formula>
    </cfRule>
    <cfRule type="expression" dxfId="13769" priority="21">
      <formula>AND(B$9&gt;=8/24,B$9&lt;14/24)</formula>
    </cfRule>
    <cfRule type="expression" dxfId="13768" priority="22">
      <formula>B$9&lt;8/24</formula>
    </cfRule>
  </conditionalFormatting>
  <conditionalFormatting sqref="B44:Z44">
    <cfRule type="expression" dxfId="13767" priority="18">
      <formula>B44&gt;$AG44</formula>
    </cfRule>
  </conditionalFormatting>
  <conditionalFormatting sqref="B117">
    <cfRule type="expression" dxfId="13766" priority="6">
      <formula>B$9&gt;=20/24</formula>
    </cfRule>
    <cfRule type="expression" dxfId="13765" priority="7">
      <formula>AND(B$9&gt;=14/24,B$9&lt;20/24)</formula>
    </cfRule>
    <cfRule type="expression" dxfId="13764" priority="8">
      <formula>AND(B$9&gt;=8/24,B$9&lt;14/24)</formula>
    </cfRule>
    <cfRule type="expression" dxfId="13763" priority="9">
      <formula>B$9&lt;8/24</formula>
    </cfRule>
  </conditionalFormatting>
  <conditionalFormatting sqref="D117:AF117">
    <cfRule type="expression" dxfId="13762" priority="14">
      <formula>D$9&gt;=20/24</formula>
    </cfRule>
    <cfRule type="expression" dxfId="13761" priority="15">
      <formula>AND(D$9&gt;=14/24,D$9&lt;20/24)</formula>
    </cfRule>
    <cfRule type="expression" dxfId="13760" priority="16">
      <formula>AND(D$9&gt;=8/24,D$9&lt;14/24)</formula>
    </cfRule>
    <cfRule type="expression" dxfId="13759" priority="17">
      <formula>D$9&lt;8/24</formula>
    </cfRule>
  </conditionalFormatting>
  <conditionalFormatting sqref="C117">
    <cfRule type="expression" dxfId="13758" priority="10">
      <formula>C$9&gt;=20/24</formula>
    </cfRule>
    <cfRule type="expression" dxfId="13757" priority="11">
      <formula>AND(C$9&gt;=14/24,C$9&lt;20/24)</formula>
    </cfRule>
    <cfRule type="expression" dxfId="13756" priority="12">
      <formula>AND(C$9&gt;=8/24,C$9&lt;14/24)</formula>
    </cfRule>
    <cfRule type="expression" dxfId="13755" priority="13">
      <formula>C$9&lt;8/24</formula>
    </cfRule>
  </conditionalFormatting>
  <conditionalFormatting sqref="R11:S11">
    <cfRule type="expression" dxfId="13754" priority="2">
      <formula>R$9&gt;=20/24</formula>
    </cfRule>
    <cfRule type="expression" dxfId="13753" priority="3">
      <formula>AND(R$9&gt;=14/24,R$9&lt;20/24)</formula>
    </cfRule>
    <cfRule type="expression" dxfId="13752" priority="4">
      <formula>AND(R$9&gt;=8/24,R$9&lt;14/24)</formula>
    </cfRule>
    <cfRule type="expression" dxfId="13751" priority="5">
      <formula>R$9&lt;8/24</formula>
    </cfRule>
  </conditionalFormatting>
  <conditionalFormatting sqref="R11:S11">
    <cfRule type="expression" dxfId="13750" priority="1">
      <formula>R11&gt;$AG11</formula>
    </cfRule>
  </conditionalFormatting>
  <pageMargins left="0.7" right="0.7" top="0.75" bottom="0.75" header="0.3" footer="0.3"/>
  <pageSetup scale="28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6" id="{8FECC297-8B76-4D7A-9400-225E405CD74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7" id="{5011F300-F1E5-481C-94AA-76D4A921299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8" id="{C1AAFE38-72CE-4A25-8E25-657C7076F25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9" id="{CD912D71-7099-45E6-BA19-0C17E386897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74" id="{61780CEE-C8D9-424E-832A-00CC38F8ED8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5" id="{C2050C95-D9BC-4AEC-9783-1CD035370B5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6" id="{EEEE2475-6048-4ADC-A208-AA4D339E34C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7" id="{6BBF7AA3-3436-41EE-AE08-13DE24EC6B9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0"/>
  <dimension ref="A1:CJ278"/>
  <sheetViews>
    <sheetView tabSelected="1" zoomScale="110" zoomScaleNormal="110" workbookViewId="0">
      <pane xSplit="1" topLeftCell="B1" activePane="topRight" state="frozen"/>
      <selection pane="topRight" activeCell="L72" sqref="L7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8.85546875" style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7.2851562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434.9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2080/02/1</v>
      </c>
      <c r="C4" s="191"/>
      <c r="D4" s="191"/>
      <c r="E4" s="192" t="str">
        <f ca="1">"2079/"&amp;"12/"&amp;INT(MID(CELL("filename",G6),FIND("]",CELL("filename",G6))+1,200))</f>
        <v>2079/12/1</v>
      </c>
      <c r="F4" s="192"/>
      <c r="G4" s="192"/>
      <c r="H4" s="192" t="str">
        <f ca="1">TEXT(E4,"dddd")</f>
        <v>Friday</v>
      </c>
      <c r="I4" s="192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138</v>
      </c>
      <c r="C5" s="30">
        <f t="shared" si="0"/>
        <v>136</v>
      </c>
      <c r="D5" s="30">
        <f t="shared" si="0"/>
        <v>137.19999999999999</v>
      </c>
      <c r="E5" s="30">
        <f t="shared" si="0"/>
        <v>137.19999999999999</v>
      </c>
      <c r="F5" s="30">
        <f t="shared" si="0"/>
        <v>118</v>
      </c>
      <c r="G5" s="30">
        <f t="shared" si="0"/>
        <v>142.6</v>
      </c>
      <c r="H5" s="30">
        <f t="shared" si="0"/>
        <v>154.69999999999999</v>
      </c>
      <c r="I5" s="30">
        <f t="shared" si="0"/>
        <v>279.7</v>
      </c>
      <c r="J5" s="30">
        <f t="shared" si="0"/>
        <v>334.7</v>
      </c>
      <c r="K5" s="30">
        <f t="shared" si="0"/>
        <v>354</v>
      </c>
      <c r="L5" s="30">
        <f t="shared" si="0"/>
        <v>348.5</v>
      </c>
      <c r="M5" s="30">
        <f t="shared" si="0"/>
        <v>391.8</v>
      </c>
      <c r="N5" s="30">
        <f t="shared" si="0"/>
        <v>409.9</v>
      </c>
      <c r="O5" s="30">
        <f t="shared" si="0"/>
        <v>0</v>
      </c>
      <c r="P5" s="30">
        <f t="shared" si="0"/>
        <v>390</v>
      </c>
      <c r="Q5" s="30">
        <f t="shared" si="0"/>
        <v>397.9</v>
      </c>
      <c r="R5" s="30">
        <f t="shared" si="0"/>
        <v>463.2</v>
      </c>
      <c r="S5" s="30">
        <f t="shared" si="0"/>
        <v>512.9</v>
      </c>
      <c r="T5" s="30">
        <f t="shared" si="0"/>
        <v>495.09999999999997</v>
      </c>
      <c r="U5" s="30">
        <f t="shared" si="0"/>
        <v>478</v>
      </c>
      <c r="V5" s="30">
        <f t="shared" si="0"/>
        <v>488.1</v>
      </c>
      <c r="W5" s="30">
        <f t="shared" si="0"/>
        <v>480.70000000000005</v>
      </c>
      <c r="X5" s="30">
        <f t="shared" si="0"/>
        <v>461.3</v>
      </c>
      <c r="Y5" s="30">
        <f t="shared" si="0"/>
        <v>479.1</v>
      </c>
      <c r="Z5" s="30">
        <f t="shared" si="0"/>
        <v>510.7</v>
      </c>
      <c r="AA5" s="30">
        <f t="shared" si="0"/>
        <v>522.79999999999995</v>
      </c>
      <c r="AB5" s="30">
        <f t="shared" si="0"/>
        <v>504.9</v>
      </c>
      <c r="AC5" s="30">
        <f t="shared" si="0"/>
        <v>508.7</v>
      </c>
      <c r="AD5" s="30">
        <f t="shared" si="0"/>
        <v>481.3</v>
      </c>
      <c r="AE5" s="30">
        <f t="shared" si="0"/>
        <v>430</v>
      </c>
      <c r="AF5" s="30">
        <f>B82</f>
        <v>181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1241MW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1030.81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B89</f>
        <v>944.24</v>
      </c>
      <c r="C7" s="35">
        <f t="shared" si="1"/>
        <v>906.14</v>
      </c>
      <c r="D7" s="35">
        <f t="shared" si="1"/>
        <v>888.14</v>
      </c>
      <c r="E7" s="35">
        <f t="shared" si="1"/>
        <v>944.24</v>
      </c>
      <c r="F7" s="35">
        <f t="shared" si="1"/>
        <v>944.24</v>
      </c>
      <c r="G7" s="35">
        <f t="shared" si="1"/>
        <v>942.83999999999992</v>
      </c>
      <c r="H7" s="35">
        <f t="shared" si="1"/>
        <v>1013.64</v>
      </c>
      <c r="I7" s="35">
        <f t="shared" si="1"/>
        <v>1025.74</v>
      </c>
      <c r="J7" s="35">
        <f t="shared" si="1"/>
        <v>1084.3399999999999</v>
      </c>
      <c r="K7" s="35">
        <f t="shared" si="1"/>
        <v>1139.3399999999999</v>
      </c>
      <c r="L7" s="35">
        <f t="shared" si="1"/>
        <v>1158.6399999999999</v>
      </c>
      <c r="M7" s="35">
        <f t="shared" si="1"/>
        <v>1157.04</v>
      </c>
      <c r="N7" s="35">
        <f>N89</f>
        <v>1241.3399999999999</v>
      </c>
      <c r="O7" s="35">
        <f t="shared" si="1"/>
        <v>1293.6399999999999</v>
      </c>
      <c r="P7" s="35">
        <f t="shared" si="1"/>
        <v>3.54</v>
      </c>
      <c r="Q7" s="35">
        <f t="shared" si="1"/>
        <v>1408.2400000000002</v>
      </c>
      <c r="R7" s="35">
        <f t="shared" si="1"/>
        <v>1413.3400000000001</v>
      </c>
      <c r="S7" s="35">
        <f t="shared" si="1"/>
        <v>1458.04</v>
      </c>
      <c r="T7" s="35">
        <f t="shared" si="1"/>
        <v>1494.3400000000001</v>
      </c>
      <c r="U7" s="35">
        <f t="shared" si="1"/>
        <v>1467.04</v>
      </c>
      <c r="V7" s="35">
        <f t="shared" si="1"/>
        <v>1433.54</v>
      </c>
      <c r="W7" s="35">
        <f t="shared" si="1"/>
        <v>1431.94</v>
      </c>
      <c r="X7" s="35">
        <f t="shared" si="1"/>
        <v>1501.7400000000002</v>
      </c>
      <c r="Y7" s="35">
        <f t="shared" si="1"/>
        <v>1488.8400000000001</v>
      </c>
      <c r="Z7" s="35">
        <f t="shared" si="1"/>
        <v>1535.2400000000002</v>
      </c>
      <c r="AA7" s="35">
        <f t="shared" si="1"/>
        <v>1575.8400000000001</v>
      </c>
      <c r="AB7" s="35">
        <f t="shared" si="1"/>
        <v>1568.94</v>
      </c>
      <c r="AC7" s="35">
        <f t="shared" si="1"/>
        <v>1512.44</v>
      </c>
      <c r="AD7" s="35">
        <f t="shared" si="1"/>
        <v>1427.0400000000002</v>
      </c>
      <c r="AE7" s="35">
        <f t="shared" si="1"/>
        <v>1465.54</v>
      </c>
      <c r="AF7" s="35">
        <f t="shared" si="1"/>
        <v>1337.94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22</v>
      </c>
      <c r="C11" s="45">
        <v>22</v>
      </c>
      <c r="D11" s="45">
        <v>22</v>
      </c>
      <c r="E11" s="45">
        <v>22</v>
      </c>
      <c r="F11" s="45">
        <v>22</v>
      </c>
      <c r="G11" s="45">
        <v>22</v>
      </c>
      <c r="H11" s="45">
        <v>22</v>
      </c>
      <c r="I11" s="45">
        <v>22</v>
      </c>
      <c r="J11" s="45">
        <v>22</v>
      </c>
      <c r="K11" s="45">
        <v>22</v>
      </c>
      <c r="L11" s="45">
        <v>22</v>
      </c>
      <c r="M11" s="45">
        <v>22</v>
      </c>
      <c r="N11" s="45">
        <v>40</v>
      </c>
      <c r="O11" s="45">
        <v>37</v>
      </c>
      <c r="P11" s="45" t="s">
        <v>309</v>
      </c>
      <c r="Q11" s="45">
        <v>37</v>
      </c>
      <c r="R11" s="45">
        <v>37</v>
      </c>
      <c r="S11" s="45">
        <v>37</v>
      </c>
      <c r="T11" s="45">
        <v>37</v>
      </c>
      <c r="U11" s="45">
        <v>37</v>
      </c>
      <c r="V11" s="45">
        <v>37</v>
      </c>
      <c r="W11" s="45">
        <v>37</v>
      </c>
      <c r="X11" s="45">
        <v>37</v>
      </c>
      <c r="Y11" s="45">
        <v>37</v>
      </c>
      <c r="Z11" s="45">
        <v>37</v>
      </c>
      <c r="AA11" s="45">
        <v>37</v>
      </c>
      <c r="AB11" s="45">
        <v>25</v>
      </c>
      <c r="AC11" s="45">
        <v>25</v>
      </c>
      <c r="AD11" s="45">
        <v>30.7</v>
      </c>
      <c r="AE11" s="45">
        <v>22.7</v>
      </c>
      <c r="AF11" s="45">
        <v>26.8</v>
      </c>
      <c r="AG11" s="45">
        <v>37</v>
      </c>
      <c r="AH11" s="47">
        <f t="shared" ref="AH11:AH74" si="2">MAX(B11:AF11)</f>
        <v>40</v>
      </c>
      <c r="AI11" s="48">
        <f t="shared" ref="AI11:AI74" si="3">MIN(B11:AF11)</f>
        <v>22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14.5</v>
      </c>
      <c r="C12" s="45">
        <v>14.5</v>
      </c>
      <c r="D12" s="45">
        <v>14.5</v>
      </c>
      <c r="E12" s="45">
        <v>14.5</v>
      </c>
      <c r="F12" s="45">
        <v>14.5</v>
      </c>
      <c r="G12" s="45">
        <v>14.5</v>
      </c>
      <c r="H12" s="45">
        <v>14.5</v>
      </c>
      <c r="I12" s="45">
        <v>14.5</v>
      </c>
      <c r="J12" s="45">
        <v>14.5</v>
      </c>
      <c r="K12" s="45">
        <v>14.5</v>
      </c>
      <c r="L12" s="45">
        <v>14.5</v>
      </c>
      <c r="M12" s="45">
        <v>14.5</v>
      </c>
      <c r="N12" s="45">
        <v>19.600000000000001</v>
      </c>
      <c r="O12" s="45">
        <v>19.600000000000001</v>
      </c>
      <c r="P12" s="45"/>
      <c r="Q12" s="45">
        <v>16.600000000000001</v>
      </c>
      <c r="R12" s="45">
        <v>16.600000000000001</v>
      </c>
      <c r="S12" s="45">
        <v>16.600000000000001</v>
      </c>
      <c r="T12" s="45">
        <v>16.600000000000001</v>
      </c>
      <c r="U12" s="45">
        <v>16.600000000000001</v>
      </c>
      <c r="V12" s="45">
        <v>16.600000000000001</v>
      </c>
      <c r="W12" s="45">
        <v>16.600000000000001</v>
      </c>
      <c r="X12" s="45">
        <v>16.600000000000001</v>
      </c>
      <c r="Y12" s="45">
        <v>16.600000000000001</v>
      </c>
      <c r="Z12" s="45">
        <v>16.600000000000001</v>
      </c>
      <c r="AA12" s="45">
        <v>16.600000000000001</v>
      </c>
      <c r="AB12" s="45">
        <v>16.600000000000001</v>
      </c>
      <c r="AC12" s="45">
        <v>16.600000000000001</v>
      </c>
      <c r="AD12" s="45">
        <v>16.600000000000001</v>
      </c>
      <c r="AE12" s="45">
        <v>16.600000000000001</v>
      </c>
      <c r="AF12" s="45">
        <v>15.6</v>
      </c>
      <c r="AG12" s="45">
        <v>16.600000000000001</v>
      </c>
      <c r="AH12" s="47">
        <f t="shared" si="2"/>
        <v>19.600000000000001</v>
      </c>
      <c r="AI12" s="48">
        <f t="shared" si="3"/>
        <v>14.5</v>
      </c>
      <c r="AJ12" s="1">
        <f>160/5</f>
        <v>32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50.4</v>
      </c>
      <c r="C13" s="45">
        <v>50.4</v>
      </c>
      <c r="D13" s="45">
        <v>50.4</v>
      </c>
      <c r="E13" s="45">
        <v>50.4</v>
      </c>
      <c r="F13" s="45">
        <v>50.4</v>
      </c>
      <c r="G13" s="45">
        <v>50.4</v>
      </c>
      <c r="H13" s="45">
        <v>50.4</v>
      </c>
      <c r="I13" s="45">
        <v>50.4</v>
      </c>
      <c r="J13" s="45">
        <v>50.4</v>
      </c>
      <c r="K13" s="45">
        <v>50.4</v>
      </c>
      <c r="L13" s="45">
        <v>50.4</v>
      </c>
      <c r="M13" s="45">
        <v>50.4</v>
      </c>
      <c r="N13" s="45">
        <v>50.3</v>
      </c>
      <c r="O13" s="45">
        <v>50.3</v>
      </c>
      <c r="P13" s="45"/>
      <c r="Q13" s="45">
        <v>50</v>
      </c>
      <c r="R13" s="45">
        <v>50</v>
      </c>
      <c r="S13" s="45">
        <v>50</v>
      </c>
      <c r="T13" s="45">
        <v>50</v>
      </c>
      <c r="U13" s="45">
        <v>50</v>
      </c>
      <c r="V13" s="45">
        <v>50</v>
      </c>
      <c r="W13" s="45">
        <v>50</v>
      </c>
      <c r="X13" s="45">
        <v>50</v>
      </c>
      <c r="Y13" s="45">
        <v>47.3</v>
      </c>
      <c r="Z13" s="45">
        <v>47.3</v>
      </c>
      <c r="AA13" s="45">
        <v>47.3</v>
      </c>
      <c r="AB13" s="45">
        <v>47.3</v>
      </c>
      <c r="AC13" s="45">
        <v>47.3</v>
      </c>
      <c r="AD13" s="45">
        <v>47.3</v>
      </c>
      <c r="AE13" s="45">
        <v>47.3</v>
      </c>
      <c r="AF13" s="45">
        <v>45.5</v>
      </c>
      <c r="AG13" s="45">
        <v>47.3</v>
      </c>
      <c r="AH13" s="47">
        <f t="shared" si="2"/>
        <v>50.4</v>
      </c>
      <c r="AI13" s="48">
        <f t="shared" si="3"/>
        <v>45.5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24</v>
      </c>
      <c r="C14" s="45">
        <v>24</v>
      </c>
      <c r="D14" s="45">
        <v>24</v>
      </c>
      <c r="E14" s="45">
        <v>24</v>
      </c>
      <c r="F14" s="45">
        <v>24</v>
      </c>
      <c r="G14" s="45">
        <v>24</v>
      </c>
      <c r="H14" s="45">
        <v>24</v>
      </c>
      <c r="I14" s="45">
        <v>24</v>
      </c>
      <c r="J14" s="45">
        <v>24</v>
      </c>
      <c r="K14" s="45">
        <v>24</v>
      </c>
      <c r="L14" s="45">
        <v>24</v>
      </c>
      <c r="M14" s="45">
        <v>24</v>
      </c>
      <c r="N14" s="45">
        <v>22.2</v>
      </c>
      <c r="O14" s="45">
        <v>22.2</v>
      </c>
      <c r="P14" s="45" t="s">
        <v>310</v>
      </c>
      <c r="Q14" s="45">
        <v>21.3</v>
      </c>
      <c r="R14" s="45">
        <v>21.3</v>
      </c>
      <c r="S14" s="45">
        <v>21.3</v>
      </c>
      <c r="T14" s="45">
        <v>21.3</v>
      </c>
      <c r="U14" s="45">
        <v>21.3</v>
      </c>
      <c r="V14" s="45">
        <v>21.3</v>
      </c>
      <c r="W14" s="45">
        <v>21.3</v>
      </c>
      <c r="X14" s="45">
        <v>21.3</v>
      </c>
      <c r="Y14" s="45">
        <v>21.3</v>
      </c>
      <c r="Z14" s="45">
        <v>21.3</v>
      </c>
      <c r="AA14" s="45">
        <v>21.3</v>
      </c>
      <c r="AB14" s="45">
        <v>21.3</v>
      </c>
      <c r="AC14" s="45">
        <v>21.3</v>
      </c>
      <c r="AD14" s="45">
        <v>21.3</v>
      </c>
      <c r="AE14" s="45">
        <v>21.3</v>
      </c>
      <c r="AF14" s="45">
        <v>24.7</v>
      </c>
      <c r="AG14" s="45">
        <v>21.3</v>
      </c>
      <c r="AH14" s="47">
        <f t="shared" si="2"/>
        <v>24.7</v>
      </c>
      <c r="AI14" s="48">
        <f t="shared" si="3"/>
        <v>21.3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14</v>
      </c>
      <c r="O15" s="45">
        <v>14</v>
      </c>
      <c r="P15" s="45"/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21</v>
      </c>
      <c r="AG15" s="45">
        <v>13</v>
      </c>
      <c r="AH15" s="47">
        <f t="shared" si="2"/>
        <v>21</v>
      </c>
      <c r="AI15" s="48">
        <f t="shared" si="3"/>
        <v>0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16</v>
      </c>
      <c r="C16" s="45">
        <v>16</v>
      </c>
      <c r="D16" s="45">
        <v>16</v>
      </c>
      <c r="E16" s="45">
        <v>16</v>
      </c>
      <c r="F16" s="45">
        <v>16</v>
      </c>
      <c r="G16" s="45">
        <v>16</v>
      </c>
      <c r="H16" s="45">
        <v>16</v>
      </c>
      <c r="I16" s="45">
        <v>16</v>
      </c>
      <c r="J16" s="45">
        <v>16</v>
      </c>
      <c r="K16" s="45">
        <v>16</v>
      </c>
      <c r="L16" s="45">
        <v>16</v>
      </c>
      <c r="M16" s="45">
        <v>20</v>
      </c>
      <c r="N16" s="45">
        <v>20</v>
      </c>
      <c r="O16" s="45">
        <v>20</v>
      </c>
      <c r="P16" s="45"/>
      <c r="Q16" s="45">
        <v>20</v>
      </c>
      <c r="R16" s="45">
        <v>20</v>
      </c>
      <c r="S16" s="45">
        <v>20</v>
      </c>
      <c r="T16" s="45">
        <v>20</v>
      </c>
      <c r="U16" s="45">
        <v>20</v>
      </c>
      <c r="V16" s="45">
        <v>20</v>
      </c>
      <c r="W16" s="45">
        <v>20</v>
      </c>
      <c r="X16" s="45">
        <v>20</v>
      </c>
      <c r="Y16" s="45">
        <v>20</v>
      </c>
      <c r="Z16" s="45">
        <v>20</v>
      </c>
      <c r="AA16" s="45">
        <v>20</v>
      </c>
      <c r="AB16" s="45">
        <v>20</v>
      </c>
      <c r="AC16" s="45">
        <v>20</v>
      </c>
      <c r="AD16" s="45">
        <v>20</v>
      </c>
      <c r="AE16" s="45">
        <v>20</v>
      </c>
      <c r="AF16" s="45">
        <v>20</v>
      </c>
      <c r="AG16" s="45">
        <v>20</v>
      </c>
      <c r="AH16" s="47">
        <f t="shared" si="2"/>
        <v>20</v>
      </c>
      <c r="AI16" s="48">
        <f t="shared" si="3"/>
        <v>16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10</v>
      </c>
      <c r="C17" s="45">
        <v>10</v>
      </c>
      <c r="D17" s="45">
        <v>10</v>
      </c>
      <c r="E17" s="45">
        <v>10</v>
      </c>
      <c r="F17" s="45">
        <v>10</v>
      </c>
      <c r="G17" s="45">
        <v>10</v>
      </c>
      <c r="H17" s="45">
        <v>10</v>
      </c>
      <c r="I17" s="45">
        <v>10</v>
      </c>
      <c r="J17" s="45">
        <v>10</v>
      </c>
      <c r="K17" s="45">
        <v>10</v>
      </c>
      <c r="L17" s="45">
        <v>10</v>
      </c>
      <c r="M17" s="45">
        <v>10</v>
      </c>
      <c r="N17" s="45">
        <v>10</v>
      </c>
      <c r="O17" s="45">
        <v>10</v>
      </c>
      <c r="P17" s="45"/>
      <c r="Q17" s="45">
        <v>10</v>
      </c>
      <c r="R17" s="45">
        <v>10</v>
      </c>
      <c r="S17" s="45">
        <v>10</v>
      </c>
      <c r="T17" s="45">
        <v>10</v>
      </c>
      <c r="U17" s="45">
        <v>10</v>
      </c>
      <c r="V17" s="45">
        <v>10</v>
      </c>
      <c r="W17" s="45">
        <v>10</v>
      </c>
      <c r="X17" s="45">
        <v>10</v>
      </c>
      <c r="Y17" s="45">
        <v>10</v>
      </c>
      <c r="Z17" s="45">
        <v>10</v>
      </c>
      <c r="AA17" s="45">
        <v>10</v>
      </c>
      <c r="AB17" s="45">
        <v>10</v>
      </c>
      <c r="AC17" s="45">
        <v>10</v>
      </c>
      <c r="AD17" s="45">
        <v>10</v>
      </c>
      <c r="AE17" s="45">
        <v>10</v>
      </c>
      <c r="AF17" s="45">
        <v>10</v>
      </c>
      <c r="AG17" s="45">
        <v>10</v>
      </c>
      <c r="AH17" s="47">
        <f t="shared" si="2"/>
        <v>10</v>
      </c>
      <c r="AI17" s="48">
        <f t="shared" si="3"/>
        <v>10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14.1</v>
      </c>
      <c r="C18" s="45">
        <v>14.1</v>
      </c>
      <c r="D18" s="45">
        <v>14.1</v>
      </c>
      <c r="E18" s="45">
        <v>14.1</v>
      </c>
      <c r="F18" s="45">
        <v>14.1</v>
      </c>
      <c r="G18" s="45">
        <v>14.1</v>
      </c>
      <c r="H18" s="45">
        <v>14.1</v>
      </c>
      <c r="I18" s="45">
        <v>14.1</v>
      </c>
      <c r="J18" s="45">
        <v>14.1</v>
      </c>
      <c r="K18" s="45">
        <v>14.1</v>
      </c>
      <c r="L18" s="45">
        <v>14.1</v>
      </c>
      <c r="M18" s="45">
        <v>14.1</v>
      </c>
      <c r="N18" s="45">
        <v>14</v>
      </c>
      <c r="O18" s="45">
        <v>14</v>
      </c>
      <c r="P18" s="45"/>
      <c r="Q18" s="45">
        <v>14.9</v>
      </c>
      <c r="R18" s="45">
        <v>14.9</v>
      </c>
      <c r="S18" s="45">
        <v>14.9</v>
      </c>
      <c r="T18" s="45">
        <v>14.9</v>
      </c>
      <c r="U18" s="45">
        <v>14.9</v>
      </c>
      <c r="V18" s="45">
        <v>14.9</v>
      </c>
      <c r="W18" s="45">
        <v>14.9</v>
      </c>
      <c r="X18" s="45">
        <v>14.9</v>
      </c>
      <c r="Y18" s="45">
        <v>14.9</v>
      </c>
      <c r="Z18" s="45">
        <v>14.9</v>
      </c>
      <c r="AA18" s="45">
        <v>14.9</v>
      </c>
      <c r="AB18" s="45">
        <v>14.9</v>
      </c>
      <c r="AC18" s="45">
        <v>14.9</v>
      </c>
      <c r="AD18" s="45">
        <v>14.9</v>
      </c>
      <c r="AE18" s="45">
        <v>14.9</v>
      </c>
      <c r="AF18" s="45">
        <v>0</v>
      </c>
      <c r="AG18" s="45">
        <v>14.9</v>
      </c>
      <c r="AH18" s="47">
        <f t="shared" si="2"/>
        <v>14.9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7.2</v>
      </c>
      <c r="C19" s="45">
        <v>7.2</v>
      </c>
      <c r="D19" s="45">
        <v>7.2</v>
      </c>
      <c r="E19" s="45">
        <v>7.2</v>
      </c>
      <c r="F19" s="45">
        <v>7.2</v>
      </c>
      <c r="G19" s="45">
        <v>7.2</v>
      </c>
      <c r="H19" s="45">
        <v>7.2</v>
      </c>
      <c r="I19" s="45">
        <v>7.2</v>
      </c>
      <c r="J19" s="45">
        <v>7.2</v>
      </c>
      <c r="K19" s="45">
        <v>7.2</v>
      </c>
      <c r="L19" s="45">
        <v>7.2</v>
      </c>
      <c r="M19" s="45">
        <v>7.2</v>
      </c>
      <c r="N19" s="45">
        <v>7.2</v>
      </c>
      <c r="O19" s="45">
        <v>7.2</v>
      </c>
      <c r="P19" s="45"/>
      <c r="Q19" s="45">
        <v>6.3</v>
      </c>
      <c r="R19" s="45">
        <v>6.3</v>
      </c>
      <c r="S19" s="45">
        <v>6.3</v>
      </c>
      <c r="T19" s="45">
        <v>6.3</v>
      </c>
      <c r="U19" s="45">
        <v>6.3</v>
      </c>
      <c r="V19" s="45">
        <v>6.3</v>
      </c>
      <c r="W19" s="45">
        <v>6.3</v>
      </c>
      <c r="X19" s="45">
        <v>6.3</v>
      </c>
      <c r="Y19" s="45">
        <v>6.3</v>
      </c>
      <c r="Z19" s="45">
        <v>6.3</v>
      </c>
      <c r="AA19" s="45">
        <v>6.3</v>
      </c>
      <c r="AB19" s="45">
        <v>6.3</v>
      </c>
      <c r="AC19" s="45">
        <v>6.3</v>
      </c>
      <c r="AD19" s="45">
        <v>6.3</v>
      </c>
      <c r="AE19" s="45">
        <v>6.3</v>
      </c>
      <c r="AF19" s="45">
        <v>7.1</v>
      </c>
      <c r="AG19" s="45">
        <v>6.3</v>
      </c>
      <c r="AH19" s="47">
        <f t="shared" si="2"/>
        <v>7.2</v>
      </c>
      <c r="AI19" s="48">
        <f t="shared" si="3"/>
        <v>6.3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</v>
      </c>
      <c r="C20" s="45">
        <v>9</v>
      </c>
      <c r="D20" s="45">
        <v>9</v>
      </c>
      <c r="E20" s="45">
        <v>9</v>
      </c>
      <c r="F20" s="45">
        <v>9</v>
      </c>
      <c r="G20" s="45">
        <v>9</v>
      </c>
      <c r="H20" s="45">
        <v>9</v>
      </c>
      <c r="I20" s="45">
        <v>9</v>
      </c>
      <c r="J20" s="45">
        <v>9</v>
      </c>
      <c r="K20" s="45">
        <v>9</v>
      </c>
      <c r="L20" s="45">
        <v>9</v>
      </c>
      <c r="M20" s="45">
        <v>9</v>
      </c>
      <c r="N20" s="45">
        <v>9</v>
      </c>
      <c r="O20" s="45">
        <v>9</v>
      </c>
      <c r="P20" s="45"/>
      <c r="Q20" s="45">
        <v>9</v>
      </c>
      <c r="R20" s="45">
        <v>9</v>
      </c>
      <c r="S20" s="45">
        <v>9</v>
      </c>
      <c r="T20" s="45">
        <v>9</v>
      </c>
      <c r="U20" s="45">
        <v>9</v>
      </c>
      <c r="V20" s="45">
        <v>9</v>
      </c>
      <c r="W20" s="45">
        <v>9</v>
      </c>
      <c r="X20" s="45">
        <v>9</v>
      </c>
      <c r="Y20" s="45">
        <v>9</v>
      </c>
      <c r="Z20" s="45">
        <v>9</v>
      </c>
      <c r="AA20" s="45">
        <v>9</v>
      </c>
      <c r="AB20" s="45">
        <v>9</v>
      </c>
      <c r="AC20" s="45">
        <v>9</v>
      </c>
      <c r="AD20" s="45">
        <v>9</v>
      </c>
      <c r="AE20" s="45">
        <v>9</v>
      </c>
      <c r="AF20" s="45">
        <v>9</v>
      </c>
      <c r="AG20" s="45">
        <v>9</v>
      </c>
      <c r="AH20" s="47">
        <f t="shared" si="2"/>
        <v>9</v>
      </c>
      <c r="AI20" s="48">
        <f t="shared" si="3"/>
        <v>9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8</v>
      </c>
      <c r="C21" s="45">
        <v>8</v>
      </c>
      <c r="D21" s="45">
        <v>8</v>
      </c>
      <c r="E21" s="45">
        <v>8</v>
      </c>
      <c r="F21" s="45">
        <v>8</v>
      </c>
      <c r="G21" s="45">
        <v>8</v>
      </c>
      <c r="H21" s="45">
        <v>8</v>
      </c>
      <c r="I21" s="45">
        <v>8</v>
      </c>
      <c r="J21" s="45">
        <v>8</v>
      </c>
      <c r="K21" s="45">
        <v>8</v>
      </c>
      <c r="L21" s="45">
        <v>8</v>
      </c>
      <c r="M21" s="45">
        <v>8</v>
      </c>
      <c r="N21" s="45">
        <v>8</v>
      </c>
      <c r="O21" s="45">
        <v>8</v>
      </c>
      <c r="P21" s="45"/>
      <c r="Q21" s="45">
        <v>8</v>
      </c>
      <c r="R21" s="45">
        <v>8</v>
      </c>
      <c r="S21" s="45">
        <v>8</v>
      </c>
      <c r="T21" s="45">
        <v>8</v>
      </c>
      <c r="U21" s="45">
        <v>8</v>
      </c>
      <c r="V21" s="45">
        <v>8</v>
      </c>
      <c r="W21" s="45">
        <v>8</v>
      </c>
      <c r="X21" s="45">
        <v>8</v>
      </c>
      <c r="Y21" s="45">
        <v>8</v>
      </c>
      <c r="Z21" s="45">
        <v>8</v>
      </c>
      <c r="AA21" s="45">
        <v>8</v>
      </c>
      <c r="AB21" s="45">
        <v>8</v>
      </c>
      <c r="AC21" s="45">
        <v>8</v>
      </c>
      <c r="AD21" s="45">
        <v>8</v>
      </c>
      <c r="AE21" s="45">
        <v>8</v>
      </c>
      <c r="AF21" s="45">
        <v>0</v>
      </c>
      <c r="AG21" s="45">
        <v>8</v>
      </c>
      <c r="AH21" s="47">
        <f t="shared" si="2"/>
        <v>8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10.199999999999999</v>
      </c>
      <c r="C22" s="45">
        <v>10.199999999999999</v>
      </c>
      <c r="D22" s="45">
        <v>10.199999999999999</v>
      </c>
      <c r="E22" s="45">
        <v>10.199999999999999</v>
      </c>
      <c r="F22" s="45">
        <v>10.199999999999999</v>
      </c>
      <c r="G22" s="45">
        <v>10.199999999999999</v>
      </c>
      <c r="H22" s="45">
        <v>10.199999999999999</v>
      </c>
      <c r="I22" s="45">
        <v>10.199999999999999</v>
      </c>
      <c r="J22" s="45">
        <v>10.199999999999999</v>
      </c>
      <c r="K22" s="45">
        <v>10.199999999999999</v>
      </c>
      <c r="L22" s="45">
        <v>10.199999999999999</v>
      </c>
      <c r="M22" s="45">
        <v>10.199999999999999</v>
      </c>
      <c r="N22" s="45">
        <v>10.199999999999999</v>
      </c>
      <c r="O22" s="45">
        <v>10.199999999999999</v>
      </c>
      <c r="P22" s="45"/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13.1</v>
      </c>
      <c r="Z22" s="45">
        <v>13.1</v>
      </c>
      <c r="AA22" s="45">
        <v>13.1</v>
      </c>
      <c r="AB22" s="45">
        <v>13.1</v>
      </c>
      <c r="AC22" s="45">
        <v>13.1</v>
      </c>
      <c r="AD22" s="45">
        <v>13.1</v>
      </c>
      <c r="AE22" s="45">
        <v>13.1</v>
      </c>
      <c r="AF22" s="45">
        <v>13.1</v>
      </c>
      <c r="AG22" s="45">
        <v>13.1</v>
      </c>
      <c r="AH22" s="47">
        <f t="shared" si="2"/>
        <v>13.1</v>
      </c>
      <c r="AI22" s="48">
        <f t="shared" si="3"/>
        <v>0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8.5</v>
      </c>
      <c r="C23" s="45">
        <v>8.5</v>
      </c>
      <c r="D23" s="45">
        <v>8.5</v>
      </c>
      <c r="E23" s="45">
        <v>8.5</v>
      </c>
      <c r="F23" s="45">
        <v>8.5</v>
      </c>
      <c r="G23" s="45">
        <v>8.5</v>
      </c>
      <c r="H23" s="45">
        <v>8.5</v>
      </c>
      <c r="I23" s="45">
        <v>8.5</v>
      </c>
      <c r="J23" s="45">
        <v>8.5</v>
      </c>
      <c r="K23" s="45">
        <v>8.5</v>
      </c>
      <c r="L23" s="45">
        <v>8.5</v>
      </c>
      <c r="M23" s="45">
        <v>8.5</v>
      </c>
      <c r="N23" s="45">
        <v>8.5</v>
      </c>
      <c r="O23" s="45">
        <v>8.5</v>
      </c>
      <c r="P23" s="45"/>
      <c r="Q23" s="45">
        <v>8.5</v>
      </c>
      <c r="R23" s="45">
        <v>8.5</v>
      </c>
      <c r="S23" s="45">
        <v>8.5</v>
      </c>
      <c r="T23" s="45">
        <v>8.5</v>
      </c>
      <c r="U23" s="45">
        <v>8.5</v>
      </c>
      <c r="V23" s="45">
        <v>8.5</v>
      </c>
      <c r="W23" s="45">
        <v>8.5</v>
      </c>
      <c r="X23" s="45">
        <v>8.5</v>
      </c>
      <c r="Y23" s="45">
        <v>8.5</v>
      </c>
      <c r="Z23" s="45">
        <v>8.5</v>
      </c>
      <c r="AA23" s="45">
        <v>8.5</v>
      </c>
      <c r="AB23" s="45">
        <v>8.5</v>
      </c>
      <c r="AC23" s="45">
        <v>8.5</v>
      </c>
      <c r="AD23" s="45">
        <v>8.5</v>
      </c>
      <c r="AE23" s="45">
        <v>8.5</v>
      </c>
      <c r="AF23" s="45">
        <v>8.5</v>
      </c>
      <c r="AG23" s="45">
        <v>8.5</v>
      </c>
      <c r="AH23" s="47">
        <f t="shared" si="2"/>
        <v>8.5</v>
      </c>
      <c r="AI23" s="48">
        <f t="shared" si="3"/>
        <v>8.5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5.5</v>
      </c>
      <c r="C24" s="45">
        <v>5.5</v>
      </c>
      <c r="D24" s="45">
        <v>5.5</v>
      </c>
      <c r="E24" s="45">
        <v>5.5</v>
      </c>
      <c r="F24" s="45">
        <v>5.5</v>
      </c>
      <c r="G24" s="45">
        <v>5.5</v>
      </c>
      <c r="H24" s="45">
        <v>5.5</v>
      </c>
      <c r="I24" s="45">
        <v>5.5</v>
      </c>
      <c r="J24" s="45">
        <v>5.5</v>
      </c>
      <c r="K24" s="45">
        <v>5.5</v>
      </c>
      <c r="L24" s="45">
        <v>5.5</v>
      </c>
      <c r="M24" s="45">
        <v>5.5</v>
      </c>
      <c r="N24" s="45">
        <v>5.5</v>
      </c>
      <c r="O24" s="45">
        <v>5.5</v>
      </c>
      <c r="P24" s="45"/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45">
        <v>6</v>
      </c>
      <c r="AH24" s="47">
        <f t="shared" si="2"/>
        <v>6</v>
      </c>
      <c r="AI24" s="48">
        <f t="shared" si="3"/>
        <v>5.5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/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0</v>
      </c>
      <c r="AG25" s="45">
        <v>7</v>
      </c>
      <c r="AH25" s="47">
        <f t="shared" si="2"/>
        <v>7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6.9</v>
      </c>
      <c r="C26" s="45">
        <v>6.9</v>
      </c>
      <c r="D26" s="45">
        <v>6.9</v>
      </c>
      <c r="E26" s="45">
        <v>6.9</v>
      </c>
      <c r="F26" s="45">
        <v>6.9</v>
      </c>
      <c r="G26" s="45">
        <v>6.9</v>
      </c>
      <c r="H26" s="45">
        <v>6.9</v>
      </c>
      <c r="I26" s="45">
        <v>6.9</v>
      </c>
      <c r="J26" s="45">
        <v>6.9</v>
      </c>
      <c r="K26" s="45">
        <v>6.9</v>
      </c>
      <c r="L26" s="45">
        <v>6.9</v>
      </c>
      <c r="M26" s="45">
        <v>6.9</v>
      </c>
      <c r="N26" s="45">
        <v>6.9</v>
      </c>
      <c r="O26" s="45">
        <v>6.9</v>
      </c>
      <c r="P26" s="45" t="s">
        <v>311</v>
      </c>
      <c r="Q26" s="45">
        <v>9</v>
      </c>
      <c r="R26" s="45">
        <v>9</v>
      </c>
      <c r="S26" s="45">
        <v>9</v>
      </c>
      <c r="T26" s="45">
        <v>9</v>
      </c>
      <c r="U26" s="45">
        <v>9</v>
      </c>
      <c r="V26" s="45">
        <v>9</v>
      </c>
      <c r="W26" s="45">
        <v>9</v>
      </c>
      <c r="X26" s="45">
        <v>9</v>
      </c>
      <c r="Y26" s="45">
        <v>9</v>
      </c>
      <c r="Z26" s="45">
        <v>9</v>
      </c>
      <c r="AA26" s="45">
        <v>9</v>
      </c>
      <c r="AB26" s="45">
        <v>9</v>
      </c>
      <c r="AC26" s="45">
        <v>9</v>
      </c>
      <c r="AD26" s="45">
        <v>9</v>
      </c>
      <c r="AE26" s="45">
        <v>9</v>
      </c>
      <c r="AF26" s="45">
        <v>5.8</v>
      </c>
      <c r="AG26" s="45">
        <v>9</v>
      </c>
      <c r="AH26" s="47">
        <f t="shared" si="2"/>
        <v>9</v>
      </c>
      <c r="AI26" s="48">
        <f t="shared" si="3"/>
        <v>5.8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/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>
        <v>3</v>
      </c>
      <c r="Y27" s="45">
        <v>3</v>
      </c>
      <c r="Z27" s="45">
        <v>3</v>
      </c>
      <c r="AA27" s="45">
        <v>3</v>
      </c>
      <c r="AB27" s="45">
        <v>3</v>
      </c>
      <c r="AC27" s="45">
        <v>3</v>
      </c>
      <c r="AD27" s="45">
        <v>3</v>
      </c>
      <c r="AE27" s="45">
        <v>3</v>
      </c>
      <c r="AF27" s="45">
        <v>3</v>
      </c>
      <c r="AG27" s="45">
        <v>3</v>
      </c>
      <c r="AH27" s="47">
        <f t="shared" si="2"/>
        <v>3</v>
      </c>
      <c r="AI27" s="48">
        <f t="shared" si="3"/>
        <v>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/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45">
        <v>3.5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/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45">
        <v>3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8.9</v>
      </c>
      <c r="C30" s="45">
        <v>8.9</v>
      </c>
      <c r="D30" s="45">
        <v>8.9</v>
      </c>
      <c r="E30" s="45">
        <v>8.9</v>
      </c>
      <c r="F30" s="45">
        <v>8.9</v>
      </c>
      <c r="G30" s="45">
        <v>8.9</v>
      </c>
      <c r="H30" s="45">
        <v>8.9</v>
      </c>
      <c r="I30" s="45">
        <v>8.9</v>
      </c>
      <c r="J30" s="45">
        <v>8.9</v>
      </c>
      <c r="K30" s="45">
        <v>8.9</v>
      </c>
      <c r="L30" s="45">
        <v>8.9</v>
      </c>
      <c r="M30" s="45">
        <v>8.9</v>
      </c>
      <c r="N30" s="45">
        <v>8.9</v>
      </c>
      <c r="O30" s="45">
        <v>8.9</v>
      </c>
      <c r="P30" s="45"/>
      <c r="Q30" s="45">
        <v>15.6</v>
      </c>
      <c r="R30" s="45">
        <v>15.6</v>
      </c>
      <c r="S30" s="45">
        <v>15.6</v>
      </c>
      <c r="T30" s="45">
        <v>15.6</v>
      </c>
      <c r="U30" s="45">
        <v>15.6</v>
      </c>
      <c r="V30" s="45">
        <v>15.6</v>
      </c>
      <c r="W30" s="45">
        <v>15.6</v>
      </c>
      <c r="X30" s="45">
        <v>15.6</v>
      </c>
      <c r="Y30" s="45">
        <v>15.6</v>
      </c>
      <c r="Z30" s="45">
        <v>15.6</v>
      </c>
      <c r="AA30" s="45">
        <v>15.6</v>
      </c>
      <c r="AB30" s="45">
        <v>15.6</v>
      </c>
      <c r="AC30" s="45">
        <v>15.6</v>
      </c>
      <c r="AD30" s="45">
        <v>15.6</v>
      </c>
      <c r="AE30" s="45">
        <v>15.6</v>
      </c>
      <c r="AF30" s="45">
        <v>14</v>
      </c>
      <c r="AG30" s="45">
        <v>15.6</v>
      </c>
      <c r="AH30" s="47">
        <f t="shared" si="2"/>
        <v>15.6</v>
      </c>
      <c r="AI30" s="48">
        <f t="shared" si="3"/>
        <v>8.9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7</v>
      </c>
      <c r="C31" s="45">
        <v>7</v>
      </c>
      <c r="D31" s="45">
        <v>7</v>
      </c>
      <c r="E31" s="45">
        <v>7</v>
      </c>
      <c r="F31" s="45">
        <v>7</v>
      </c>
      <c r="G31" s="45">
        <v>7</v>
      </c>
      <c r="H31" s="45">
        <v>7</v>
      </c>
      <c r="I31" s="45">
        <v>7</v>
      </c>
      <c r="J31" s="45">
        <v>7</v>
      </c>
      <c r="K31" s="45">
        <v>7</v>
      </c>
      <c r="L31" s="45">
        <v>7</v>
      </c>
      <c r="M31" s="45">
        <v>7</v>
      </c>
      <c r="N31" s="45">
        <v>7</v>
      </c>
      <c r="O31" s="45">
        <v>7</v>
      </c>
      <c r="P31" s="45"/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7">
        <f t="shared" si="2"/>
        <v>7</v>
      </c>
      <c r="AI31" s="48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4</v>
      </c>
      <c r="C32" s="45">
        <v>4</v>
      </c>
      <c r="D32" s="45">
        <v>4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45">
        <v>4</v>
      </c>
      <c r="L32" s="45">
        <v>4</v>
      </c>
      <c r="M32" s="45">
        <v>4</v>
      </c>
      <c r="N32" s="45">
        <v>4</v>
      </c>
      <c r="O32" s="45">
        <v>4</v>
      </c>
      <c r="P32" s="45"/>
      <c r="Q32" s="45">
        <v>4</v>
      </c>
      <c r="R32" s="45">
        <v>4</v>
      </c>
      <c r="S32" s="45">
        <v>4</v>
      </c>
      <c r="T32" s="45">
        <v>4</v>
      </c>
      <c r="U32" s="45">
        <v>4</v>
      </c>
      <c r="V32" s="45">
        <v>4</v>
      </c>
      <c r="W32" s="45">
        <v>4</v>
      </c>
      <c r="X32" s="45">
        <v>4</v>
      </c>
      <c r="Y32" s="45">
        <v>4</v>
      </c>
      <c r="Z32" s="45">
        <v>4</v>
      </c>
      <c r="AA32" s="45">
        <v>4</v>
      </c>
      <c r="AB32" s="45">
        <v>4</v>
      </c>
      <c r="AC32" s="45">
        <v>4</v>
      </c>
      <c r="AD32" s="45">
        <v>4</v>
      </c>
      <c r="AE32" s="45">
        <v>4</v>
      </c>
      <c r="AF32" s="45">
        <v>4</v>
      </c>
      <c r="AG32" s="45">
        <v>4</v>
      </c>
      <c r="AH32" s="47">
        <f t="shared" si="2"/>
        <v>4</v>
      </c>
      <c r="AI32" s="48">
        <f t="shared" si="3"/>
        <v>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/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45">
        <v>7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/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45">
        <v>6.2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2</v>
      </c>
      <c r="C35" s="45">
        <v>2</v>
      </c>
      <c r="D35" s="45">
        <v>2</v>
      </c>
      <c r="E35" s="45">
        <v>2</v>
      </c>
      <c r="F35" s="45">
        <v>2</v>
      </c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/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2</v>
      </c>
      <c r="Z35" s="45">
        <v>2</v>
      </c>
      <c r="AA35" s="45">
        <v>2</v>
      </c>
      <c r="AB35" s="45">
        <v>2</v>
      </c>
      <c r="AC35" s="45">
        <v>2</v>
      </c>
      <c r="AD35" s="45">
        <v>2</v>
      </c>
      <c r="AE35" s="45">
        <v>2</v>
      </c>
      <c r="AF35" s="45">
        <v>2</v>
      </c>
      <c r="AG35" s="45">
        <v>2</v>
      </c>
      <c r="AH35" s="47">
        <f t="shared" si="2"/>
        <v>2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2.9</v>
      </c>
      <c r="C36" s="45">
        <v>2.9</v>
      </c>
      <c r="D36" s="45">
        <v>2.9</v>
      </c>
      <c r="E36" s="45">
        <v>2.9</v>
      </c>
      <c r="F36" s="45">
        <v>2.9</v>
      </c>
      <c r="G36" s="45">
        <v>2.9</v>
      </c>
      <c r="H36" s="45">
        <v>2.9</v>
      </c>
      <c r="I36" s="45">
        <v>2.9</v>
      </c>
      <c r="J36" s="45">
        <v>2.9</v>
      </c>
      <c r="K36" s="45">
        <v>2.9</v>
      </c>
      <c r="L36" s="45">
        <v>2.9</v>
      </c>
      <c r="M36" s="45">
        <v>2.9</v>
      </c>
      <c r="N36" s="45">
        <v>2.9</v>
      </c>
      <c r="O36" s="45">
        <v>2.9</v>
      </c>
      <c r="P36" s="45"/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3</v>
      </c>
      <c r="Z36" s="45">
        <v>3</v>
      </c>
      <c r="AA36" s="45">
        <v>3</v>
      </c>
      <c r="AB36" s="45">
        <v>3</v>
      </c>
      <c r="AC36" s="45">
        <v>3</v>
      </c>
      <c r="AD36" s="45">
        <v>3</v>
      </c>
      <c r="AE36" s="45">
        <v>3</v>
      </c>
      <c r="AF36" s="45">
        <v>3</v>
      </c>
      <c r="AG36" s="45">
        <v>3</v>
      </c>
      <c r="AH36" s="47">
        <f t="shared" si="2"/>
        <v>3</v>
      </c>
      <c r="AI36" s="48">
        <f t="shared" si="3"/>
        <v>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/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0</v>
      </c>
      <c r="AG37" s="45">
        <v>4</v>
      </c>
      <c r="AH37" s="47">
        <f t="shared" si="2"/>
        <v>4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4</v>
      </c>
      <c r="C38" s="45">
        <v>4</v>
      </c>
      <c r="D38" s="45">
        <v>4</v>
      </c>
      <c r="E38" s="45">
        <v>4</v>
      </c>
      <c r="F38" s="45">
        <v>4</v>
      </c>
      <c r="G38" s="45">
        <v>4</v>
      </c>
      <c r="H38" s="45">
        <v>4</v>
      </c>
      <c r="I38" s="45">
        <v>4</v>
      </c>
      <c r="J38" s="45">
        <v>4</v>
      </c>
      <c r="K38" s="45">
        <v>4</v>
      </c>
      <c r="L38" s="45">
        <v>4</v>
      </c>
      <c r="M38" s="45">
        <v>4</v>
      </c>
      <c r="N38" s="45">
        <v>4</v>
      </c>
      <c r="O38" s="45">
        <v>4</v>
      </c>
      <c r="P38" s="45"/>
      <c r="Q38" s="45">
        <v>4</v>
      </c>
      <c r="R38" s="45">
        <v>4</v>
      </c>
      <c r="S38" s="45">
        <v>4</v>
      </c>
      <c r="T38" s="45">
        <v>4</v>
      </c>
      <c r="U38" s="45">
        <v>4</v>
      </c>
      <c r="V38" s="45">
        <v>4</v>
      </c>
      <c r="W38" s="45">
        <v>4</v>
      </c>
      <c r="X38" s="45">
        <v>4</v>
      </c>
      <c r="Y38" s="45">
        <v>4</v>
      </c>
      <c r="Z38" s="45">
        <v>4</v>
      </c>
      <c r="AA38" s="45">
        <v>4</v>
      </c>
      <c r="AB38" s="45">
        <v>4</v>
      </c>
      <c r="AC38" s="45">
        <v>4</v>
      </c>
      <c r="AD38" s="45">
        <v>4</v>
      </c>
      <c r="AE38" s="45">
        <v>4</v>
      </c>
      <c r="AF38" s="45">
        <v>4</v>
      </c>
      <c r="AG38" s="45">
        <v>4</v>
      </c>
      <c r="AH38" s="47">
        <f t="shared" si="2"/>
        <v>4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/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>
        <v>3</v>
      </c>
      <c r="AB39" s="45">
        <v>3</v>
      </c>
      <c r="AC39" s="45">
        <v>3</v>
      </c>
      <c r="AD39" s="45">
        <v>3</v>
      </c>
      <c r="AE39" s="45">
        <v>3</v>
      </c>
      <c r="AF39" s="45">
        <v>3</v>
      </c>
      <c r="AG39" s="45">
        <v>3</v>
      </c>
      <c r="AH39" s="47">
        <f t="shared" si="2"/>
        <v>3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/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45">
        <v>2</v>
      </c>
      <c r="AH40" s="47">
        <f t="shared" si="2"/>
        <v>2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/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3.6</v>
      </c>
      <c r="Z41" s="45">
        <v>3.6</v>
      </c>
      <c r="AA41" s="45">
        <v>3.6</v>
      </c>
      <c r="AB41" s="45">
        <v>3.6</v>
      </c>
      <c r="AC41" s="45">
        <v>3.6</v>
      </c>
      <c r="AD41" s="45">
        <v>3.6</v>
      </c>
      <c r="AE41" s="45">
        <v>3.6</v>
      </c>
      <c r="AF41" s="45">
        <v>3.6</v>
      </c>
      <c r="AG41" s="45">
        <v>3.6</v>
      </c>
      <c r="AH41" s="47">
        <f t="shared" si="2"/>
        <v>3.6</v>
      </c>
      <c r="AI41" s="48">
        <f t="shared" si="3"/>
        <v>0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/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45">
        <v>5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3</v>
      </c>
      <c r="C43" s="45">
        <v>3</v>
      </c>
      <c r="D43" s="45">
        <v>3</v>
      </c>
      <c r="E43" s="45">
        <v>3</v>
      </c>
      <c r="F43" s="45">
        <v>3</v>
      </c>
      <c r="G43" s="45">
        <v>3</v>
      </c>
      <c r="H43" s="45">
        <v>3</v>
      </c>
      <c r="I43" s="45">
        <v>3</v>
      </c>
      <c r="J43" s="45">
        <v>3</v>
      </c>
      <c r="K43" s="45">
        <v>3</v>
      </c>
      <c r="L43" s="45">
        <v>3</v>
      </c>
      <c r="M43" s="45">
        <v>3</v>
      </c>
      <c r="N43" s="45">
        <v>3</v>
      </c>
      <c r="O43" s="45">
        <v>3</v>
      </c>
      <c r="P43" s="45"/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3</v>
      </c>
      <c r="Z43" s="45">
        <v>3</v>
      </c>
      <c r="AA43" s="45">
        <v>3</v>
      </c>
      <c r="AB43" s="45">
        <v>3</v>
      </c>
      <c r="AC43" s="45">
        <v>3</v>
      </c>
      <c r="AD43" s="45">
        <v>3</v>
      </c>
      <c r="AE43" s="45">
        <v>3</v>
      </c>
      <c r="AF43" s="45">
        <v>3</v>
      </c>
      <c r="AG43" s="45">
        <v>3</v>
      </c>
      <c r="AH43" s="47">
        <f t="shared" si="2"/>
        <v>3</v>
      </c>
      <c r="AI43" s="48">
        <f t="shared" si="3"/>
        <v>0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/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>
        <v>3</v>
      </c>
      <c r="Y44" s="45">
        <v>3</v>
      </c>
      <c r="Z44" s="45">
        <v>3</v>
      </c>
      <c r="AA44" s="45">
        <v>3</v>
      </c>
      <c r="AB44" s="45">
        <v>3</v>
      </c>
      <c r="AC44" s="45">
        <v>3</v>
      </c>
      <c r="AD44" s="45">
        <v>3</v>
      </c>
      <c r="AE44" s="45">
        <v>3</v>
      </c>
      <c r="AF44" s="45">
        <v>3</v>
      </c>
      <c r="AG44" s="45">
        <v>3</v>
      </c>
      <c r="AH44" s="47">
        <f t="shared" si="2"/>
        <v>3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/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150</v>
      </c>
      <c r="C46" s="56">
        <v>150</v>
      </c>
      <c r="D46" s="56">
        <v>150</v>
      </c>
      <c r="E46" s="56">
        <v>150</v>
      </c>
      <c r="F46" s="56">
        <v>150</v>
      </c>
      <c r="G46" s="56">
        <v>150</v>
      </c>
      <c r="H46" s="56">
        <v>150</v>
      </c>
      <c r="I46" s="56">
        <v>150</v>
      </c>
      <c r="J46" s="56">
        <v>150</v>
      </c>
      <c r="K46" s="56">
        <v>150</v>
      </c>
      <c r="L46" s="56">
        <v>150</v>
      </c>
      <c r="M46" s="56">
        <v>150</v>
      </c>
      <c r="N46" s="56">
        <v>150</v>
      </c>
      <c r="O46" s="56">
        <v>150</v>
      </c>
      <c r="P46" s="56"/>
      <c r="Q46" s="56">
        <v>150</v>
      </c>
      <c r="R46" s="56">
        <v>150</v>
      </c>
      <c r="S46" s="56">
        <v>150</v>
      </c>
      <c r="T46" s="56">
        <v>150</v>
      </c>
      <c r="U46" s="56">
        <v>150</v>
      </c>
      <c r="V46" s="56">
        <v>150</v>
      </c>
      <c r="W46" s="56">
        <v>150</v>
      </c>
      <c r="X46" s="56">
        <v>150</v>
      </c>
      <c r="Y46" s="56">
        <v>150</v>
      </c>
      <c r="Z46" s="56">
        <v>150</v>
      </c>
      <c r="AA46" s="56">
        <v>150</v>
      </c>
      <c r="AB46" s="56">
        <v>150</v>
      </c>
      <c r="AC46" s="56">
        <v>150</v>
      </c>
      <c r="AD46" s="56">
        <v>150</v>
      </c>
      <c r="AE46" s="56">
        <v>150</v>
      </c>
      <c r="AF46" s="56">
        <v>150</v>
      </c>
      <c r="AG46" s="56">
        <v>150</v>
      </c>
      <c r="AH46" s="47">
        <f t="shared" si="2"/>
        <v>150</v>
      </c>
      <c r="AI46" s="48">
        <f t="shared" si="3"/>
        <v>150</v>
      </c>
      <c r="AK46" s="49"/>
    </row>
    <row r="47" spans="1:88" ht="15.75" thickBot="1" x14ac:dyDescent="0.3">
      <c r="A47" s="57" t="s">
        <v>55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56</v>
      </c>
      <c r="B48" s="60">
        <f>SUM(B11:B46)</f>
        <v>455.4</v>
      </c>
      <c r="C48" s="60">
        <f t="shared" ref="C48:AF48" si="4">SUM(C11:C46)</f>
        <v>455.4</v>
      </c>
      <c r="D48" s="60">
        <f t="shared" si="4"/>
        <v>455.4</v>
      </c>
      <c r="E48" s="60">
        <f t="shared" si="4"/>
        <v>455.4</v>
      </c>
      <c r="F48" s="60">
        <f t="shared" si="4"/>
        <v>455.4</v>
      </c>
      <c r="G48" s="60">
        <f t="shared" si="4"/>
        <v>455.4</v>
      </c>
      <c r="H48" s="60">
        <f>SUM(H11:H46)</f>
        <v>455.4</v>
      </c>
      <c r="I48" s="60">
        <f t="shared" si="4"/>
        <v>455.4</v>
      </c>
      <c r="J48" s="60">
        <f t="shared" si="4"/>
        <v>455.4</v>
      </c>
      <c r="K48" s="60">
        <f t="shared" si="4"/>
        <v>455.4</v>
      </c>
      <c r="L48" s="60">
        <f t="shared" si="4"/>
        <v>455.4</v>
      </c>
      <c r="M48" s="60">
        <f t="shared" si="4"/>
        <v>459.4</v>
      </c>
      <c r="N48" s="60">
        <f t="shared" si="4"/>
        <v>477.49999999999994</v>
      </c>
      <c r="O48" s="60">
        <f t="shared" si="4"/>
        <v>474.49999999999994</v>
      </c>
      <c r="P48" s="60">
        <f t="shared" si="4"/>
        <v>0</v>
      </c>
      <c r="Q48" s="60">
        <f t="shared" si="4"/>
        <v>436.9</v>
      </c>
      <c r="R48" s="60">
        <f t="shared" si="4"/>
        <v>436.9</v>
      </c>
      <c r="S48" s="60">
        <f t="shared" si="4"/>
        <v>436.9</v>
      </c>
      <c r="T48" s="60">
        <f t="shared" si="4"/>
        <v>436.9</v>
      </c>
      <c r="U48" s="60">
        <f t="shared" si="4"/>
        <v>436.9</v>
      </c>
      <c r="V48" s="60">
        <f t="shared" si="4"/>
        <v>436.9</v>
      </c>
      <c r="W48" s="60">
        <f t="shared" si="4"/>
        <v>436.9</v>
      </c>
      <c r="X48" s="60">
        <f t="shared" si="4"/>
        <v>436.9</v>
      </c>
      <c r="Y48" s="60">
        <f t="shared" si="4"/>
        <v>471.90000000000003</v>
      </c>
      <c r="Z48" s="60">
        <f t="shared" si="4"/>
        <v>471.90000000000003</v>
      </c>
      <c r="AA48" s="60">
        <f t="shared" si="4"/>
        <v>471.90000000000003</v>
      </c>
      <c r="AB48" s="60">
        <f t="shared" si="4"/>
        <v>459.90000000000003</v>
      </c>
      <c r="AC48" s="60">
        <f t="shared" si="4"/>
        <v>459.90000000000003</v>
      </c>
      <c r="AD48" s="60">
        <f t="shared" si="4"/>
        <v>465.6</v>
      </c>
      <c r="AE48" s="60">
        <f t="shared" si="4"/>
        <v>457.6</v>
      </c>
      <c r="AF48" s="60">
        <f t="shared" si="4"/>
        <v>432.40000000000003</v>
      </c>
      <c r="AG48" s="61">
        <f>SUM(AG12:AG46)</f>
        <v>434.9</v>
      </c>
      <c r="AH48" s="47">
        <f t="shared" si="2"/>
        <v>477.49999999999994</v>
      </c>
      <c r="AI48" s="48">
        <f t="shared" si="3"/>
        <v>0</v>
      </c>
      <c r="AK48" s="49"/>
    </row>
    <row r="49" spans="1:41" x14ac:dyDescent="0.25">
      <c r="A49" s="62" t="s">
        <v>57</v>
      </c>
      <c r="B49" s="45">
        <v>15</v>
      </c>
      <c r="C49" s="45">
        <v>15</v>
      </c>
      <c r="D49" s="45">
        <v>15</v>
      </c>
      <c r="E49" s="45">
        <v>35</v>
      </c>
      <c r="F49" s="45">
        <v>35</v>
      </c>
      <c r="G49" s="45">
        <v>35</v>
      </c>
      <c r="H49" s="45">
        <v>35</v>
      </c>
      <c r="I49" s="45">
        <v>35</v>
      </c>
      <c r="J49" s="45">
        <v>35</v>
      </c>
      <c r="K49" s="45">
        <v>35</v>
      </c>
      <c r="L49" s="45">
        <v>35</v>
      </c>
      <c r="M49" s="63">
        <v>50</v>
      </c>
      <c r="N49" s="63">
        <v>50</v>
      </c>
      <c r="O49" s="63">
        <v>50</v>
      </c>
      <c r="P49" s="45"/>
      <c r="Q49" s="45">
        <v>100</v>
      </c>
      <c r="R49" s="45">
        <v>100</v>
      </c>
      <c r="S49" s="45">
        <v>100</v>
      </c>
      <c r="T49" s="45">
        <v>90</v>
      </c>
      <c r="U49" s="45">
        <v>90</v>
      </c>
      <c r="V49" s="45">
        <v>90</v>
      </c>
      <c r="W49" s="45">
        <v>90</v>
      </c>
      <c r="X49" s="45">
        <v>90</v>
      </c>
      <c r="Y49" s="45">
        <v>80</v>
      </c>
      <c r="Z49" s="45">
        <v>80</v>
      </c>
      <c r="AA49" s="45">
        <v>80</v>
      </c>
      <c r="AB49" s="45">
        <v>90</v>
      </c>
      <c r="AC49" s="45">
        <v>110</v>
      </c>
      <c r="AD49" s="45">
        <v>80</v>
      </c>
      <c r="AE49" s="45">
        <v>90</v>
      </c>
      <c r="AF49" s="45">
        <v>150</v>
      </c>
      <c r="AG49" s="51">
        <v>456</v>
      </c>
      <c r="AH49" s="47">
        <f t="shared" si="2"/>
        <v>150</v>
      </c>
      <c r="AI49" s="48">
        <f t="shared" si="3"/>
        <v>15</v>
      </c>
      <c r="AK49" s="49"/>
    </row>
    <row r="50" spans="1:41" x14ac:dyDescent="0.25">
      <c r="A50" s="64" t="s">
        <v>58</v>
      </c>
      <c r="B50" s="65">
        <v>25</v>
      </c>
      <c r="C50" s="65">
        <v>25</v>
      </c>
      <c r="D50" s="65">
        <v>25</v>
      </c>
      <c r="E50" s="65">
        <v>25</v>
      </c>
      <c r="F50" s="65">
        <v>25</v>
      </c>
      <c r="G50" s="65">
        <v>25</v>
      </c>
      <c r="H50" s="65">
        <v>25</v>
      </c>
      <c r="I50" s="65">
        <v>25</v>
      </c>
      <c r="J50" s="65">
        <v>25</v>
      </c>
      <c r="K50" s="65">
        <v>25</v>
      </c>
      <c r="L50" s="65">
        <v>25</v>
      </c>
      <c r="M50" s="65">
        <v>25</v>
      </c>
      <c r="N50" s="65">
        <v>25</v>
      </c>
      <c r="O50" s="65">
        <v>25</v>
      </c>
      <c r="P50" s="65"/>
      <c r="Q50" s="65">
        <v>25</v>
      </c>
      <c r="R50" s="65">
        <v>25</v>
      </c>
      <c r="S50" s="65">
        <v>25</v>
      </c>
      <c r="T50" s="65">
        <v>25</v>
      </c>
      <c r="U50" s="65">
        <v>25</v>
      </c>
      <c r="V50" s="65">
        <v>25</v>
      </c>
      <c r="W50" s="65">
        <v>25</v>
      </c>
      <c r="X50" s="65">
        <v>25</v>
      </c>
      <c r="Y50" s="65">
        <v>25</v>
      </c>
      <c r="Z50" s="65">
        <v>25</v>
      </c>
      <c r="AA50" s="65">
        <v>25</v>
      </c>
      <c r="AB50" s="65">
        <v>25</v>
      </c>
      <c r="AC50" s="65">
        <v>25</v>
      </c>
      <c r="AD50" s="65">
        <v>25</v>
      </c>
      <c r="AE50" s="65">
        <v>25</v>
      </c>
      <c r="AF50" s="65">
        <v>25</v>
      </c>
      <c r="AG50" s="54">
        <v>60</v>
      </c>
      <c r="AH50" s="47">
        <f t="shared" si="2"/>
        <v>25</v>
      </c>
      <c r="AI50" s="48">
        <f t="shared" si="3"/>
        <v>25</v>
      </c>
      <c r="AK50" s="49"/>
    </row>
    <row r="51" spans="1:41" ht="15.75" thickBot="1" x14ac:dyDescent="0.3">
      <c r="A51" s="66" t="s">
        <v>59</v>
      </c>
      <c r="B51" s="67">
        <v>0</v>
      </c>
      <c r="C51" s="67">
        <v>0</v>
      </c>
      <c r="D51" s="67">
        <v>0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67">
        <v>0</v>
      </c>
      <c r="O51" s="67">
        <v>0</v>
      </c>
      <c r="P51" s="67"/>
      <c r="Q51" s="67">
        <v>22.3</v>
      </c>
      <c r="R51" s="67">
        <v>22.3</v>
      </c>
      <c r="S51" s="67">
        <v>18</v>
      </c>
      <c r="T51" s="67">
        <v>18</v>
      </c>
      <c r="U51" s="67">
        <v>18</v>
      </c>
      <c r="V51" s="67">
        <v>18</v>
      </c>
      <c r="W51" s="67">
        <v>18</v>
      </c>
      <c r="X51" s="67">
        <v>18</v>
      </c>
      <c r="Y51" s="67">
        <v>17.100000000000001</v>
      </c>
      <c r="Z51" s="67">
        <v>17.100000000000001</v>
      </c>
      <c r="AA51" s="67">
        <v>17.100000000000001</v>
      </c>
      <c r="AB51" s="67">
        <v>17.100000000000001</v>
      </c>
      <c r="AC51" s="67">
        <v>0</v>
      </c>
      <c r="AD51" s="67">
        <v>17.5</v>
      </c>
      <c r="AE51" s="67">
        <v>17.7</v>
      </c>
      <c r="AF51" s="67">
        <v>21</v>
      </c>
      <c r="AG51" s="68">
        <v>22.1</v>
      </c>
      <c r="AH51" s="47">
        <f t="shared" si="2"/>
        <v>22.3</v>
      </c>
      <c r="AI51" s="48">
        <f t="shared" si="3"/>
        <v>0</v>
      </c>
      <c r="AK51" s="49"/>
    </row>
    <row r="52" spans="1:41" ht="15.75" thickBot="1" x14ac:dyDescent="0.3">
      <c r="A52" s="69" t="s">
        <v>60</v>
      </c>
      <c r="B52" s="60">
        <f t="shared" ref="B52:AG52" si="5">SUM(B49:B51)</f>
        <v>40</v>
      </c>
      <c r="C52" s="60">
        <f t="shared" si="5"/>
        <v>40</v>
      </c>
      <c r="D52" s="60">
        <f t="shared" si="5"/>
        <v>40</v>
      </c>
      <c r="E52" s="60">
        <f t="shared" si="5"/>
        <v>60</v>
      </c>
      <c r="F52" s="60">
        <f t="shared" si="5"/>
        <v>60</v>
      </c>
      <c r="G52" s="60">
        <f t="shared" si="5"/>
        <v>60</v>
      </c>
      <c r="H52" s="60">
        <f>SUM(H49:H51)</f>
        <v>60</v>
      </c>
      <c r="I52" s="60">
        <f t="shared" si="5"/>
        <v>60</v>
      </c>
      <c r="J52" s="60">
        <f t="shared" si="5"/>
        <v>60</v>
      </c>
      <c r="K52" s="60">
        <f t="shared" si="5"/>
        <v>60</v>
      </c>
      <c r="L52" s="60">
        <f t="shared" si="5"/>
        <v>60</v>
      </c>
      <c r="M52" s="60">
        <f t="shared" si="5"/>
        <v>75</v>
      </c>
      <c r="N52" s="60">
        <f t="shared" si="5"/>
        <v>75</v>
      </c>
      <c r="O52" s="60">
        <f t="shared" si="5"/>
        <v>75</v>
      </c>
      <c r="P52" s="60">
        <f t="shared" si="5"/>
        <v>0</v>
      </c>
      <c r="Q52" s="60">
        <f t="shared" si="5"/>
        <v>147.30000000000001</v>
      </c>
      <c r="R52" s="60">
        <f t="shared" si="5"/>
        <v>147.30000000000001</v>
      </c>
      <c r="S52" s="60">
        <f t="shared" si="5"/>
        <v>143</v>
      </c>
      <c r="T52" s="60">
        <f t="shared" si="5"/>
        <v>133</v>
      </c>
      <c r="U52" s="60">
        <f t="shared" si="5"/>
        <v>133</v>
      </c>
      <c r="V52" s="60">
        <f t="shared" si="5"/>
        <v>133</v>
      </c>
      <c r="W52" s="60">
        <f t="shared" si="5"/>
        <v>133</v>
      </c>
      <c r="X52" s="60">
        <f t="shared" si="5"/>
        <v>133</v>
      </c>
      <c r="Y52" s="60">
        <f t="shared" si="5"/>
        <v>122.1</v>
      </c>
      <c r="Z52" s="60">
        <f t="shared" si="5"/>
        <v>122.1</v>
      </c>
      <c r="AA52" s="60">
        <f t="shared" si="5"/>
        <v>122.1</v>
      </c>
      <c r="AB52" s="60">
        <f t="shared" si="5"/>
        <v>132.1</v>
      </c>
      <c r="AC52" s="60">
        <f t="shared" si="5"/>
        <v>135</v>
      </c>
      <c r="AD52" s="60">
        <f t="shared" si="5"/>
        <v>122.5</v>
      </c>
      <c r="AE52" s="60">
        <f t="shared" si="5"/>
        <v>132.69999999999999</v>
      </c>
      <c r="AF52" s="60">
        <f t="shared" si="5"/>
        <v>196</v>
      </c>
      <c r="AG52" s="61">
        <f t="shared" si="5"/>
        <v>538.1</v>
      </c>
      <c r="AH52" s="47">
        <f t="shared" si="2"/>
        <v>196</v>
      </c>
      <c r="AI52" s="48">
        <f t="shared" si="3"/>
        <v>0</v>
      </c>
      <c r="AK52" s="49"/>
    </row>
    <row r="53" spans="1:41" x14ac:dyDescent="0.25">
      <c r="A53" s="44" t="s">
        <v>61</v>
      </c>
      <c r="B53" s="45">
        <v>81</v>
      </c>
      <c r="C53" s="45">
        <v>81</v>
      </c>
      <c r="D53" s="45">
        <v>70</v>
      </c>
      <c r="E53" s="45">
        <v>81</v>
      </c>
      <c r="F53" s="45">
        <v>81</v>
      </c>
      <c r="G53" s="45">
        <v>81</v>
      </c>
      <c r="H53" s="45">
        <v>97</v>
      </c>
      <c r="I53" s="45">
        <v>97</v>
      </c>
      <c r="J53" s="45">
        <v>111.7</v>
      </c>
      <c r="K53" s="45">
        <v>100</v>
      </c>
      <c r="L53" s="45">
        <v>100</v>
      </c>
      <c r="M53" s="45">
        <v>111.5</v>
      </c>
      <c r="N53" s="45">
        <v>111.5</v>
      </c>
      <c r="O53" s="45">
        <v>131.80000000000001</v>
      </c>
      <c r="P53" s="45"/>
      <c r="Q53" s="45">
        <v>131.9</v>
      </c>
      <c r="R53" s="45">
        <v>131.9</v>
      </c>
      <c r="S53" s="45">
        <v>144</v>
      </c>
      <c r="T53" s="45">
        <v>134</v>
      </c>
      <c r="U53" s="45">
        <v>143</v>
      </c>
      <c r="V53" s="45">
        <v>143</v>
      </c>
      <c r="W53" s="45">
        <v>139</v>
      </c>
      <c r="X53" s="45">
        <v>111</v>
      </c>
      <c r="Y53" s="45">
        <v>91.6</v>
      </c>
      <c r="Z53" s="45">
        <v>91.6</v>
      </c>
      <c r="AA53" s="45">
        <v>140</v>
      </c>
      <c r="AB53" s="45">
        <v>113</v>
      </c>
      <c r="AC53" s="45">
        <v>87.4</v>
      </c>
      <c r="AD53" s="45">
        <v>61.4</v>
      </c>
      <c r="AE53" s="45">
        <v>0</v>
      </c>
      <c r="AF53" s="45">
        <v>61</v>
      </c>
      <c r="AG53" s="51">
        <v>144</v>
      </c>
      <c r="AH53" s="47">
        <f t="shared" si="2"/>
        <v>144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33</v>
      </c>
      <c r="C54" s="65">
        <v>25</v>
      </c>
      <c r="D54" s="65">
        <v>25</v>
      </c>
      <c r="E54" s="65">
        <v>55.4</v>
      </c>
      <c r="F54" s="65">
        <v>55.4</v>
      </c>
      <c r="G54" s="65">
        <v>60</v>
      </c>
      <c r="H54" s="65">
        <v>70</v>
      </c>
      <c r="I54" s="65">
        <v>70</v>
      </c>
      <c r="J54" s="65">
        <v>23</v>
      </c>
      <c r="K54" s="65">
        <v>21.9</v>
      </c>
      <c r="L54" s="65">
        <v>21.9</v>
      </c>
      <c r="M54" s="65">
        <v>21.9</v>
      </c>
      <c r="N54" s="65">
        <v>45.6</v>
      </c>
      <c r="O54" s="65">
        <v>60.7</v>
      </c>
      <c r="P54" s="65"/>
      <c r="Q54" s="45">
        <v>64.7</v>
      </c>
      <c r="R54" s="45">
        <v>64.7</v>
      </c>
      <c r="S54" s="45">
        <v>69.599999999999994</v>
      </c>
      <c r="T54" s="45">
        <v>69.599999999999994</v>
      </c>
      <c r="U54" s="45">
        <v>69.599999999999994</v>
      </c>
      <c r="V54" s="45">
        <v>50</v>
      </c>
      <c r="W54" s="45">
        <v>50</v>
      </c>
      <c r="X54" s="45">
        <v>46.3</v>
      </c>
      <c r="Y54" s="45">
        <v>48.4</v>
      </c>
      <c r="Z54" s="45">
        <v>64.2</v>
      </c>
      <c r="AA54" s="45">
        <v>60</v>
      </c>
      <c r="AB54" s="65">
        <v>64.900000000000006</v>
      </c>
      <c r="AC54" s="65">
        <v>59.6</v>
      </c>
      <c r="AD54" s="65">
        <v>49.8</v>
      </c>
      <c r="AE54" s="65">
        <v>69.7</v>
      </c>
      <c r="AF54" s="65">
        <v>46.2</v>
      </c>
      <c r="AG54" s="54">
        <v>70</v>
      </c>
      <c r="AH54" s="47">
        <f t="shared" si="2"/>
        <v>70</v>
      </c>
      <c r="AI54" s="48">
        <f t="shared" si="3"/>
        <v>21.9</v>
      </c>
      <c r="AK54" s="49"/>
    </row>
    <row r="55" spans="1:41" x14ac:dyDescent="0.25">
      <c r="A55" s="53" t="s">
        <v>63</v>
      </c>
      <c r="B55" s="65">
        <v>32.6</v>
      </c>
      <c r="C55" s="65">
        <v>45</v>
      </c>
      <c r="D55" s="65">
        <v>40</v>
      </c>
      <c r="E55" s="65">
        <v>32.799999999999997</v>
      </c>
      <c r="F55" s="65">
        <v>32.799999999999997</v>
      </c>
      <c r="G55" s="65">
        <v>46</v>
      </c>
      <c r="H55" s="65">
        <v>66.099999999999994</v>
      </c>
      <c r="I55" s="65">
        <v>66.099999999999994</v>
      </c>
      <c r="J55" s="65">
        <v>32</v>
      </c>
      <c r="K55" s="65">
        <v>45.4</v>
      </c>
      <c r="L55" s="65">
        <v>45.4</v>
      </c>
      <c r="M55" s="65">
        <v>18.8</v>
      </c>
      <c r="N55" s="65">
        <v>19.8</v>
      </c>
      <c r="O55" s="65">
        <v>21.8</v>
      </c>
      <c r="P55" s="65"/>
      <c r="Q55" s="45">
        <v>45.9</v>
      </c>
      <c r="R55" s="45">
        <v>45.9</v>
      </c>
      <c r="S55" s="45">
        <v>45.9</v>
      </c>
      <c r="T55" s="45">
        <v>45.9</v>
      </c>
      <c r="U55" s="45">
        <v>36</v>
      </c>
      <c r="V55" s="45">
        <v>55</v>
      </c>
      <c r="W55" s="45">
        <v>55</v>
      </c>
      <c r="X55" s="45">
        <v>30.4</v>
      </c>
      <c r="Y55" s="45">
        <v>31.4</v>
      </c>
      <c r="Z55" s="45">
        <v>44.2</v>
      </c>
      <c r="AA55" s="45">
        <v>59</v>
      </c>
      <c r="AB55" s="65">
        <v>64.2</v>
      </c>
      <c r="AC55" s="65">
        <v>64.3</v>
      </c>
      <c r="AD55" s="65">
        <v>67.7</v>
      </c>
      <c r="AE55" s="65">
        <v>67.8</v>
      </c>
      <c r="AF55" s="65">
        <v>55</v>
      </c>
      <c r="AG55" s="54">
        <v>69</v>
      </c>
      <c r="AH55" s="47">
        <f t="shared" si="2"/>
        <v>67.8</v>
      </c>
      <c r="AI55" s="48">
        <f t="shared" si="3"/>
        <v>18.8</v>
      </c>
      <c r="AK55" s="49"/>
    </row>
    <row r="56" spans="1:41" x14ac:dyDescent="0.25">
      <c r="A56" s="53" t="s">
        <v>64</v>
      </c>
      <c r="B56" s="65">
        <v>59.5</v>
      </c>
      <c r="C56" s="65">
        <v>60</v>
      </c>
      <c r="D56" s="65">
        <v>60</v>
      </c>
      <c r="E56" s="56">
        <v>60.7</v>
      </c>
      <c r="F56" s="56">
        <v>60.7</v>
      </c>
      <c r="G56" s="56">
        <v>60.7</v>
      </c>
      <c r="H56" s="56">
        <v>60.4</v>
      </c>
      <c r="I56" s="56">
        <v>60.4</v>
      </c>
      <c r="J56" s="56">
        <v>60.4</v>
      </c>
      <c r="K56" s="56">
        <v>60.2</v>
      </c>
      <c r="L56" s="56">
        <v>60.2</v>
      </c>
      <c r="M56" s="65">
        <v>60.2</v>
      </c>
      <c r="N56" s="65">
        <v>60.2</v>
      </c>
      <c r="O56" s="65">
        <v>60</v>
      </c>
      <c r="P56" s="65"/>
      <c r="Q56" s="45">
        <v>59.7</v>
      </c>
      <c r="R56" s="45">
        <v>59.7</v>
      </c>
      <c r="S56" s="45">
        <v>59.7</v>
      </c>
      <c r="T56" s="45">
        <v>59.7</v>
      </c>
      <c r="U56" s="45">
        <v>59.7</v>
      </c>
      <c r="V56" s="45">
        <v>59.2</v>
      </c>
      <c r="W56" s="45">
        <v>56</v>
      </c>
      <c r="X56" s="45">
        <v>56</v>
      </c>
      <c r="Y56" s="45">
        <v>55.4</v>
      </c>
      <c r="Z56" s="45">
        <v>55.4</v>
      </c>
      <c r="AA56" s="45">
        <v>55.4</v>
      </c>
      <c r="AB56" s="65">
        <v>54.4</v>
      </c>
      <c r="AC56" s="65">
        <v>54.4</v>
      </c>
      <c r="AD56" s="65">
        <v>54.4</v>
      </c>
      <c r="AE56" s="65">
        <v>59.5</v>
      </c>
      <c r="AF56" s="65">
        <v>59</v>
      </c>
      <c r="AG56" s="54">
        <v>60</v>
      </c>
      <c r="AH56" s="47">
        <f t="shared" si="2"/>
        <v>60.7</v>
      </c>
      <c r="AI56" s="48">
        <f t="shared" si="3"/>
        <v>54.4</v>
      </c>
      <c r="AK56" s="49"/>
    </row>
    <row r="57" spans="1:41" x14ac:dyDescent="0.25">
      <c r="A57" s="53" t="s">
        <v>65</v>
      </c>
      <c r="B57" s="65">
        <v>10</v>
      </c>
      <c r="C57" s="65">
        <v>10</v>
      </c>
      <c r="D57" s="65">
        <v>10</v>
      </c>
      <c r="E57" s="56">
        <v>10</v>
      </c>
      <c r="F57" s="56">
        <v>10</v>
      </c>
      <c r="G57" s="56">
        <v>10</v>
      </c>
      <c r="H57" s="56">
        <v>10.4</v>
      </c>
      <c r="I57" s="56">
        <v>10.4</v>
      </c>
      <c r="J57" s="56">
        <v>10.4</v>
      </c>
      <c r="K57" s="56">
        <v>10</v>
      </c>
      <c r="L57" s="56">
        <v>10</v>
      </c>
      <c r="M57" s="56">
        <v>10</v>
      </c>
      <c r="N57" s="65">
        <v>10</v>
      </c>
      <c r="O57" s="65">
        <v>10</v>
      </c>
      <c r="P57" s="65"/>
      <c r="Q57" s="45">
        <v>0</v>
      </c>
      <c r="R57" s="45">
        <v>0</v>
      </c>
      <c r="S57" s="45">
        <v>15</v>
      </c>
      <c r="T57" s="45">
        <v>15</v>
      </c>
      <c r="U57" s="45">
        <v>15</v>
      </c>
      <c r="V57" s="45">
        <v>15</v>
      </c>
      <c r="W57" s="45">
        <v>10.5</v>
      </c>
      <c r="X57" s="45">
        <v>10.5</v>
      </c>
      <c r="Y57" s="45">
        <v>9.8000000000000007</v>
      </c>
      <c r="Z57" s="45">
        <v>9.8000000000000007</v>
      </c>
      <c r="AA57" s="45">
        <v>9.8000000000000007</v>
      </c>
      <c r="AB57" s="45">
        <v>10.7</v>
      </c>
      <c r="AC57" s="65">
        <v>0</v>
      </c>
      <c r="AD57" s="65">
        <v>0</v>
      </c>
      <c r="AE57" s="65">
        <v>0</v>
      </c>
      <c r="AF57" s="65">
        <v>13</v>
      </c>
      <c r="AG57" s="54">
        <v>30</v>
      </c>
      <c r="AH57" s="47">
        <f t="shared" si="2"/>
        <v>15</v>
      </c>
      <c r="AI57" s="48">
        <f t="shared" si="3"/>
        <v>0</v>
      </c>
      <c r="AK57" s="49"/>
    </row>
    <row r="58" spans="1:41" x14ac:dyDescent="0.25">
      <c r="A58" s="53" t="s">
        <v>66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65"/>
      <c r="Q58" s="45">
        <v>16.5</v>
      </c>
      <c r="R58" s="45">
        <v>16.5</v>
      </c>
      <c r="S58" s="45">
        <v>16.5</v>
      </c>
      <c r="T58" s="45">
        <v>10</v>
      </c>
      <c r="U58" s="45">
        <v>8</v>
      </c>
      <c r="V58" s="45">
        <v>0.9</v>
      </c>
      <c r="W58" s="45">
        <v>0.9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16.5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15</v>
      </c>
      <c r="C59" s="65">
        <v>15</v>
      </c>
      <c r="D59" s="65">
        <v>15</v>
      </c>
      <c r="E59" s="65">
        <v>15</v>
      </c>
      <c r="F59" s="65">
        <v>15</v>
      </c>
      <c r="G59" s="65">
        <v>15</v>
      </c>
      <c r="H59" s="65">
        <v>15</v>
      </c>
      <c r="I59" s="65">
        <v>15</v>
      </c>
      <c r="J59" s="65">
        <v>15</v>
      </c>
      <c r="K59" s="65">
        <v>15</v>
      </c>
      <c r="L59" s="65">
        <v>15</v>
      </c>
      <c r="M59" s="65">
        <v>15</v>
      </c>
      <c r="N59" s="65">
        <v>15</v>
      </c>
      <c r="O59" s="65">
        <v>15</v>
      </c>
      <c r="P59" s="65"/>
      <c r="Q59" s="65">
        <v>15</v>
      </c>
      <c r="R59" s="65">
        <v>15</v>
      </c>
      <c r="S59" s="65">
        <v>15</v>
      </c>
      <c r="T59" s="65">
        <v>15</v>
      </c>
      <c r="U59" s="65">
        <v>15</v>
      </c>
      <c r="V59" s="65">
        <v>15</v>
      </c>
      <c r="W59" s="65">
        <v>15</v>
      </c>
      <c r="X59" s="65">
        <v>15</v>
      </c>
      <c r="Y59" s="65">
        <v>15</v>
      </c>
      <c r="Z59" s="65">
        <v>15</v>
      </c>
      <c r="AA59" s="65">
        <v>15</v>
      </c>
      <c r="AB59" s="65">
        <v>15</v>
      </c>
      <c r="AC59" s="65">
        <v>15</v>
      </c>
      <c r="AD59" s="65">
        <v>15</v>
      </c>
      <c r="AE59" s="65">
        <v>15</v>
      </c>
      <c r="AF59" s="65">
        <v>15</v>
      </c>
      <c r="AG59" s="54">
        <v>24</v>
      </c>
      <c r="AH59" s="47">
        <f t="shared" si="2"/>
        <v>15</v>
      </c>
      <c r="AI59" s="48">
        <f t="shared" si="3"/>
        <v>15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/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14.1</v>
      </c>
      <c r="C61" s="65">
        <v>14.1</v>
      </c>
      <c r="D61" s="65">
        <v>14.1</v>
      </c>
      <c r="E61" s="65">
        <v>14.1</v>
      </c>
      <c r="F61" s="65">
        <v>14.1</v>
      </c>
      <c r="G61" s="65">
        <v>14.1</v>
      </c>
      <c r="H61" s="65">
        <v>14.1</v>
      </c>
      <c r="I61" s="65">
        <v>14.1</v>
      </c>
      <c r="J61" s="65">
        <v>14.1</v>
      </c>
      <c r="K61" s="65">
        <v>14.1</v>
      </c>
      <c r="L61" s="65">
        <v>14.1</v>
      </c>
      <c r="M61" s="65">
        <v>14.1</v>
      </c>
      <c r="N61" s="65">
        <v>12.3</v>
      </c>
      <c r="O61" s="65">
        <v>12.3</v>
      </c>
      <c r="P61" s="65"/>
      <c r="Q61" s="65">
        <v>12.2</v>
      </c>
      <c r="R61" s="65">
        <v>12.2</v>
      </c>
      <c r="S61" s="65">
        <v>12.2</v>
      </c>
      <c r="T61" s="65">
        <v>12.2</v>
      </c>
      <c r="U61" s="65">
        <v>12.2</v>
      </c>
      <c r="V61" s="65">
        <v>12.2</v>
      </c>
      <c r="W61" s="65">
        <v>12.2</v>
      </c>
      <c r="X61" s="65">
        <v>12.2</v>
      </c>
      <c r="Y61" s="65">
        <v>12.2</v>
      </c>
      <c r="Z61" s="65">
        <v>12.2</v>
      </c>
      <c r="AA61" s="65">
        <v>12.2</v>
      </c>
      <c r="AB61" s="65">
        <v>12.2</v>
      </c>
      <c r="AC61" s="65">
        <v>12.2</v>
      </c>
      <c r="AD61" s="65">
        <v>12.2</v>
      </c>
      <c r="AE61" s="65">
        <v>12.2</v>
      </c>
      <c r="AF61" s="65">
        <v>11.6</v>
      </c>
      <c r="AG61" s="54">
        <v>14.1</v>
      </c>
      <c r="AH61" s="47">
        <f t="shared" si="2"/>
        <v>14.1</v>
      </c>
      <c r="AI61" s="48">
        <f t="shared" si="3"/>
        <v>11.6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8</v>
      </c>
      <c r="C62" s="65">
        <v>8</v>
      </c>
      <c r="D62" s="65">
        <v>8</v>
      </c>
      <c r="E62" s="65">
        <v>8</v>
      </c>
      <c r="F62" s="65">
        <v>8</v>
      </c>
      <c r="G62" s="65">
        <v>8</v>
      </c>
      <c r="H62" s="65">
        <v>8</v>
      </c>
      <c r="I62" s="65">
        <v>8</v>
      </c>
      <c r="J62" s="65">
        <v>8</v>
      </c>
      <c r="K62" s="65">
        <v>8</v>
      </c>
      <c r="L62" s="65">
        <v>8</v>
      </c>
      <c r="M62" s="65">
        <v>8</v>
      </c>
      <c r="N62" s="65">
        <v>8</v>
      </c>
      <c r="O62" s="65">
        <v>8</v>
      </c>
      <c r="P62" s="65"/>
      <c r="Q62" s="65">
        <v>9.3000000000000007</v>
      </c>
      <c r="R62" s="65">
        <v>9.3000000000000007</v>
      </c>
      <c r="S62" s="65">
        <v>9.3000000000000007</v>
      </c>
      <c r="T62" s="65">
        <v>9.3000000000000007</v>
      </c>
      <c r="U62" s="65">
        <v>9.3000000000000007</v>
      </c>
      <c r="V62" s="65">
        <v>7.1</v>
      </c>
      <c r="W62" s="65">
        <v>7.1</v>
      </c>
      <c r="X62" s="65">
        <v>7.1</v>
      </c>
      <c r="Y62" s="65">
        <v>7.1</v>
      </c>
      <c r="Z62" s="65">
        <v>7.1</v>
      </c>
      <c r="AA62" s="65">
        <v>7.1</v>
      </c>
      <c r="AB62" s="65">
        <v>7.1</v>
      </c>
      <c r="AC62" s="65">
        <v>7.1</v>
      </c>
      <c r="AD62" s="65">
        <v>7.1</v>
      </c>
      <c r="AE62" s="65">
        <v>7.1</v>
      </c>
      <c r="AF62" s="65">
        <v>7.9</v>
      </c>
      <c r="AG62" s="54">
        <v>14</v>
      </c>
      <c r="AH62" s="47">
        <f t="shared" si="2"/>
        <v>9.3000000000000007</v>
      </c>
      <c r="AI62" s="48">
        <f t="shared" si="3"/>
        <v>7.1</v>
      </c>
      <c r="AK62" s="49"/>
    </row>
    <row r="63" spans="1:41" x14ac:dyDescent="0.25">
      <c r="A63" s="53" t="s">
        <v>71</v>
      </c>
      <c r="B63" s="65">
        <v>4.9000000000000004</v>
      </c>
      <c r="C63" s="65">
        <v>4.9000000000000004</v>
      </c>
      <c r="D63" s="65">
        <v>4.9000000000000004</v>
      </c>
      <c r="E63" s="65">
        <v>4.9000000000000004</v>
      </c>
      <c r="F63" s="65">
        <v>4.9000000000000004</v>
      </c>
      <c r="G63" s="65">
        <v>4.9000000000000004</v>
      </c>
      <c r="H63" s="65">
        <v>4.9000000000000004</v>
      </c>
      <c r="I63" s="65">
        <v>4.9000000000000004</v>
      </c>
      <c r="J63" s="65">
        <v>4.9000000000000004</v>
      </c>
      <c r="K63" s="65">
        <v>4.9000000000000004</v>
      </c>
      <c r="L63" s="65">
        <v>4.9000000000000004</v>
      </c>
      <c r="M63" s="65">
        <v>4.9000000000000004</v>
      </c>
      <c r="N63" s="65">
        <v>4.9000000000000004</v>
      </c>
      <c r="O63" s="65">
        <v>4.9000000000000004</v>
      </c>
      <c r="P63" s="65"/>
      <c r="Q63" s="65">
        <v>5.0999999999999996</v>
      </c>
      <c r="R63" s="65">
        <v>5.0999999999999996</v>
      </c>
      <c r="S63" s="65">
        <v>5.0999999999999996</v>
      </c>
      <c r="T63" s="65">
        <v>5.0999999999999996</v>
      </c>
      <c r="U63" s="65">
        <v>5.0999999999999996</v>
      </c>
      <c r="V63" s="65">
        <v>5.0999999999999996</v>
      </c>
      <c r="W63" s="65">
        <v>5.0999999999999996</v>
      </c>
      <c r="X63" s="65">
        <v>5.0999999999999996</v>
      </c>
      <c r="Y63" s="65">
        <v>5.0999999999999996</v>
      </c>
      <c r="Z63" s="65">
        <v>5.0999999999999996</v>
      </c>
      <c r="AA63" s="65">
        <v>5.0999999999999996</v>
      </c>
      <c r="AB63" s="65">
        <v>5.0999999999999996</v>
      </c>
      <c r="AC63" s="65">
        <v>5.0999999999999996</v>
      </c>
      <c r="AD63" s="65">
        <v>5.0999999999999996</v>
      </c>
      <c r="AE63" s="65">
        <v>5.0999999999999996</v>
      </c>
      <c r="AF63" s="65">
        <v>5.3</v>
      </c>
      <c r="AG63" s="54">
        <v>10.050000000000001</v>
      </c>
      <c r="AH63" s="47">
        <f t="shared" si="2"/>
        <v>5.3</v>
      </c>
      <c r="AI63" s="48">
        <f t="shared" si="3"/>
        <v>4.9000000000000004</v>
      </c>
      <c r="AK63" s="49"/>
    </row>
    <row r="64" spans="1:41" x14ac:dyDescent="0.25">
      <c r="A64" s="53" t="s">
        <v>72</v>
      </c>
      <c r="B64" s="65">
        <v>6.2</v>
      </c>
      <c r="C64" s="65">
        <v>6.2</v>
      </c>
      <c r="D64" s="65">
        <v>6.2</v>
      </c>
      <c r="E64" s="65">
        <v>6.2</v>
      </c>
      <c r="F64" s="65">
        <v>6.2</v>
      </c>
      <c r="G64" s="65">
        <v>6.2</v>
      </c>
      <c r="H64" s="65">
        <v>6.2</v>
      </c>
      <c r="I64" s="65">
        <v>6.2</v>
      </c>
      <c r="J64" s="65">
        <v>6.2</v>
      </c>
      <c r="K64" s="65">
        <v>6.2</v>
      </c>
      <c r="L64" s="65">
        <v>6.2</v>
      </c>
      <c r="M64" s="65">
        <v>6.2</v>
      </c>
      <c r="N64" s="65">
        <v>6.2</v>
      </c>
      <c r="O64" s="65">
        <v>6.2</v>
      </c>
      <c r="P64" s="65"/>
      <c r="Q64" s="65">
        <v>4</v>
      </c>
      <c r="R64" s="65">
        <v>4</v>
      </c>
      <c r="S64" s="65">
        <v>4</v>
      </c>
      <c r="T64" s="65">
        <v>4</v>
      </c>
      <c r="U64" s="65">
        <v>4</v>
      </c>
      <c r="V64" s="65">
        <v>4</v>
      </c>
      <c r="W64" s="65">
        <v>4</v>
      </c>
      <c r="X64" s="65">
        <v>4</v>
      </c>
      <c r="Y64" s="65">
        <v>4</v>
      </c>
      <c r="Z64" s="65">
        <v>4</v>
      </c>
      <c r="AA64" s="65">
        <v>4</v>
      </c>
      <c r="AB64" s="65">
        <v>4</v>
      </c>
      <c r="AC64" s="65">
        <v>4</v>
      </c>
      <c r="AD64" s="65">
        <v>4</v>
      </c>
      <c r="AE64" s="65">
        <v>4</v>
      </c>
      <c r="AF64" s="65">
        <v>2</v>
      </c>
      <c r="AG64" s="54">
        <v>6.2</v>
      </c>
      <c r="AH64" s="47">
        <f t="shared" si="2"/>
        <v>6.2</v>
      </c>
      <c r="AI64" s="48">
        <f t="shared" si="3"/>
        <v>2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f t="shared" ref="B66:AG66" si="6">SUM(B53:B65)</f>
        <v>267.83999999999997</v>
      </c>
      <c r="C66" s="60">
        <f t="shared" si="6"/>
        <v>272.74</v>
      </c>
      <c r="D66" s="60">
        <f t="shared" si="6"/>
        <v>256.74</v>
      </c>
      <c r="E66" s="60">
        <f t="shared" si="6"/>
        <v>291.64</v>
      </c>
      <c r="F66" s="60">
        <f t="shared" si="6"/>
        <v>291.64</v>
      </c>
      <c r="G66" s="60">
        <f t="shared" si="6"/>
        <v>309.44</v>
      </c>
      <c r="H66" s="60">
        <f t="shared" si="6"/>
        <v>355.64</v>
      </c>
      <c r="I66" s="60">
        <f t="shared" si="6"/>
        <v>355.64</v>
      </c>
      <c r="J66" s="60">
        <f t="shared" si="6"/>
        <v>289.24</v>
      </c>
      <c r="K66" s="60">
        <f t="shared" si="6"/>
        <v>289.24</v>
      </c>
      <c r="L66" s="60">
        <f t="shared" si="6"/>
        <v>289.24</v>
      </c>
      <c r="M66" s="60">
        <f t="shared" si="6"/>
        <v>274.14</v>
      </c>
      <c r="N66" s="60">
        <f t="shared" si="6"/>
        <v>297.04000000000002</v>
      </c>
      <c r="O66" s="60">
        <f t="shared" si="6"/>
        <v>334.24</v>
      </c>
      <c r="P66" s="60">
        <f t="shared" si="6"/>
        <v>3.54</v>
      </c>
      <c r="Q66" s="60">
        <f t="shared" si="6"/>
        <v>367.84000000000009</v>
      </c>
      <c r="R66" s="60">
        <f t="shared" si="6"/>
        <v>367.84000000000009</v>
      </c>
      <c r="S66" s="60">
        <f t="shared" si="6"/>
        <v>399.84000000000003</v>
      </c>
      <c r="T66" s="60">
        <f t="shared" si="6"/>
        <v>383.34000000000003</v>
      </c>
      <c r="U66" s="60">
        <f t="shared" si="6"/>
        <v>380.44000000000005</v>
      </c>
      <c r="V66" s="60">
        <f t="shared" si="6"/>
        <v>370.04</v>
      </c>
      <c r="W66" s="60">
        <f t="shared" si="6"/>
        <v>358.34000000000003</v>
      </c>
      <c r="X66" s="60">
        <f t="shared" si="6"/>
        <v>301.1400000000001</v>
      </c>
      <c r="Y66" s="60">
        <f t="shared" si="6"/>
        <v>283.54000000000008</v>
      </c>
      <c r="Z66" s="60">
        <f t="shared" si="6"/>
        <v>312.14000000000004</v>
      </c>
      <c r="AA66" s="60">
        <f t="shared" si="6"/>
        <v>371.14000000000004</v>
      </c>
      <c r="AB66" s="60">
        <f t="shared" si="6"/>
        <v>354.14000000000004</v>
      </c>
      <c r="AC66" s="60">
        <f t="shared" si="6"/>
        <v>312.64000000000004</v>
      </c>
      <c r="AD66" s="60">
        <f t="shared" si="6"/>
        <v>280.24000000000007</v>
      </c>
      <c r="AE66" s="60">
        <f t="shared" si="6"/>
        <v>243.93999999999997</v>
      </c>
      <c r="AF66" s="60">
        <f t="shared" si="6"/>
        <v>279.54000000000002</v>
      </c>
      <c r="AG66" s="61">
        <f t="shared" si="6"/>
        <v>489.91</v>
      </c>
      <c r="AH66" s="47">
        <f t="shared" si="2"/>
        <v>399.84000000000003</v>
      </c>
      <c r="AI66" s="48">
        <f t="shared" si="3"/>
        <v>3.54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/>
      <c r="Q67" s="45">
        <v>45</v>
      </c>
      <c r="R67" s="45">
        <v>40</v>
      </c>
      <c r="S67" s="45">
        <v>10.5</v>
      </c>
      <c r="T67" s="45">
        <v>14.3</v>
      </c>
      <c r="U67" s="45">
        <v>13.5</v>
      </c>
      <c r="V67" s="45">
        <v>10</v>
      </c>
      <c r="W67" s="45">
        <v>10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45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/>
      <c r="Q68" s="45">
        <v>16</v>
      </c>
      <c r="R68" s="45">
        <v>17</v>
      </c>
      <c r="S68" s="65">
        <v>3.4</v>
      </c>
      <c r="T68" s="65">
        <v>10.199999999999999</v>
      </c>
      <c r="U68" s="65">
        <v>5.9</v>
      </c>
      <c r="V68" s="65">
        <v>4.0999999999999996</v>
      </c>
      <c r="W68" s="65">
        <v>4.0999999999999996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45">
        <v>0</v>
      </c>
      <c r="AG68" s="54">
        <v>32</v>
      </c>
      <c r="AH68" s="47">
        <f t="shared" si="2"/>
        <v>17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/>
      <c r="Q69" s="45">
        <v>5.2</v>
      </c>
      <c r="R69" s="45">
        <v>6.4</v>
      </c>
      <c r="S69" s="67">
        <v>1.2</v>
      </c>
      <c r="T69" s="67">
        <v>3.7</v>
      </c>
      <c r="U69" s="67">
        <v>2.2000000000000002</v>
      </c>
      <c r="V69" s="67">
        <v>1.5</v>
      </c>
      <c r="W69" s="67">
        <v>1.5</v>
      </c>
      <c r="X69" s="67">
        <v>0</v>
      </c>
      <c r="Y69" s="67">
        <v>0</v>
      </c>
      <c r="Z69" s="67">
        <v>0</v>
      </c>
      <c r="AA69" s="67">
        <v>0</v>
      </c>
      <c r="AB69" s="67">
        <v>0</v>
      </c>
      <c r="AC69" s="67">
        <v>0</v>
      </c>
      <c r="AD69" s="67">
        <v>0</v>
      </c>
      <c r="AE69" s="67">
        <v>0</v>
      </c>
      <c r="AF69" s="45">
        <v>0</v>
      </c>
      <c r="AG69" s="68">
        <v>14</v>
      </c>
      <c r="AH69" s="47">
        <f t="shared" si="2"/>
        <v>6.4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f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7">M67+M68+M69</f>
        <v>0</v>
      </c>
      <c r="N70" s="60">
        <v>0</v>
      </c>
      <c r="O70" s="60">
        <f t="shared" si="7"/>
        <v>0</v>
      </c>
      <c r="P70" s="60">
        <f t="shared" si="7"/>
        <v>0</v>
      </c>
      <c r="Q70" s="60">
        <f t="shared" si="7"/>
        <v>66.2</v>
      </c>
      <c r="R70" s="60">
        <f t="shared" si="7"/>
        <v>63.4</v>
      </c>
      <c r="S70" s="60">
        <f t="shared" si="7"/>
        <v>15.1</v>
      </c>
      <c r="T70" s="60">
        <f t="shared" si="7"/>
        <v>28.2</v>
      </c>
      <c r="U70" s="60">
        <f t="shared" si="7"/>
        <v>21.599999999999998</v>
      </c>
      <c r="V70" s="60">
        <f t="shared" si="7"/>
        <v>15.6</v>
      </c>
      <c r="W70" s="60">
        <f t="shared" si="7"/>
        <v>15.6</v>
      </c>
      <c r="X70" s="60">
        <f t="shared" si="7"/>
        <v>0</v>
      </c>
      <c r="Y70" s="60">
        <f t="shared" si="7"/>
        <v>0</v>
      </c>
      <c r="Z70" s="60">
        <f t="shared" si="7"/>
        <v>0</v>
      </c>
      <c r="AA70" s="60">
        <f t="shared" si="7"/>
        <v>0</v>
      </c>
      <c r="AB70" s="60">
        <f>AB67+AB68+AB69</f>
        <v>0</v>
      </c>
      <c r="AC70" s="60">
        <f t="shared" si="7"/>
        <v>0</v>
      </c>
      <c r="AD70" s="60">
        <f t="shared" si="7"/>
        <v>0</v>
      </c>
      <c r="AE70" s="60">
        <f t="shared" si="7"/>
        <v>0</v>
      </c>
      <c r="AF70" s="60">
        <f t="shared" si="7"/>
        <v>0</v>
      </c>
      <c r="AG70" s="61">
        <f>SUM(AG67:AG69)</f>
        <v>106</v>
      </c>
      <c r="AH70" s="47">
        <f t="shared" si="2"/>
        <v>66.2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72</v>
      </c>
      <c r="C71" s="45">
        <v>69</v>
      </c>
      <c r="D71" s="45">
        <v>67</v>
      </c>
      <c r="E71" s="45">
        <v>63.2</v>
      </c>
      <c r="F71" s="45">
        <v>63.2</v>
      </c>
      <c r="G71" s="45">
        <v>56.5</v>
      </c>
      <c r="H71" s="45">
        <v>53.6</v>
      </c>
      <c r="I71" s="45">
        <v>55.7</v>
      </c>
      <c r="J71" s="45">
        <v>55.7</v>
      </c>
      <c r="K71" s="45">
        <v>55.7</v>
      </c>
      <c r="L71" s="45">
        <v>60</v>
      </c>
      <c r="M71" s="45">
        <v>50.5</v>
      </c>
      <c r="N71" s="45">
        <v>60.8</v>
      </c>
      <c r="O71" s="45">
        <v>69.099999999999994</v>
      </c>
      <c r="P71" s="45"/>
      <c r="Q71" s="45">
        <v>65</v>
      </c>
      <c r="R71" s="45">
        <v>60.7</v>
      </c>
      <c r="S71" s="45">
        <v>73.900000000000006</v>
      </c>
      <c r="T71" s="45">
        <v>71.5</v>
      </c>
      <c r="U71" s="45">
        <v>67.400000000000006</v>
      </c>
      <c r="V71" s="45">
        <v>59.4</v>
      </c>
      <c r="W71" s="45">
        <v>66</v>
      </c>
      <c r="X71" s="45">
        <v>67.099999999999994</v>
      </c>
      <c r="Y71" s="45">
        <v>65.599999999999994</v>
      </c>
      <c r="Z71" s="45">
        <v>61.6</v>
      </c>
      <c r="AA71" s="45">
        <v>53.2</v>
      </c>
      <c r="AB71" s="45">
        <v>38.4</v>
      </c>
      <c r="AC71" s="45">
        <v>51.9</v>
      </c>
      <c r="AD71" s="45">
        <v>48.5</v>
      </c>
      <c r="AE71" s="45">
        <v>66.5</v>
      </c>
      <c r="AF71" s="45">
        <v>49</v>
      </c>
      <c r="AG71" s="51"/>
      <c r="AH71" s="47">
        <f t="shared" si="2"/>
        <v>73.900000000000006</v>
      </c>
      <c r="AI71" s="48">
        <f t="shared" si="3"/>
        <v>38.4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/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90</v>
      </c>
      <c r="C73" s="65">
        <v>50</v>
      </c>
      <c r="D73" s="65">
        <v>52</v>
      </c>
      <c r="E73" s="65">
        <v>55</v>
      </c>
      <c r="F73" s="65">
        <v>55</v>
      </c>
      <c r="G73" s="65">
        <v>42.5</v>
      </c>
      <c r="H73" s="65">
        <v>70</v>
      </c>
      <c r="I73" s="65">
        <v>80</v>
      </c>
      <c r="J73" s="65">
        <v>210</v>
      </c>
      <c r="K73" s="65">
        <v>265</v>
      </c>
      <c r="L73" s="65">
        <v>280</v>
      </c>
      <c r="M73" s="65">
        <v>284</v>
      </c>
      <c r="N73" s="65">
        <v>319</v>
      </c>
      <c r="O73" s="65">
        <v>328.8</v>
      </c>
      <c r="P73" s="65"/>
      <c r="Q73" s="65">
        <v>280</v>
      </c>
      <c r="R73" s="65">
        <v>295.39999999999998</v>
      </c>
      <c r="S73" s="65">
        <v>339</v>
      </c>
      <c r="T73" s="65">
        <v>381</v>
      </c>
      <c r="U73" s="65">
        <v>369</v>
      </c>
      <c r="V73" s="65">
        <v>370</v>
      </c>
      <c r="W73" s="65">
        <v>373</v>
      </c>
      <c r="X73" s="65">
        <v>366</v>
      </c>
      <c r="Y73" s="65">
        <v>352</v>
      </c>
      <c r="Z73" s="65">
        <v>398</v>
      </c>
      <c r="AA73" s="65">
        <v>438</v>
      </c>
      <c r="AB73" s="65">
        <v>431.4</v>
      </c>
      <c r="AC73" s="65">
        <v>410</v>
      </c>
      <c r="AD73" s="65">
        <v>411.8</v>
      </c>
      <c r="AE73" s="65">
        <v>368</v>
      </c>
      <c r="AF73" s="65">
        <v>358</v>
      </c>
      <c r="AG73" s="75"/>
      <c r="AH73" s="47">
        <f t="shared" si="2"/>
        <v>438</v>
      </c>
      <c r="AI73" s="48">
        <f t="shared" si="3"/>
        <v>42.5</v>
      </c>
      <c r="AK73" s="49"/>
    </row>
    <row r="74" spans="1:40" x14ac:dyDescent="0.25">
      <c r="A74" s="53" t="s">
        <v>82</v>
      </c>
      <c r="B74" s="65">
        <v>12</v>
      </c>
      <c r="C74" s="65">
        <v>12</v>
      </c>
      <c r="D74" s="65">
        <v>12</v>
      </c>
      <c r="E74" s="65">
        <v>12</v>
      </c>
      <c r="F74" s="65">
        <v>12</v>
      </c>
      <c r="G74" s="65">
        <v>12</v>
      </c>
      <c r="H74" s="65">
        <v>12</v>
      </c>
      <c r="I74" s="65">
        <v>12</v>
      </c>
      <c r="J74" s="65">
        <v>12</v>
      </c>
      <c r="K74" s="65">
        <v>12</v>
      </c>
      <c r="L74" s="65">
        <v>12</v>
      </c>
      <c r="M74" s="65">
        <v>12</v>
      </c>
      <c r="N74" s="76">
        <v>10</v>
      </c>
      <c r="O74" s="76">
        <v>10</v>
      </c>
      <c r="P74" s="76"/>
      <c r="Q74" s="76">
        <v>0</v>
      </c>
      <c r="R74" s="76">
        <v>0</v>
      </c>
      <c r="S74" s="76">
        <v>8</v>
      </c>
      <c r="T74" s="76">
        <v>8</v>
      </c>
      <c r="U74" s="76">
        <v>8</v>
      </c>
      <c r="V74" s="76">
        <v>8</v>
      </c>
      <c r="W74" s="76">
        <v>8</v>
      </c>
      <c r="X74" s="76">
        <v>8</v>
      </c>
      <c r="Y74" s="65">
        <v>8</v>
      </c>
      <c r="Z74" s="65">
        <v>8</v>
      </c>
      <c r="AA74" s="65">
        <v>8</v>
      </c>
      <c r="AB74" s="65">
        <v>8</v>
      </c>
      <c r="AC74" s="65">
        <v>8</v>
      </c>
      <c r="AD74" s="65">
        <v>8</v>
      </c>
      <c r="AE74" s="65">
        <v>8</v>
      </c>
      <c r="AF74" s="65">
        <v>8</v>
      </c>
      <c r="AG74" s="75"/>
      <c r="AH74" s="47">
        <f t="shared" si="2"/>
        <v>12</v>
      </c>
      <c r="AI74" s="48">
        <f t="shared" si="3"/>
        <v>0</v>
      </c>
      <c r="AK74" s="49"/>
    </row>
    <row r="75" spans="1:40" x14ac:dyDescent="0.25">
      <c r="A75" s="53" t="s">
        <v>83</v>
      </c>
      <c r="B75" s="45">
        <v>0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/>
      <c r="Q75" s="45">
        <v>40</v>
      </c>
      <c r="R75" s="45">
        <v>36.799999999999997</v>
      </c>
      <c r="S75" s="45">
        <v>37.299999999999997</v>
      </c>
      <c r="T75" s="45">
        <v>37.4</v>
      </c>
      <c r="U75" s="45">
        <v>35.700000000000003</v>
      </c>
      <c r="V75" s="45">
        <v>29.1</v>
      </c>
      <c r="W75" s="45">
        <v>29.6</v>
      </c>
      <c r="X75" s="45">
        <v>28.1</v>
      </c>
      <c r="Y75" s="45">
        <v>24.2</v>
      </c>
      <c r="Z75" s="45">
        <v>0</v>
      </c>
      <c r="AA75" s="45">
        <v>0</v>
      </c>
      <c r="AB75" s="45">
        <v>25</v>
      </c>
      <c r="AC75" s="45">
        <v>25</v>
      </c>
      <c r="AD75" s="45">
        <v>25.4</v>
      </c>
      <c r="AE75" s="45">
        <v>23.8</v>
      </c>
      <c r="AF75" s="45">
        <v>0</v>
      </c>
      <c r="AG75" s="75"/>
      <c r="AH75" s="47">
        <f t="shared" ref="AH75:AH117" si="8">MAX(B75:AF75)</f>
        <v>40</v>
      </c>
      <c r="AI75" s="48">
        <f t="shared" ref="AI75:AI117" si="9">MIN(B75:AF75)</f>
        <v>0</v>
      </c>
      <c r="AK75" s="49"/>
    </row>
    <row r="76" spans="1:40" x14ac:dyDescent="0.25">
      <c r="A76" s="53" t="s">
        <v>84</v>
      </c>
      <c r="B76" s="77">
        <v>7</v>
      </c>
      <c r="C76" s="77">
        <v>7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/>
      <c r="Q76" s="77">
        <v>0</v>
      </c>
      <c r="R76" s="77">
        <v>0</v>
      </c>
      <c r="S76" s="77">
        <v>0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10</v>
      </c>
      <c r="AC76" s="77">
        <v>0</v>
      </c>
      <c r="AD76" s="77">
        <v>5</v>
      </c>
      <c r="AE76" s="77">
        <v>5</v>
      </c>
      <c r="AF76" s="77">
        <v>5</v>
      </c>
      <c r="AG76" s="75"/>
      <c r="AH76" s="47">
        <f t="shared" si="8"/>
        <v>10</v>
      </c>
      <c r="AI76" s="48">
        <f t="shared" si="9"/>
        <v>0</v>
      </c>
      <c r="AK76" s="49"/>
    </row>
    <row r="77" spans="1:40" ht="15.75" thickBot="1" x14ac:dyDescent="0.3">
      <c r="A77" s="53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/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8"/>
        <v>0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0</v>
      </c>
      <c r="C78" s="77">
        <v>0</v>
      </c>
      <c r="D78" s="77">
        <v>0</v>
      </c>
      <c r="E78" s="77">
        <v>2</v>
      </c>
      <c r="F78" s="77">
        <v>2</v>
      </c>
      <c r="G78" s="77">
        <v>2</v>
      </c>
      <c r="H78" s="77">
        <v>2</v>
      </c>
      <c r="I78" s="77">
        <v>2</v>
      </c>
      <c r="J78" s="77">
        <v>2</v>
      </c>
      <c r="K78" s="77">
        <v>2</v>
      </c>
      <c r="L78" s="77">
        <v>2</v>
      </c>
      <c r="M78" s="77">
        <v>2</v>
      </c>
      <c r="N78" s="77">
        <v>2</v>
      </c>
      <c r="O78" s="77">
        <v>2</v>
      </c>
      <c r="P78" s="77"/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8</v>
      </c>
      <c r="AC78" s="77">
        <v>8</v>
      </c>
      <c r="AD78" s="77">
        <v>8</v>
      </c>
      <c r="AE78" s="77">
        <v>8</v>
      </c>
      <c r="AF78" s="77">
        <v>8</v>
      </c>
      <c r="AG78" s="75"/>
      <c r="AH78" s="47">
        <f t="shared" si="8"/>
        <v>8</v>
      </c>
      <c r="AI78" s="48">
        <f t="shared" si="9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/>
      <c r="Q79" s="77">
        <v>0</v>
      </c>
      <c r="R79" s="77">
        <v>0</v>
      </c>
      <c r="S79" s="77">
        <v>0</v>
      </c>
      <c r="T79" s="77">
        <v>5</v>
      </c>
      <c r="U79" s="77">
        <v>5</v>
      </c>
      <c r="V79" s="77">
        <v>1.5</v>
      </c>
      <c r="W79" s="77">
        <v>1.5</v>
      </c>
      <c r="X79" s="77">
        <v>1.5</v>
      </c>
      <c r="Y79" s="77">
        <v>1.5</v>
      </c>
      <c r="Z79" s="77">
        <v>1.5</v>
      </c>
      <c r="AA79" s="77">
        <v>1.5</v>
      </c>
      <c r="AB79" s="77">
        <v>2</v>
      </c>
      <c r="AC79" s="77">
        <v>2</v>
      </c>
      <c r="AD79" s="77">
        <v>2</v>
      </c>
      <c r="AE79" s="77">
        <v>2</v>
      </c>
      <c r="AF79" s="77">
        <v>2</v>
      </c>
      <c r="AG79" s="75"/>
      <c r="AH79" s="47">
        <f t="shared" si="8"/>
        <v>5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/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8"/>
        <v>0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f t="shared" ref="B82:AF82" si="10">SUMIF(B71:B81,"&gt;0")</f>
        <v>181</v>
      </c>
      <c r="C82" s="60">
        <f t="shared" si="10"/>
        <v>138</v>
      </c>
      <c r="D82" s="60">
        <f t="shared" si="10"/>
        <v>136</v>
      </c>
      <c r="E82" s="60">
        <f t="shared" si="10"/>
        <v>137.19999999999999</v>
      </c>
      <c r="F82" s="60">
        <f t="shared" si="10"/>
        <v>137.19999999999999</v>
      </c>
      <c r="G82" s="60">
        <f t="shared" si="10"/>
        <v>118</v>
      </c>
      <c r="H82" s="60">
        <f t="shared" si="10"/>
        <v>142.6</v>
      </c>
      <c r="I82" s="60">
        <f t="shared" si="10"/>
        <v>154.69999999999999</v>
      </c>
      <c r="J82" s="60">
        <f t="shared" si="10"/>
        <v>279.7</v>
      </c>
      <c r="K82" s="60">
        <f t="shared" si="10"/>
        <v>334.7</v>
      </c>
      <c r="L82" s="60">
        <f t="shared" si="10"/>
        <v>354</v>
      </c>
      <c r="M82" s="60">
        <f t="shared" si="10"/>
        <v>348.5</v>
      </c>
      <c r="N82" s="60">
        <f t="shared" si="10"/>
        <v>391.8</v>
      </c>
      <c r="O82" s="60">
        <f t="shared" si="10"/>
        <v>409.9</v>
      </c>
      <c r="P82" s="60">
        <f t="shared" si="10"/>
        <v>0</v>
      </c>
      <c r="Q82" s="60">
        <f t="shared" si="10"/>
        <v>390</v>
      </c>
      <c r="R82" s="60">
        <f t="shared" si="10"/>
        <v>397.9</v>
      </c>
      <c r="S82" s="60">
        <f t="shared" si="10"/>
        <v>463.2</v>
      </c>
      <c r="T82" s="60">
        <f t="shared" si="10"/>
        <v>512.9</v>
      </c>
      <c r="U82" s="60">
        <f t="shared" si="10"/>
        <v>495.09999999999997</v>
      </c>
      <c r="V82" s="60">
        <f t="shared" si="10"/>
        <v>478</v>
      </c>
      <c r="W82" s="60">
        <f t="shared" si="10"/>
        <v>488.1</v>
      </c>
      <c r="X82" s="60">
        <f t="shared" si="10"/>
        <v>480.70000000000005</v>
      </c>
      <c r="Y82" s="60">
        <f t="shared" si="10"/>
        <v>461.3</v>
      </c>
      <c r="Z82" s="60">
        <f t="shared" si="10"/>
        <v>479.1</v>
      </c>
      <c r="AA82" s="60">
        <f t="shared" si="10"/>
        <v>510.7</v>
      </c>
      <c r="AB82" s="60">
        <f t="shared" si="10"/>
        <v>522.79999999999995</v>
      </c>
      <c r="AC82" s="60">
        <f t="shared" si="10"/>
        <v>504.9</v>
      </c>
      <c r="AD82" s="60">
        <f t="shared" si="10"/>
        <v>508.7</v>
      </c>
      <c r="AE82" s="60">
        <f t="shared" si="10"/>
        <v>481.3</v>
      </c>
      <c r="AF82" s="60">
        <f t="shared" si="10"/>
        <v>430</v>
      </c>
      <c r="AG82" s="88">
        <f>SUM(AG71:AG81)</f>
        <v>0</v>
      </c>
      <c r="AH82" s="47">
        <f t="shared" si="8"/>
        <v>522.79999999999995</v>
      </c>
      <c r="AI82" s="48">
        <f t="shared" si="9"/>
        <v>0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f t="shared" ref="B87:AG87" si="11">B48+B52+B70+B66+B82+B86</f>
        <v>944.24</v>
      </c>
      <c r="C87" s="95">
        <f t="shared" si="11"/>
        <v>906.14</v>
      </c>
      <c r="D87" s="95">
        <f t="shared" si="11"/>
        <v>888.14</v>
      </c>
      <c r="E87" s="95">
        <f t="shared" si="11"/>
        <v>944.24</v>
      </c>
      <c r="F87" s="95">
        <f t="shared" si="11"/>
        <v>944.24</v>
      </c>
      <c r="G87" s="95">
        <f t="shared" si="11"/>
        <v>942.83999999999992</v>
      </c>
      <c r="H87" s="95">
        <f t="shared" si="11"/>
        <v>1013.64</v>
      </c>
      <c r="I87" s="95">
        <f t="shared" si="11"/>
        <v>1025.74</v>
      </c>
      <c r="J87" s="95">
        <f t="shared" si="11"/>
        <v>1084.3399999999999</v>
      </c>
      <c r="K87" s="95">
        <f t="shared" si="11"/>
        <v>1139.3399999999999</v>
      </c>
      <c r="L87" s="95">
        <f t="shared" si="11"/>
        <v>1158.6399999999999</v>
      </c>
      <c r="M87" s="95">
        <f t="shared" si="11"/>
        <v>1157.04</v>
      </c>
      <c r="N87" s="95">
        <f t="shared" si="11"/>
        <v>1241.3399999999999</v>
      </c>
      <c r="O87" s="95">
        <f t="shared" si="11"/>
        <v>1293.6399999999999</v>
      </c>
      <c r="P87" s="95">
        <f t="shared" si="11"/>
        <v>3.54</v>
      </c>
      <c r="Q87" s="95">
        <f t="shared" si="11"/>
        <v>1408.2400000000002</v>
      </c>
      <c r="R87" s="95">
        <f t="shared" si="11"/>
        <v>1413.3400000000001</v>
      </c>
      <c r="S87" s="95">
        <f t="shared" si="11"/>
        <v>1458.04</v>
      </c>
      <c r="T87" s="95">
        <f t="shared" si="11"/>
        <v>1494.3400000000001</v>
      </c>
      <c r="U87" s="95">
        <f t="shared" si="11"/>
        <v>1467.04</v>
      </c>
      <c r="V87" s="95">
        <f t="shared" si="11"/>
        <v>1433.54</v>
      </c>
      <c r="W87" s="95">
        <f t="shared" si="11"/>
        <v>1431.94</v>
      </c>
      <c r="X87" s="95">
        <f t="shared" si="11"/>
        <v>1351.7400000000002</v>
      </c>
      <c r="Y87" s="95">
        <f t="shared" si="11"/>
        <v>1338.8400000000001</v>
      </c>
      <c r="Z87" s="95">
        <f t="shared" si="11"/>
        <v>1385.2400000000002</v>
      </c>
      <c r="AA87" s="95">
        <f t="shared" si="11"/>
        <v>1475.8400000000001</v>
      </c>
      <c r="AB87" s="95">
        <f t="shared" si="11"/>
        <v>1468.94</v>
      </c>
      <c r="AC87" s="95">
        <f t="shared" si="11"/>
        <v>1412.44</v>
      </c>
      <c r="AD87" s="95">
        <f t="shared" si="11"/>
        <v>1377.0400000000002</v>
      </c>
      <c r="AE87" s="95">
        <f t="shared" si="11"/>
        <v>1315.54</v>
      </c>
      <c r="AF87" s="95">
        <f t="shared" si="11"/>
        <v>1337.94</v>
      </c>
      <c r="AG87" s="61">
        <f t="shared" si="11"/>
        <v>1624.3100000000002</v>
      </c>
      <c r="AH87" s="47">
        <f>MAX(B87:AF87)</f>
        <v>1494.3400000000001</v>
      </c>
      <c r="AI87" s="48">
        <f>MIN(B87:AF87)</f>
        <v>3.54</v>
      </c>
    </row>
    <row r="88" spans="1:40" ht="15.75" thickBot="1" x14ac:dyDescent="0.3">
      <c r="A88" s="96" t="s">
        <v>99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>
        <v>150</v>
      </c>
      <c r="Y88" s="97">
        <v>150</v>
      </c>
      <c r="Z88" s="97">
        <v>150</v>
      </c>
      <c r="AA88" s="97">
        <v>100</v>
      </c>
      <c r="AB88" s="97">
        <v>100</v>
      </c>
      <c r="AC88" s="97">
        <v>100</v>
      </c>
      <c r="AD88" s="97">
        <v>50</v>
      </c>
      <c r="AE88" s="97">
        <v>150</v>
      </c>
      <c r="AF88" s="97"/>
      <c r="AG88" s="88"/>
      <c r="AH88" s="47">
        <f t="shared" si="8"/>
        <v>150</v>
      </c>
      <c r="AI88" s="48">
        <f t="shared" si="9"/>
        <v>50</v>
      </c>
    </row>
    <row r="89" spans="1:40" ht="15.75" thickBot="1" x14ac:dyDescent="0.3">
      <c r="A89" s="74" t="s">
        <v>100</v>
      </c>
      <c r="B89" s="95">
        <f t="shared" ref="B89:AF89" si="12">B87+B88</f>
        <v>944.24</v>
      </c>
      <c r="C89" s="95">
        <f t="shared" si="12"/>
        <v>906.14</v>
      </c>
      <c r="D89" s="95">
        <f t="shared" si="12"/>
        <v>888.14</v>
      </c>
      <c r="E89" s="95">
        <f t="shared" si="12"/>
        <v>944.24</v>
      </c>
      <c r="F89" s="95">
        <f t="shared" si="12"/>
        <v>944.24</v>
      </c>
      <c r="G89" s="95">
        <f t="shared" si="12"/>
        <v>942.83999999999992</v>
      </c>
      <c r="H89" s="95">
        <f t="shared" si="12"/>
        <v>1013.64</v>
      </c>
      <c r="I89" s="95">
        <f t="shared" si="12"/>
        <v>1025.74</v>
      </c>
      <c r="J89" s="95">
        <f t="shared" si="12"/>
        <v>1084.3399999999999</v>
      </c>
      <c r="K89" s="95">
        <f t="shared" si="12"/>
        <v>1139.3399999999999</v>
      </c>
      <c r="L89" s="95">
        <f t="shared" si="12"/>
        <v>1158.6399999999999</v>
      </c>
      <c r="M89" s="95">
        <f t="shared" si="12"/>
        <v>1157.04</v>
      </c>
      <c r="N89" s="95">
        <f t="shared" si="12"/>
        <v>1241.3399999999999</v>
      </c>
      <c r="O89" s="95">
        <f t="shared" si="12"/>
        <v>1293.6399999999999</v>
      </c>
      <c r="P89" s="95">
        <f t="shared" si="12"/>
        <v>3.54</v>
      </c>
      <c r="Q89" s="95">
        <f t="shared" si="12"/>
        <v>1408.2400000000002</v>
      </c>
      <c r="R89" s="95">
        <f t="shared" si="12"/>
        <v>1413.3400000000001</v>
      </c>
      <c r="S89" s="95">
        <f t="shared" si="12"/>
        <v>1458.04</v>
      </c>
      <c r="T89" s="95">
        <f t="shared" si="12"/>
        <v>1494.3400000000001</v>
      </c>
      <c r="U89" s="95">
        <f t="shared" si="12"/>
        <v>1467.04</v>
      </c>
      <c r="V89" s="95">
        <f t="shared" si="12"/>
        <v>1433.54</v>
      </c>
      <c r="W89" s="95">
        <f t="shared" si="12"/>
        <v>1431.94</v>
      </c>
      <c r="X89" s="95">
        <f t="shared" si="12"/>
        <v>1501.7400000000002</v>
      </c>
      <c r="Y89" s="95">
        <f t="shared" si="12"/>
        <v>1488.8400000000001</v>
      </c>
      <c r="Z89" s="95">
        <f t="shared" si="12"/>
        <v>1535.2400000000002</v>
      </c>
      <c r="AA89" s="95">
        <f t="shared" si="12"/>
        <v>1575.8400000000001</v>
      </c>
      <c r="AB89" s="95">
        <f t="shared" si="12"/>
        <v>1568.94</v>
      </c>
      <c r="AC89" s="95">
        <f t="shared" si="12"/>
        <v>1512.44</v>
      </c>
      <c r="AD89" s="95">
        <f t="shared" si="12"/>
        <v>1427.0400000000002</v>
      </c>
      <c r="AE89" s="95">
        <f t="shared" si="12"/>
        <v>1465.54</v>
      </c>
      <c r="AF89" s="95">
        <f t="shared" si="12"/>
        <v>1337.94</v>
      </c>
      <c r="AG89" s="88">
        <f>AG86+AG82+AG70+AG66+AG48+AG88</f>
        <v>1086.21</v>
      </c>
      <c r="AH89" s="47">
        <f t="shared" si="8"/>
        <v>1575.8400000000001</v>
      </c>
      <c r="AI89" s="48">
        <f t="shared" si="9"/>
        <v>3.54</v>
      </c>
    </row>
    <row r="90" spans="1:40" ht="15.75" thickBot="1" x14ac:dyDescent="0.3">
      <c r="A90" s="74" t="s">
        <v>101</v>
      </c>
      <c r="B90" s="95">
        <f t="shared" ref="B90:AF90" si="13">B89-B97</f>
        <v>944.24</v>
      </c>
      <c r="C90" s="95">
        <f t="shared" si="13"/>
        <v>906.14</v>
      </c>
      <c r="D90" s="95">
        <f t="shared" si="13"/>
        <v>888.14</v>
      </c>
      <c r="E90" s="95">
        <f t="shared" si="13"/>
        <v>944.24</v>
      </c>
      <c r="F90" s="95">
        <f t="shared" si="13"/>
        <v>944.24</v>
      </c>
      <c r="G90" s="95">
        <f t="shared" si="13"/>
        <v>942.83999999999992</v>
      </c>
      <c r="H90" s="95">
        <f t="shared" si="13"/>
        <v>1013.64</v>
      </c>
      <c r="I90" s="95">
        <f t="shared" si="13"/>
        <v>1025.74</v>
      </c>
      <c r="J90" s="95">
        <f t="shared" si="13"/>
        <v>1084.3399999999999</v>
      </c>
      <c r="K90" s="95">
        <f t="shared" si="13"/>
        <v>1139.3399999999999</v>
      </c>
      <c r="L90" s="95">
        <f t="shared" si="13"/>
        <v>1158.6399999999999</v>
      </c>
      <c r="M90" s="95">
        <f t="shared" si="13"/>
        <v>1157.04</v>
      </c>
      <c r="N90" s="95">
        <f t="shared" si="13"/>
        <v>1241.3399999999999</v>
      </c>
      <c r="O90" s="95">
        <f t="shared" si="13"/>
        <v>1293.6399999999999</v>
      </c>
      <c r="P90" s="95">
        <f t="shared" si="13"/>
        <v>3.54</v>
      </c>
      <c r="Q90" s="95">
        <f t="shared" si="13"/>
        <v>1408.2400000000002</v>
      </c>
      <c r="R90" s="95">
        <f t="shared" si="13"/>
        <v>1413.3400000000001</v>
      </c>
      <c r="S90" s="95">
        <f t="shared" si="13"/>
        <v>1458.04</v>
      </c>
      <c r="T90" s="95">
        <f t="shared" si="13"/>
        <v>1494.3400000000001</v>
      </c>
      <c r="U90" s="95">
        <f t="shared" si="13"/>
        <v>1467.04</v>
      </c>
      <c r="V90" s="95">
        <f t="shared" si="13"/>
        <v>1433.54</v>
      </c>
      <c r="W90" s="95">
        <f t="shared" si="13"/>
        <v>1431.94</v>
      </c>
      <c r="X90" s="95"/>
      <c r="Y90" s="95">
        <f t="shared" si="13"/>
        <v>1488.8400000000001</v>
      </c>
      <c r="Z90" s="95">
        <f t="shared" si="13"/>
        <v>1535.2400000000002</v>
      </c>
      <c r="AA90" s="95">
        <f t="shared" si="13"/>
        <v>1575.8400000000001</v>
      </c>
      <c r="AB90" s="95">
        <f t="shared" si="13"/>
        <v>1568.94</v>
      </c>
      <c r="AC90" s="95">
        <f t="shared" si="13"/>
        <v>1512.44</v>
      </c>
      <c r="AD90" s="95">
        <f t="shared" si="13"/>
        <v>1427.0400000000002</v>
      </c>
      <c r="AE90" s="95">
        <f t="shared" si="13"/>
        <v>1465.54</v>
      </c>
      <c r="AF90" s="95">
        <f t="shared" si="13"/>
        <v>1337.94</v>
      </c>
      <c r="AG90" s="88"/>
      <c r="AH90" s="47">
        <f t="shared" si="8"/>
        <v>1575.8400000000001</v>
      </c>
      <c r="AI90" s="48">
        <f t="shared" si="9"/>
        <v>3.54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 t="s">
        <v>255</v>
      </c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f t="shared" ref="B98:AF98" si="14">B82-B97</f>
        <v>181</v>
      </c>
      <c r="C98" s="60">
        <f t="shared" si="14"/>
        <v>138</v>
      </c>
      <c r="D98" s="60">
        <f t="shared" si="14"/>
        <v>136</v>
      </c>
      <c r="E98" s="60">
        <f t="shared" si="14"/>
        <v>137.19999999999999</v>
      </c>
      <c r="F98" s="60">
        <f t="shared" si="14"/>
        <v>137.19999999999999</v>
      </c>
      <c r="G98" s="60">
        <f t="shared" si="14"/>
        <v>118</v>
      </c>
      <c r="H98" s="60">
        <f t="shared" si="14"/>
        <v>142.6</v>
      </c>
      <c r="I98" s="60">
        <f t="shared" si="14"/>
        <v>154.69999999999999</v>
      </c>
      <c r="J98" s="60">
        <f t="shared" si="14"/>
        <v>279.7</v>
      </c>
      <c r="K98" s="60">
        <f t="shared" si="14"/>
        <v>334.7</v>
      </c>
      <c r="L98" s="60">
        <f t="shared" si="14"/>
        <v>354</v>
      </c>
      <c r="M98" s="60">
        <f t="shared" si="14"/>
        <v>348.5</v>
      </c>
      <c r="N98" s="60">
        <f t="shared" si="14"/>
        <v>391.8</v>
      </c>
      <c r="O98" s="60">
        <f t="shared" si="14"/>
        <v>409.9</v>
      </c>
      <c r="P98" s="60">
        <f t="shared" si="14"/>
        <v>0</v>
      </c>
      <c r="Q98" s="60">
        <f t="shared" si="14"/>
        <v>390</v>
      </c>
      <c r="R98" s="60">
        <f t="shared" si="14"/>
        <v>397.9</v>
      </c>
      <c r="S98" s="60">
        <f t="shared" si="14"/>
        <v>463.2</v>
      </c>
      <c r="T98" s="60">
        <f t="shared" si="14"/>
        <v>512.9</v>
      </c>
      <c r="U98" s="60">
        <f t="shared" si="14"/>
        <v>495.09999999999997</v>
      </c>
      <c r="V98" s="60">
        <f t="shared" si="14"/>
        <v>478</v>
      </c>
      <c r="W98" s="60">
        <f t="shared" si="14"/>
        <v>488.1</v>
      </c>
      <c r="X98" s="60"/>
      <c r="Y98" s="60">
        <f t="shared" si="14"/>
        <v>461.3</v>
      </c>
      <c r="Z98" s="60">
        <f t="shared" si="14"/>
        <v>479.1</v>
      </c>
      <c r="AA98" s="60">
        <f t="shared" si="14"/>
        <v>510.7</v>
      </c>
      <c r="AB98" s="60">
        <f t="shared" si="14"/>
        <v>522.79999999999995</v>
      </c>
      <c r="AC98" s="60">
        <f t="shared" si="14"/>
        <v>504.9</v>
      </c>
      <c r="AD98" s="60">
        <f t="shared" si="14"/>
        <v>508.7</v>
      </c>
      <c r="AE98" s="60">
        <f t="shared" si="14"/>
        <v>481.3</v>
      </c>
      <c r="AF98" s="60">
        <f t="shared" si="14"/>
        <v>430</v>
      </c>
      <c r="AG98" s="88"/>
      <c r="AH98" s="47">
        <f t="shared" si="8"/>
        <v>522.79999999999995</v>
      </c>
      <c r="AI98" s="48">
        <f t="shared" si="9"/>
        <v>0</v>
      </c>
    </row>
    <row r="99" spans="1:37" x14ac:dyDescent="0.25">
      <c r="A99" s="100" t="s">
        <v>107</v>
      </c>
      <c r="B99" s="101">
        <v>50.7</v>
      </c>
      <c r="C99" s="101">
        <v>50.04</v>
      </c>
      <c r="D99" s="101">
        <v>50</v>
      </c>
      <c r="E99" s="101">
        <v>50.01</v>
      </c>
      <c r="F99" s="101">
        <v>49.98</v>
      </c>
      <c r="G99" s="101">
        <v>50.02</v>
      </c>
      <c r="H99" s="101">
        <v>49.95</v>
      </c>
      <c r="I99" s="101">
        <v>50</v>
      </c>
      <c r="J99" s="101">
        <v>49.95</v>
      </c>
      <c r="K99" s="101">
        <v>50.03</v>
      </c>
      <c r="L99" s="101">
        <v>49.94</v>
      </c>
      <c r="M99" s="101">
        <v>49.93</v>
      </c>
      <c r="N99" s="101">
        <v>50.04</v>
      </c>
      <c r="O99" s="101">
        <v>49.938000000000002</v>
      </c>
      <c r="P99" s="101"/>
      <c r="Q99" s="101">
        <v>50.113999999999997</v>
      </c>
      <c r="R99" s="101">
        <v>50.113999999999997</v>
      </c>
      <c r="S99" s="101">
        <v>49.948999999999998</v>
      </c>
      <c r="T99" s="101">
        <v>50.073999999999998</v>
      </c>
      <c r="U99" s="101">
        <v>50.061</v>
      </c>
      <c r="V99" s="101">
        <v>50.116</v>
      </c>
      <c r="W99" s="101">
        <v>49.997</v>
      </c>
      <c r="X99" s="101">
        <v>50.104999999999997</v>
      </c>
      <c r="Y99" s="101">
        <v>50.142000000000003</v>
      </c>
      <c r="Z99" s="101">
        <v>50.122999999999998</v>
      </c>
      <c r="AA99" s="101">
        <v>49.841999999999999</v>
      </c>
      <c r="AB99" s="101">
        <v>50.031999999999996</v>
      </c>
      <c r="AC99" s="101">
        <v>49.973999999999997</v>
      </c>
      <c r="AD99" s="101">
        <v>50.024000000000001</v>
      </c>
      <c r="AE99" s="101">
        <v>49.978000000000002</v>
      </c>
      <c r="AF99" s="101">
        <v>49.96</v>
      </c>
      <c r="AG99" s="102"/>
      <c r="AH99" s="47">
        <f t="shared" si="8"/>
        <v>50.7</v>
      </c>
      <c r="AI99" s="48">
        <f t="shared" si="9"/>
        <v>49.841999999999999</v>
      </c>
    </row>
    <row r="100" spans="1:37" x14ac:dyDescent="0.25">
      <c r="A100" s="103" t="s">
        <v>108</v>
      </c>
      <c r="B100" s="65">
        <v>127</v>
      </c>
      <c r="C100" s="65">
        <v>128</v>
      </c>
      <c r="D100" s="65">
        <v>128</v>
      </c>
      <c r="E100" s="65">
        <v>127.5</v>
      </c>
      <c r="F100" s="65">
        <v>127.5</v>
      </c>
      <c r="G100" s="65">
        <v>127.3</v>
      </c>
      <c r="H100" s="65">
        <v>126</v>
      </c>
      <c r="I100" s="65">
        <v>126.8</v>
      </c>
      <c r="J100" s="65">
        <v>126</v>
      </c>
      <c r="K100" s="65">
        <v>124.9</v>
      </c>
      <c r="L100" s="65">
        <v>124.8</v>
      </c>
      <c r="M100" s="65">
        <v>124.2</v>
      </c>
      <c r="N100" s="65">
        <v>123</v>
      </c>
      <c r="O100" s="65">
        <v>121.9</v>
      </c>
      <c r="P100" s="65"/>
      <c r="Q100" s="65">
        <v>121</v>
      </c>
      <c r="R100" s="65">
        <v>121</v>
      </c>
      <c r="S100" s="65">
        <v>120.4</v>
      </c>
      <c r="T100" s="65">
        <v>118.5</v>
      </c>
      <c r="U100" s="65">
        <v>121.4</v>
      </c>
      <c r="V100" s="65">
        <v>125.9</v>
      </c>
      <c r="W100" s="65">
        <v>125.9</v>
      </c>
      <c r="X100" s="65">
        <v>126.9</v>
      </c>
      <c r="Y100" s="65">
        <v>127.7</v>
      </c>
      <c r="Z100" s="65">
        <v>124.8</v>
      </c>
      <c r="AA100" s="65">
        <v>122.5</v>
      </c>
      <c r="AB100" s="65">
        <v>125.1</v>
      </c>
      <c r="AC100" s="65">
        <v>125.8</v>
      </c>
      <c r="AD100" s="65">
        <v>126.3</v>
      </c>
      <c r="AE100" s="65">
        <v>124.4</v>
      </c>
      <c r="AF100" s="65">
        <v>126.2</v>
      </c>
      <c r="AG100" s="104"/>
      <c r="AH100" s="47">
        <f t="shared" si="8"/>
        <v>128</v>
      </c>
      <c r="AI100" s="48">
        <f t="shared" si="9"/>
        <v>118.5</v>
      </c>
    </row>
    <row r="101" spans="1:37" x14ac:dyDescent="0.25">
      <c r="A101" s="103" t="s">
        <v>109</v>
      </c>
      <c r="B101" s="65">
        <v>131.69999999999999</v>
      </c>
      <c r="C101" s="65">
        <v>132</v>
      </c>
      <c r="D101" s="65">
        <v>132</v>
      </c>
      <c r="E101" s="65">
        <v>131.80000000000001</v>
      </c>
      <c r="F101" s="65">
        <v>131.80000000000001</v>
      </c>
      <c r="G101" s="65">
        <v>131.30000000000001</v>
      </c>
      <c r="H101" s="65">
        <v>130</v>
      </c>
      <c r="I101" s="65">
        <v>130.4</v>
      </c>
      <c r="J101" s="65">
        <v>130</v>
      </c>
      <c r="K101" s="65">
        <v>127.7</v>
      </c>
      <c r="L101" s="65">
        <v>127.8</v>
      </c>
      <c r="M101" s="65">
        <v>127</v>
      </c>
      <c r="N101" s="65">
        <v>125.8</v>
      </c>
      <c r="O101" s="65">
        <v>121.4</v>
      </c>
      <c r="P101" s="65"/>
      <c r="Q101" s="65">
        <v>126.3</v>
      </c>
      <c r="R101" s="65">
        <v>126.3</v>
      </c>
      <c r="S101" s="65">
        <v>125.7</v>
      </c>
      <c r="T101" s="65">
        <v>125.1</v>
      </c>
      <c r="U101" s="65">
        <v>127</v>
      </c>
      <c r="V101" s="65">
        <v>128.80000000000001</v>
      </c>
      <c r="W101" s="65">
        <v>128.69999999999999</v>
      </c>
      <c r="X101" s="65">
        <v>129.6</v>
      </c>
      <c r="Y101" s="65">
        <v>131.19999999999999</v>
      </c>
      <c r="Z101" s="65">
        <v>128</v>
      </c>
      <c r="AA101" s="65">
        <v>126</v>
      </c>
      <c r="AB101" s="65">
        <v>129.19999999999999</v>
      </c>
      <c r="AC101" s="65">
        <v>129.69999999999999</v>
      </c>
      <c r="AD101" s="65">
        <v>131.5</v>
      </c>
      <c r="AE101" s="65">
        <v>129.5</v>
      </c>
      <c r="AF101" s="65">
        <v>130.5</v>
      </c>
      <c r="AG101" s="104"/>
      <c r="AH101" s="47">
        <f t="shared" si="8"/>
        <v>132</v>
      </c>
      <c r="AI101" s="48">
        <f t="shared" si="9"/>
        <v>121.4</v>
      </c>
    </row>
    <row r="102" spans="1:37" x14ac:dyDescent="0.25">
      <c r="A102" s="103" t="s">
        <v>110</v>
      </c>
      <c r="B102" s="65">
        <v>131</v>
      </c>
      <c r="C102" s="65">
        <v>134</v>
      </c>
      <c r="D102" s="65">
        <v>134</v>
      </c>
      <c r="E102" s="65">
        <v>134.19999999999999</v>
      </c>
      <c r="F102" s="65">
        <v>134.19999999999999</v>
      </c>
      <c r="G102" s="65">
        <v>133.1</v>
      </c>
      <c r="H102" s="65">
        <v>131.9</v>
      </c>
      <c r="I102" s="65">
        <v>130.6</v>
      </c>
      <c r="J102" s="65">
        <v>131.9</v>
      </c>
      <c r="K102" s="65">
        <v>129.4</v>
      </c>
      <c r="L102" s="65">
        <v>128.80000000000001</v>
      </c>
      <c r="M102" s="65">
        <v>125</v>
      </c>
      <c r="N102" s="65">
        <v>127.3</v>
      </c>
      <c r="O102" s="65">
        <v>133.69999999999999</v>
      </c>
      <c r="P102" s="65"/>
      <c r="Q102" s="65">
        <v>125.6</v>
      </c>
      <c r="R102" s="65">
        <v>125.6</v>
      </c>
      <c r="S102" s="65">
        <v>124.7</v>
      </c>
      <c r="T102" s="65">
        <v>125.1</v>
      </c>
      <c r="U102" s="65">
        <v>124.2</v>
      </c>
      <c r="V102" s="65">
        <v>129.6</v>
      </c>
      <c r="W102" s="65">
        <v>129.19999999999999</v>
      </c>
      <c r="X102" s="65">
        <v>128.69999999999999</v>
      </c>
      <c r="Y102" s="65">
        <v>130.69999999999999</v>
      </c>
      <c r="Z102" s="65">
        <v>126.8</v>
      </c>
      <c r="AA102" s="65">
        <v>125.1</v>
      </c>
      <c r="AB102" s="65">
        <v>129.5</v>
      </c>
      <c r="AC102" s="65">
        <v>126.1</v>
      </c>
      <c r="AD102" s="65">
        <v>126.1</v>
      </c>
      <c r="AE102" s="65">
        <v>126.3</v>
      </c>
      <c r="AF102" s="65">
        <v>127</v>
      </c>
      <c r="AG102" s="104"/>
      <c r="AH102" s="47">
        <f t="shared" si="8"/>
        <v>134.19999999999999</v>
      </c>
      <c r="AI102" s="48">
        <f t="shared" si="9"/>
        <v>124.2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>
        <v>131</v>
      </c>
      <c r="C104" s="106">
        <v>132</v>
      </c>
      <c r="D104" s="106">
        <v>132</v>
      </c>
      <c r="E104" s="106">
        <v>133.1</v>
      </c>
      <c r="F104" s="106">
        <v>133.1</v>
      </c>
      <c r="G104" s="106">
        <v>131.9</v>
      </c>
      <c r="H104" s="106">
        <v>131</v>
      </c>
      <c r="I104" s="106">
        <v>134</v>
      </c>
      <c r="J104" s="106">
        <v>131</v>
      </c>
      <c r="K104" s="106">
        <v>131.69999999999999</v>
      </c>
      <c r="L104" s="106">
        <v>130.5</v>
      </c>
      <c r="M104" s="106">
        <v>129.4</v>
      </c>
      <c r="N104" s="106">
        <v>130.80000000000001</v>
      </c>
      <c r="O104" s="106">
        <v>133.69999999999999</v>
      </c>
      <c r="P104" s="106"/>
      <c r="Q104" s="106">
        <v>129.69999999999999</v>
      </c>
      <c r="R104" s="106">
        <v>129.69999999999999</v>
      </c>
      <c r="S104" s="106">
        <v>133.6</v>
      </c>
      <c r="T104" s="106">
        <v>131.6</v>
      </c>
      <c r="U104" s="106">
        <v>135.1</v>
      </c>
      <c r="V104" s="106">
        <v>133</v>
      </c>
      <c r="W104" s="106">
        <v>131.30000000000001</v>
      </c>
      <c r="X104" s="106">
        <v>133.6</v>
      </c>
      <c r="Y104" s="106">
        <v>135.5</v>
      </c>
      <c r="Z104" s="106">
        <v>131.69999999999999</v>
      </c>
      <c r="AA104" s="106">
        <v>133.30000000000001</v>
      </c>
      <c r="AB104" s="106">
        <v>132.1</v>
      </c>
      <c r="AC104" s="106">
        <v>130.6</v>
      </c>
      <c r="AD104" s="106">
        <v>134.30000000000001</v>
      </c>
      <c r="AE104" s="106">
        <v>127.7</v>
      </c>
      <c r="AF104" s="106">
        <v>130.69999999999999</v>
      </c>
      <c r="AG104" s="107"/>
      <c r="AH104" s="47">
        <f t="shared" si="8"/>
        <v>135.5</v>
      </c>
      <c r="AI104" s="48">
        <f t="shared" si="9"/>
        <v>127.7</v>
      </c>
    </row>
    <row r="105" spans="1:37" x14ac:dyDescent="0.25">
      <c r="A105" s="103" t="s">
        <v>113</v>
      </c>
      <c r="B105" s="65">
        <v>132</v>
      </c>
      <c r="C105" s="65">
        <v>128</v>
      </c>
      <c r="D105" s="65">
        <v>128</v>
      </c>
      <c r="E105" s="65">
        <v>130.30000000000001</v>
      </c>
      <c r="F105" s="65">
        <v>130.30000000000001</v>
      </c>
      <c r="G105" s="65">
        <v>127.8</v>
      </c>
      <c r="H105" s="65">
        <v>127.2</v>
      </c>
      <c r="I105" s="65">
        <v>128</v>
      </c>
      <c r="J105" s="65">
        <v>127.2</v>
      </c>
      <c r="K105" s="65">
        <v>130.6</v>
      </c>
      <c r="L105" s="65">
        <v>130.6</v>
      </c>
      <c r="M105" s="65">
        <v>131.4</v>
      </c>
      <c r="N105" s="65">
        <v>128.4</v>
      </c>
      <c r="O105" s="65">
        <v>134.69999999999999</v>
      </c>
      <c r="P105" s="65"/>
      <c r="Q105" s="65">
        <v>128.6</v>
      </c>
      <c r="R105" s="65">
        <v>128.6</v>
      </c>
      <c r="S105" s="65">
        <v>126.5</v>
      </c>
      <c r="T105" s="65">
        <v>133.9</v>
      </c>
      <c r="U105" s="65">
        <v>127.9</v>
      </c>
      <c r="V105" s="65">
        <v>133.69999999999999</v>
      </c>
      <c r="W105" s="65">
        <v>133.4</v>
      </c>
      <c r="X105" s="65">
        <v>132.69999999999999</v>
      </c>
      <c r="Y105" s="65">
        <v>134.69999999999999</v>
      </c>
      <c r="Z105" s="65">
        <v>133.6</v>
      </c>
      <c r="AA105" s="65">
        <v>130</v>
      </c>
      <c r="AB105" s="65">
        <v>135.19999999999999</v>
      </c>
      <c r="AC105" s="65">
        <v>133.6</v>
      </c>
      <c r="AD105" s="65">
        <v>135.30000000000001</v>
      </c>
      <c r="AE105" s="65">
        <v>130</v>
      </c>
      <c r="AF105" s="65">
        <v>130.80000000000001</v>
      </c>
      <c r="AG105" s="104"/>
      <c r="AH105" s="47">
        <f t="shared" si="8"/>
        <v>135.30000000000001</v>
      </c>
      <c r="AI105" s="48">
        <f t="shared" si="9"/>
        <v>126.5</v>
      </c>
    </row>
    <row r="106" spans="1:37" ht="15.75" thickBot="1" x14ac:dyDescent="0.3">
      <c r="A106" s="103" t="s">
        <v>114</v>
      </c>
      <c r="B106" s="92">
        <v>65.8</v>
      </c>
      <c r="C106" s="92">
        <v>66.3</v>
      </c>
      <c r="D106" s="92">
        <v>66.3</v>
      </c>
      <c r="E106" s="92">
        <v>65.900000000000006</v>
      </c>
      <c r="F106" s="92">
        <v>65.900000000000006</v>
      </c>
      <c r="G106" s="92">
        <v>65.2</v>
      </c>
      <c r="H106" s="92">
        <v>64.900000000000006</v>
      </c>
      <c r="I106" s="92">
        <v>64.900000000000006</v>
      </c>
      <c r="J106" s="92">
        <v>64.900000000000006</v>
      </c>
      <c r="K106" s="92">
        <v>64.2</v>
      </c>
      <c r="L106" s="92">
        <v>64.2</v>
      </c>
      <c r="M106" s="92">
        <v>63.7</v>
      </c>
      <c r="N106" s="92">
        <v>63.4</v>
      </c>
      <c r="O106" s="92">
        <v>63.2</v>
      </c>
      <c r="P106" s="92"/>
      <c r="Q106" s="92">
        <v>63.2</v>
      </c>
      <c r="R106" s="92">
        <v>63.2</v>
      </c>
      <c r="S106" s="92">
        <v>62.9</v>
      </c>
      <c r="T106" s="92">
        <v>62.8</v>
      </c>
      <c r="U106" s="92">
        <v>63.3</v>
      </c>
      <c r="V106" s="92">
        <v>64.099999999999994</v>
      </c>
      <c r="W106" s="92">
        <v>64.3</v>
      </c>
      <c r="X106" s="92">
        <v>64.7</v>
      </c>
      <c r="Y106" s="92">
        <v>65.5</v>
      </c>
      <c r="Z106" s="92">
        <v>64</v>
      </c>
      <c r="AA106" s="92">
        <v>63.1</v>
      </c>
      <c r="AB106" s="92">
        <v>64.8</v>
      </c>
      <c r="AC106" s="92">
        <v>64.900000000000006</v>
      </c>
      <c r="AD106" s="92">
        <v>66</v>
      </c>
      <c r="AE106" s="92">
        <v>64.599999999999994</v>
      </c>
      <c r="AF106" s="92">
        <v>65.400000000000006</v>
      </c>
      <c r="AG106" s="108"/>
      <c r="AH106" s="47">
        <f t="shared" si="8"/>
        <v>66.3</v>
      </c>
      <c r="AI106" s="48">
        <f t="shared" si="9"/>
        <v>62.8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f t="shared" ref="B108:AF108" si="15">SUM(B18,B24,B27:B28,B56,B58:B59,B61,B63,B109:B113,B135,B141,B147,B156,B158,B170,B177,B180:B181,B188,B190,B192,B196:B198,B200:B202,B207,B213:B214,B216:B218,B226,B231)</f>
        <v>97.6</v>
      </c>
      <c r="C108" s="111">
        <f t="shared" si="15"/>
        <v>97.039999999999992</v>
      </c>
      <c r="D108" s="111">
        <f t="shared" si="15"/>
        <v>92.039999999999992</v>
      </c>
      <c r="E108" s="111">
        <f t="shared" si="15"/>
        <v>87.54000000000002</v>
      </c>
      <c r="F108" s="111">
        <f t="shared" si="15"/>
        <v>87.54000000000002</v>
      </c>
      <c r="G108" s="111">
        <f t="shared" si="15"/>
        <v>135.34</v>
      </c>
      <c r="H108" s="111">
        <f t="shared" si="15"/>
        <v>165.74</v>
      </c>
      <c r="I108" s="111">
        <f t="shared" si="15"/>
        <v>218.33999999999997</v>
      </c>
      <c r="J108" s="111">
        <f t="shared" si="15"/>
        <v>218.74</v>
      </c>
      <c r="K108" s="111">
        <f t="shared" si="15"/>
        <v>244.24</v>
      </c>
      <c r="L108" s="111">
        <f t="shared" si="15"/>
        <v>263.44</v>
      </c>
      <c r="M108" s="111">
        <f t="shared" si="15"/>
        <v>249.34000000000003</v>
      </c>
      <c r="N108" s="111">
        <f t="shared" si="15"/>
        <v>245.34</v>
      </c>
      <c r="O108" s="111">
        <f t="shared" si="15"/>
        <v>228.33999999999997</v>
      </c>
      <c r="P108" s="111">
        <v>42</v>
      </c>
      <c r="Q108" s="111">
        <f t="shared" si="15"/>
        <v>229.89999999999998</v>
      </c>
      <c r="R108" s="111">
        <f t="shared" si="15"/>
        <v>215.89999999999998</v>
      </c>
      <c r="S108" s="111">
        <f t="shared" si="15"/>
        <v>255.89999999999998</v>
      </c>
      <c r="T108" s="111">
        <f t="shared" si="15"/>
        <v>253.4</v>
      </c>
      <c r="U108" s="111">
        <f t="shared" si="15"/>
        <v>245.5</v>
      </c>
      <c r="V108" s="111">
        <f t="shared" si="15"/>
        <v>219.70000000000002</v>
      </c>
      <c r="W108" s="111">
        <f t="shared" si="15"/>
        <v>252.9</v>
      </c>
      <c r="X108" s="111">
        <f t="shared" si="15"/>
        <v>263.20000000000005</v>
      </c>
      <c r="Y108" s="111">
        <f t="shared" si="15"/>
        <v>270.10000000000002</v>
      </c>
      <c r="Z108" s="111">
        <f t="shared" si="15"/>
        <v>305.89999999999998</v>
      </c>
      <c r="AA108" s="111">
        <f t="shared" si="15"/>
        <v>317.70000000000005</v>
      </c>
      <c r="AB108" s="111">
        <f t="shared" si="15"/>
        <v>287.79999999999995</v>
      </c>
      <c r="AC108" s="111">
        <f t="shared" si="15"/>
        <v>270</v>
      </c>
      <c r="AD108" s="111">
        <f t="shared" si="15"/>
        <v>197.7</v>
      </c>
      <c r="AE108" s="111">
        <f t="shared" si="15"/>
        <v>124.10000000000002</v>
      </c>
      <c r="AF108" s="111">
        <f t="shared" si="15"/>
        <v>93.3</v>
      </c>
      <c r="AG108" s="112"/>
      <c r="AH108" s="47">
        <f t="shared" si="8"/>
        <v>317.70000000000005</v>
      </c>
      <c r="AI108" s="48">
        <f t="shared" si="9"/>
        <v>42</v>
      </c>
    </row>
    <row r="109" spans="1:37" x14ac:dyDescent="0.25">
      <c r="A109" s="100" t="s">
        <v>117</v>
      </c>
      <c r="B109" s="113">
        <v>40</v>
      </c>
      <c r="C109" s="113">
        <v>37</v>
      </c>
      <c r="D109" s="113">
        <v>26</v>
      </c>
      <c r="E109" s="113">
        <v>11.9</v>
      </c>
      <c r="F109" s="113">
        <v>11.9</v>
      </c>
      <c r="G109" s="113">
        <v>20.9</v>
      </c>
      <c r="H109" s="113">
        <v>28.4</v>
      </c>
      <c r="I109" s="113">
        <v>6.1</v>
      </c>
      <c r="J109" s="113">
        <v>6.1</v>
      </c>
      <c r="K109" s="113">
        <v>9.1</v>
      </c>
      <c r="L109" s="113">
        <v>20</v>
      </c>
      <c r="M109" s="113">
        <v>16.8</v>
      </c>
      <c r="N109" s="113">
        <v>10.8</v>
      </c>
      <c r="O109" s="113">
        <v>15.4</v>
      </c>
      <c r="P109" s="113"/>
      <c r="Q109" s="113">
        <v>28</v>
      </c>
      <c r="R109" s="113">
        <v>26.3</v>
      </c>
      <c r="S109" s="113">
        <v>63</v>
      </c>
      <c r="T109" s="113">
        <v>42</v>
      </c>
      <c r="U109" s="113">
        <v>50.1</v>
      </c>
      <c r="V109" s="113">
        <v>11</v>
      </c>
      <c r="W109" s="113">
        <v>9.3000000000000007</v>
      </c>
      <c r="X109" s="113">
        <v>14.7</v>
      </c>
      <c r="Y109" s="113">
        <v>12.8</v>
      </c>
      <c r="Z109" s="113">
        <v>27.4</v>
      </c>
      <c r="AA109" s="113">
        <v>38.200000000000003</v>
      </c>
      <c r="AB109" s="113">
        <v>33</v>
      </c>
      <c r="AC109" s="113">
        <v>28.6</v>
      </c>
      <c r="AD109" s="113">
        <v>17</v>
      </c>
      <c r="AE109" s="113">
        <v>22.2</v>
      </c>
      <c r="AF109" s="113">
        <v>-7.9</v>
      </c>
      <c r="AG109" s="114">
        <v>75</v>
      </c>
      <c r="AH109" s="47">
        <f t="shared" si="8"/>
        <v>63</v>
      </c>
      <c r="AI109" s="48">
        <f t="shared" si="9"/>
        <v>-7.9</v>
      </c>
    </row>
    <row r="110" spans="1:37" x14ac:dyDescent="0.25">
      <c r="A110" s="103" t="s">
        <v>118</v>
      </c>
      <c r="B110" s="115">
        <v>22</v>
      </c>
      <c r="C110" s="115">
        <v>21</v>
      </c>
      <c r="D110" s="115">
        <v>15</v>
      </c>
      <c r="E110" s="115">
        <v>23.4</v>
      </c>
      <c r="F110" s="115">
        <v>23.4</v>
      </c>
      <c r="G110" s="115">
        <v>36.1</v>
      </c>
      <c r="H110" s="115">
        <v>45.7</v>
      </c>
      <c r="I110" s="115">
        <v>9.4</v>
      </c>
      <c r="J110" s="115">
        <v>12</v>
      </c>
      <c r="K110" s="115">
        <v>13.8</v>
      </c>
      <c r="L110" s="115">
        <v>28.4</v>
      </c>
      <c r="M110" s="115">
        <v>26.1</v>
      </c>
      <c r="N110" s="115">
        <v>20</v>
      </c>
      <c r="O110" s="115">
        <v>29</v>
      </c>
      <c r="P110" s="115"/>
      <c r="Q110" s="115">
        <v>40</v>
      </c>
      <c r="R110" s="115">
        <v>42.2</v>
      </c>
      <c r="S110" s="115">
        <v>100</v>
      </c>
      <c r="T110" s="115">
        <v>71</v>
      </c>
      <c r="U110" s="115">
        <v>79.3</v>
      </c>
      <c r="V110" s="115">
        <v>-5.0999999999999996</v>
      </c>
      <c r="W110" s="115">
        <v>19</v>
      </c>
      <c r="X110" s="115">
        <v>24.8</v>
      </c>
      <c r="Y110" s="115">
        <v>18.3</v>
      </c>
      <c r="Z110" s="115">
        <v>40.799999999999997</v>
      </c>
      <c r="AA110" s="115">
        <v>58.3</v>
      </c>
      <c r="AB110" s="115">
        <v>47.6</v>
      </c>
      <c r="AC110" s="115">
        <v>42</v>
      </c>
      <c r="AD110" s="115">
        <v>25.9</v>
      </c>
      <c r="AE110" s="115">
        <v>32.4</v>
      </c>
      <c r="AF110" s="115">
        <v>-2.2000000000000002</v>
      </c>
      <c r="AG110" s="114">
        <v>240</v>
      </c>
      <c r="AH110" s="47">
        <f t="shared" si="8"/>
        <v>100</v>
      </c>
      <c r="AI110" s="48">
        <f t="shared" si="9"/>
        <v>-5.0999999999999996</v>
      </c>
    </row>
    <row r="111" spans="1:37" x14ac:dyDescent="0.25">
      <c r="A111" s="103" t="s">
        <v>119</v>
      </c>
      <c r="B111" s="115">
        <v>-85</v>
      </c>
      <c r="C111" s="115">
        <v>-90</v>
      </c>
      <c r="D111" s="115">
        <v>-83</v>
      </c>
      <c r="E111" s="115">
        <f>-43.1-46.3</f>
        <v>-89.4</v>
      </c>
      <c r="F111" s="115">
        <f>-43.1-46.3</f>
        <v>-89.4</v>
      </c>
      <c r="G111" s="115">
        <f>-37.2-39.9</f>
        <v>-77.099999999999994</v>
      </c>
      <c r="H111" s="115">
        <f>-34.6-37.6</f>
        <v>-72.2</v>
      </c>
      <c r="I111" s="115">
        <f>-10-10.7</f>
        <v>-20.7</v>
      </c>
      <c r="J111" s="115">
        <f>-10.6-11.1</f>
        <v>-21.7</v>
      </c>
      <c r="K111" s="115">
        <f>-7.5-8</f>
        <v>-15.5</v>
      </c>
      <c r="L111" s="115">
        <f>-9.2-9.9</f>
        <v>-19.100000000000001</v>
      </c>
      <c r="M111" s="115">
        <v>-24.7</v>
      </c>
      <c r="N111" s="115">
        <v>-23.9</v>
      </c>
      <c r="O111" s="115">
        <v>-42.2</v>
      </c>
      <c r="P111" s="115"/>
      <c r="Q111" s="115">
        <v>-95</v>
      </c>
      <c r="R111" s="115">
        <v>-101</v>
      </c>
      <c r="S111" s="115">
        <v>-120</v>
      </c>
      <c r="T111" s="115">
        <v>-87</v>
      </c>
      <c r="U111" s="115">
        <v>-107</v>
      </c>
      <c r="V111" s="115">
        <v>-25</v>
      </c>
      <c r="W111" s="115">
        <v>-16</v>
      </c>
      <c r="X111" s="115">
        <v>-9</v>
      </c>
      <c r="Y111" s="115">
        <v>8.3000000000000007</v>
      </c>
      <c r="Z111" s="115">
        <v>0.5</v>
      </c>
      <c r="AA111" s="115">
        <f>-10-12</f>
        <v>-22</v>
      </c>
      <c r="AB111" s="115">
        <v>-23</v>
      </c>
      <c r="AC111" s="115">
        <v>-32</v>
      </c>
      <c r="AD111" s="115">
        <v>-65</v>
      </c>
      <c r="AE111" s="115">
        <v>-82.5</v>
      </c>
      <c r="AF111" s="115">
        <f>-35.5-38.8</f>
        <v>-74.3</v>
      </c>
      <c r="AG111" s="114">
        <v>240</v>
      </c>
      <c r="AH111" s="47">
        <f t="shared" si="8"/>
        <v>8.3000000000000007</v>
      </c>
      <c r="AI111" s="48">
        <f t="shared" si="9"/>
        <v>-120</v>
      </c>
    </row>
    <row r="112" spans="1:37" x14ac:dyDescent="0.25">
      <c r="A112" s="103" t="s">
        <v>120</v>
      </c>
      <c r="B112" s="115">
        <v>-14</v>
      </c>
      <c r="C112" s="115">
        <v>-15</v>
      </c>
      <c r="D112" s="115">
        <v>-9</v>
      </c>
      <c r="E112" s="115">
        <v>-8.5</v>
      </c>
      <c r="F112" s="115">
        <v>-8.5</v>
      </c>
      <c r="G112" s="115">
        <v>-1.7</v>
      </c>
      <c r="H112" s="115">
        <v>2.9</v>
      </c>
      <c r="I112" s="115">
        <v>9.1</v>
      </c>
      <c r="J112" s="115">
        <v>11</v>
      </c>
      <c r="K112" s="115">
        <v>13.1</v>
      </c>
      <c r="L112" s="115">
        <v>18.399999999999999</v>
      </c>
      <c r="M112" s="115">
        <v>17.399999999999999</v>
      </c>
      <c r="N112" s="115">
        <v>19.100000000000001</v>
      </c>
      <c r="O112" s="115">
        <v>9.9</v>
      </c>
      <c r="P112" s="115"/>
      <c r="Q112" s="115">
        <v>25</v>
      </c>
      <c r="R112" s="115">
        <v>19.8</v>
      </c>
      <c r="S112" s="115">
        <v>3</v>
      </c>
      <c r="T112" s="115">
        <v>14</v>
      </c>
      <c r="U112" s="115">
        <v>9.4</v>
      </c>
      <c r="V112" s="115">
        <v>15</v>
      </c>
      <c r="W112" s="115">
        <v>17</v>
      </c>
      <c r="X112" s="115">
        <v>16</v>
      </c>
      <c r="Y112" s="115">
        <v>18.399999999999999</v>
      </c>
      <c r="Z112" s="115">
        <v>20.100000000000001</v>
      </c>
      <c r="AA112" s="115">
        <v>17.100000000000001</v>
      </c>
      <c r="AB112" s="115">
        <v>15.1</v>
      </c>
      <c r="AC112" s="115">
        <v>13.6</v>
      </c>
      <c r="AD112" s="115">
        <v>3.7</v>
      </c>
      <c r="AE112" s="115">
        <v>1.7</v>
      </c>
      <c r="AF112" s="115">
        <v>-9.1</v>
      </c>
      <c r="AG112" s="114">
        <v>60</v>
      </c>
      <c r="AH112" s="47">
        <f t="shared" si="8"/>
        <v>25</v>
      </c>
      <c r="AI112" s="48">
        <f t="shared" si="9"/>
        <v>-15</v>
      </c>
    </row>
    <row r="113" spans="1:37" x14ac:dyDescent="0.25">
      <c r="A113" s="116" t="s">
        <v>121</v>
      </c>
      <c r="B113" s="117">
        <v>15</v>
      </c>
      <c r="C113" s="117">
        <v>23</v>
      </c>
      <c r="D113" s="117">
        <v>22</v>
      </c>
      <c r="E113" s="117">
        <v>28.4</v>
      </c>
      <c r="F113" s="117">
        <v>28.4</v>
      </c>
      <c r="G113" s="117">
        <v>35.4</v>
      </c>
      <c r="H113" s="117">
        <v>39.5</v>
      </c>
      <c r="I113" s="117">
        <v>93</v>
      </c>
      <c r="J113" s="117">
        <v>89.9</v>
      </c>
      <c r="K113" s="117">
        <v>102.5</v>
      </c>
      <c r="L113" s="117">
        <v>94.5</v>
      </c>
      <c r="M113" s="117">
        <v>92.5</v>
      </c>
      <c r="N113" s="117">
        <v>100</v>
      </c>
      <c r="O113" s="117">
        <v>97.1</v>
      </c>
      <c r="P113" s="117"/>
      <c r="Q113" s="117">
        <v>96</v>
      </c>
      <c r="R113" s="117">
        <v>92.7</v>
      </c>
      <c r="S113" s="117">
        <v>74</v>
      </c>
      <c r="T113" s="117">
        <v>84</v>
      </c>
      <c r="U113" s="117">
        <v>86.3</v>
      </c>
      <c r="V113" s="117">
        <v>104</v>
      </c>
      <c r="W113" s="117">
        <v>107</v>
      </c>
      <c r="X113" s="117">
        <v>101</v>
      </c>
      <c r="Y113" s="117">
        <v>97.2</v>
      </c>
      <c r="Z113" s="117">
        <v>102</v>
      </c>
      <c r="AA113" s="117">
        <v>111</v>
      </c>
      <c r="AB113" s="117">
        <v>101</v>
      </c>
      <c r="AC113" s="117">
        <v>103.7</v>
      </c>
      <c r="AD113" s="117">
        <v>102</v>
      </c>
      <c r="AE113" s="117">
        <v>31.1</v>
      </c>
      <c r="AF113" s="117">
        <v>83.4</v>
      </c>
      <c r="AG113" s="118">
        <v>120</v>
      </c>
      <c r="AH113" s="47">
        <f t="shared" si="8"/>
        <v>111</v>
      </c>
      <c r="AI113" s="48">
        <f t="shared" si="9"/>
        <v>15</v>
      </c>
    </row>
    <row r="114" spans="1:37" x14ac:dyDescent="0.25">
      <c r="A114" s="116" t="s">
        <v>122</v>
      </c>
      <c r="B114" s="117">
        <v>73</v>
      </c>
      <c r="C114" s="117">
        <v>102</v>
      </c>
      <c r="D114" s="117">
        <v>90</v>
      </c>
      <c r="E114" s="117">
        <v>101.7</v>
      </c>
      <c r="F114" s="117">
        <v>101.7</v>
      </c>
      <c r="G114" s="117">
        <v>101.4</v>
      </c>
      <c r="H114" s="117">
        <v>110</v>
      </c>
      <c r="I114" s="117">
        <v>92.5</v>
      </c>
      <c r="J114" s="117">
        <v>90.3</v>
      </c>
      <c r="K114" s="117">
        <v>102.4</v>
      </c>
      <c r="L114" s="117">
        <v>96.1</v>
      </c>
      <c r="M114" s="117">
        <v>93.5</v>
      </c>
      <c r="N114" s="117">
        <v>104.8</v>
      </c>
      <c r="O114" s="117">
        <v>108.6</v>
      </c>
      <c r="P114" s="117"/>
      <c r="Q114" s="117">
        <v>102.3</v>
      </c>
      <c r="R114" s="117">
        <v>100.2</v>
      </c>
      <c r="S114" s="117">
        <v>93</v>
      </c>
      <c r="T114" s="117">
        <v>89</v>
      </c>
      <c r="U114" s="117">
        <v>102</v>
      </c>
      <c r="V114" s="117">
        <v>102</v>
      </c>
      <c r="W114" s="117">
        <v>98</v>
      </c>
      <c r="X114" s="117">
        <v>84</v>
      </c>
      <c r="Y114" s="117">
        <v>103.1</v>
      </c>
      <c r="Z114" s="117">
        <v>96</v>
      </c>
      <c r="AA114" s="117">
        <v>98.4</v>
      </c>
      <c r="AB114" s="117">
        <v>114.2</v>
      </c>
      <c r="AC114" s="117">
        <v>99.4</v>
      </c>
      <c r="AD114" s="117">
        <v>91.5</v>
      </c>
      <c r="AE114" s="117">
        <v>61.6</v>
      </c>
      <c r="AF114" s="117">
        <v>98.7</v>
      </c>
      <c r="AG114" s="118"/>
      <c r="AH114" s="47">
        <f t="shared" si="8"/>
        <v>114.2</v>
      </c>
      <c r="AI114" s="48">
        <f t="shared" si="9"/>
        <v>61.6</v>
      </c>
    </row>
    <row r="115" spans="1:37" x14ac:dyDescent="0.25">
      <c r="A115" s="116" t="s">
        <v>123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  <c r="O115" s="117">
        <v>0</v>
      </c>
      <c r="P115" s="117"/>
      <c r="Q115" s="117">
        <v>46</v>
      </c>
      <c r="R115" s="117">
        <v>48.7</v>
      </c>
      <c r="S115" s="117"/>
      <c r="T115" s="117">
        <v>75</v>
      </c>
      <c r="U115" s="117"/>
      <c r="V115" s="117">
        <v>59.3</v>
      </c>
      <c r="W115" s="117">
        <v>67</v>
      </c>
      <c r="X115" s="117">
        <v>67</v>
      </c>
      <c r="Y115" s="117">
        <v>72</v>
      </c>
      <c r="Z115" s="117">
        <v>64</v>
      </c>
      <c r="AA115" s="117">
        <v>40</v>
      </c>
      <c r="AB115" s="117">
        <v>66.7</v>
      </c>
      <c r="AC115" s="117">
        <v>72.8</v>
      </c>
      <c r="AD115" s="117">
        <v>59</v>
      </c>
      <c r="AE115" s="117"/>
      <c r="AF115" s="117"/>
      <c r="AG115" s="119"/>
      <c r="AH115" s="47">
        <f t="shared" si="8"/>
        <v>75</v>
      </c>
      <c r="AI115" s="48">
        <f t="shared" si="9"/>
        <v>0</v>
      </c>
    </row>
    <row r="116" spans="1:37" x14ac:dyDescent="0.25">
      <c r="A116" s="120" t="s">
        <v>124</v>
      </c>
      <c r="B116" s="106">
        <v>-18</v>
      </c>
      <c r="C116" s="106">
        <v>-16</v>
      </c>
      <c r="D116" s="106">
        <v>-2</v>
      </c>
      <c r="E116" s="106">
        <v>-12.4</v>
      </c>
      <c r="F116" s="106">
        <v>-12.4</v>
      </c>
      <c r="G116" s="106">
        <v>-17.5</v>
      </c>
      <c r="H116" s="106">
        <v>-7.9</v>
      </c>
      <c r="I116" s="106">
        <v>-4.4000000000000004</v>
      </c>
      <c r="J116" s="106">
        <v>-3.2</v>
      </c>
      <c r="K116" s="106">
        <v>-1.1000000000000001</v>
      </c>
      <c r="L116" s="106">
        <v>-3.9</v>
      </c>
      <c r="M116" s="106">
        <v>-6</v>
      </c>
      <c r="N116" s="106">
        <v>-12.4</v>
      </c>
      <c r="O116" s="106">
        <f>-'1'!T13</f>
        <v>-50</v>
      </c>
      <c r="P116" s="106"/>
      <c r="Q116" s="106">
        <v>-12</v>
      </c>
      <c r="R116" s="106">
        <v>-13.7</v>
      </c>
      <c r="S116" s="106">
        <v>-20</v>
      </c>
      <c r="T116" s="106">
        <v>-15</v>
      </c>
      <c r="U116" s="106">
        <v>-20</v>
      </c>
      <c r="V116" s="106">
        <v>-24</v>
      </c>
      <c r="W116" s="106">
        <v>-22</v>
      </c>
      <c r="X116" s="106">
        <v>-23</v>
      </c>
      <c r="Y116" s="106">
        <v>-27.2</v>
      </c>
      <c r="Z116" s="106">
        <v>-35.200000000000003</v>
      </c>
      <c r="AA116" s="106">
        <v>-33</v>
      </c>
      <c r="AB116" s="106">
        <v>-29.5</v>
      </c>
      <c r="AC116" s="106">
        <v>-27.5</v>
      </c>
      <c r="AD116" s="106">
        <v>-25.4</v>
      </c>
      <c r="AE116" s="106">
        <v>-22.1</v>
      </c>
      <c r="AF116" s="106">
        <v>-17.2</v>
      </c>
      <c r="AG116" s="119"/>
      <c r="AH116" s="47">
        <f t="shared" si="8"/>
        <v>-1.1000000000000001</v>
      </c>
      <c r="AI116" s="48">
        <f t="shared" si="9"/>
        <v>-50</v>
      </c>
    </row>
    <row r="117" spans="1:37" ht="15.75" thickBot="1" x14ac:dyDescent="0.3">
      <c r="A117" s="120" t="s">
        <v>125</v>
      </c>
      <c r="B117" s="106">
        <v>41</v>
      </c>
      <c r="C117" s="106">
        <v>20</v>
      </c>
      <c r="D117" s="106">
        <v>20</v>
      </c>
      <c r="E117" s="106">
        <v>19.7</v>
      </c>
      <c r="F117" s="106">
        <v>19.7</v>
      </c>
      <c r="G117" s="106">
        <v>19</v>
      </c>
      <c r="H117" s="106">
        <v>20.8</v>
      </c>
      <c r="I117" s="106">
        <v>33.700000000000003</v>
      </c>
      <c r="J117" s="106" t="s">
        <v>256</v>
      </c>
      <c r="K117" s="106">
        <v>47.4</v>
      </c>
      <c r="L117" s="106">
        <v>49.8</v>
      </c>
      <c r="M117" s="106">
        <v>63.4</v>
      </c>
      <c r="N117" s="106">
        <v>69</v>
      </c>
      <c r="O117" s="106"/>
      <c r="P117" s="106"/>
      <c r="Q117" s="106">
        <v>80.599999999999994</v>
      </c>
      <c r="R117" s="106">
        <v>86.3</v>
      </c>
      <c r="S117" s="106">
        <v>95</v>
      </c>
      <c r="T117" s="106">
        <v>96</v>
      </c>
      <c r="U117" s="106">
        <v>98</v>
      </c>
      <c r="V117" s="106">
        <v>99</v>
      </c>
      <c r="W117" s="106">
        <v>93</v>
      </c>
      <c r="X117" s="106">
        <v>93</v>
      </c>
      <c r="Y117" s="106">
        <v>84.6</v>
      </c>
      <c r="Z117" s="106">
        <v>95</v>
      </c>
      <c r="AA117" s="106">
        <v>107</v>
      </c>
      <c r="AB117" s="106">
        <v>111.4</v>
      </c>
      <c r="AC117" s="106">
        <v>112.4</v>
      </c>
      <c r="AD117" s="106">
        <v>115.9</v>
      </c>
      <c r="AE117" s="106">
        <v>116.2</v>
      </c>
      <c r="AF117" s="106">
        <v>120.9</v>
      </c>
      <c r="AG117" s="119"/>
      <c r="AH117" s="47">
        <f t="shared" si="8"/>
        <v>120.9</v>
      </c>
      <c r="AI117" s="48">
        <f t="shared" si="9"/>
        <v>19</v>
      </c>
    </row>
    <row r="118" spans="1:37" ht="15.75" thickBot="1" x14ac:dyDescent="0.3">
      <c r="A118" s="121" t="s">
        <v>126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230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231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232</v>
      </c>
      <c r="B224" s="135">
        <f t="shared" ref="B224:AG224" si="16">SUM(B119:B223)</f>
        <v>0</v>
      </c>
      <c r="C224" s="136">
        <f t="shared" si="16"/>
        <v>0</v>
      </c>
      <c r="D224" s="136">
        <f t="shared" si="16"/>
        <v>0</v>
      </c>
      <c r="E224" s="136">
        <f t="shared" si="16"/>
        <v>0</v>
      </c>
      <c r="F224" s="136">
        <f t="shared" si="16"/>
        <v>0</v>
      </c>
      <c r="G224" s="136">
        <f t="shared" si="16"/>
        <v>0</v>
      </c>
      <c r="H224" s="136">
        <f t="shared" si="16"/>
        <v>0</v>
      </c>
      <c r="I224" s="136">
        <f t="shared" si="16"/>
        <v>0</v>
      </c>
      <c r="J224" s="136">
        <f t="shared" si="16"/>
        <v>0</v>
      </c>
      <c r="K224" s="136">
        <f t="shared" si="16"/>
        <v>0</v>
      </c>
      <c r="L224" s="136">
        <f t="shared" si="16"/>
        <v>0</v>
      </c>
      <c r="M224" s="136">
        <f t="shared" si="16"/>
        <v>0</v>
      </c>
      <c r="N224" s="136">
        <f t="shared" si="16"/>
        <v>0</v>
      </c>
      <c r="O224" s="136">
        <f t="shared" si="16"/>
        <v>0</v>
      </c>
      <c r="P224" s="136">
        <f t="shared" si="16"/>
        <v>0</v>
      </c>
      <c r="Q224" s="136">
        <f t="shared" si="16"/>
        <v>0</v>
      </c>
      <c r="R224" s="136">
        <f t="shared" si="16"/>
        <v>0</v>
      </c>
      <c r="S224" s="136">
        <f t="shared" si="16"/>
        <v>0</v>
      </c>
      <c r="T224" s="136">
        <f t="shared" si="16"/>
        <v>0</v>
      </c>
      <c r="U224" s="136">
        <f t="shared" si="16"/>
        <v>0</v>
      </c>
      <c r="V224" s="136">
        <f t="shared" si="16"/>
        <v>0</v>
      </c>
      <c r="W224" s="136">
        <f t="shared" si="16"/>
        <v>0</v>
      </c>
      <c r="X224" s="136">
        <f t="shared" si="16"/>
        <v>0</v>
      </c>
      <c r="Y224" s="136">
        <f t="shared" si="16"/>
        <v>0</v>
      </c>
      <c r="Z224" s="136">
        <f t="shared" si="16"/>
        <v>0</v>
      </c>
      <c r="AA224" s="136">
        <f t="shared" si="16"/>
        <v>0</v>
      </c>
      <c r="AB224" s="136">
        <f t="shared" si="16"/>
        <v>0</v>
      </c>
      <c r="AC224" s="136">
        <f t="shared" si="16"/>
        <v>0</v>
      </c>
      <c r="AD224" s="136">
        <f t="shared" si="16"/>
        <v>0</v>
      </c>
      <c r="AE224" s="136">
        <f t="shared" si="16"/>
        <v>0</v>
      </c>
      <c r="AF224" s="137">
        <f t="shared" si="16"/>
        <v>0</v>
      </c>
      <c r="AG224" s="138">
        <f t="shared" si="16"/>
        <v>412.72299999999984</v>
      </c>
      <c r="AH224" s="47"/>
      <c r="AI224" s="48"/>
      <c r="AK224" s="49"/>
    </row>
    <row r="225" spans="1:37" ht="15.75" thickBot="1" x14ac:dyDescent="0.3">
      <c r="A225" s="26" t="s">
        <v>73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233</v>
      </c>
      <c r="B226" s="140">
        <f t="shared" ref="B226:B231" si="17">AF226</f>
        <v>0</v>
      </c>
      <c r="C226" s="140">
        <v>0.3</v>
      </c>
      <c r="D226" s="140">
        <f t="shared" ref="D226:P231" si="18">C226</f>
        <v>0.3</v>
      </c>
      <c r="E226" s="140">
        <f t="shared" si="18"/>
        <v>0.3</v>
      </c>
      <c r="F226" s="140">
        <f t="shared" si="18"/>
        <v>0.3</v>
      </c>
      <c r="G226" s="140">
        <f t="shared" si="18"/>
        <v>0.3</v>
      </c>
      <c r="H226" s="140">
        <f t="shared" si="18"/>
        <v>0.3</v>
      </c>
      <c r="I226" s="140">
        <f t="shared" si="18"/>
        <v>0.3</v>
      </c>
      <c r="J226" s="140">
        <f t="shared" si="18"/>
        <v>0.3</v>
      </c>
      <c r="K226" s="140">
        <f t="shared" si="18"/>
        <v>0.3</v>
      </c>
      <c r="L226" s="140">
        <f t="shared" si="18"/>
        <v>0.3</v>
      </c>
      <c r="M226" s="140">
        <f t="shared" si="18"/>
        <v>0.3</v>
      </c>
      <c r="N226" s="140">
        <f t="shared" si="18"/>
        <v>0.3</v>
      </c>
      <c r="O226" s="140">
        <f t="shared" si="18"/>
        <v>0.3</v>
      </c>
      <c r="P226" s="140">
        <f t="shared" si="18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234</v>
      </c>
      <c r="B227" s="128">
        <f t="shared" si="17"/>
        <v>0</v>
      </c>
      <c r="C227" s="128">
        <v>0.4</v>
      </c>
      <c r="D227" s="128">
        <f t="shared" si="18"/>
        <v>0.4</v>
      </c>
      <c r="E227" s="128">
        <f t="shared" si="18"/>
        <v>0.4</v>
      </c>
      <c r="F227" s="128">
        <f t="shared" si="18"/>
        <v>0.4</v>
      </c>
      <c r="G227" s="128">
        <f t="shared" si="18"/>
        <v>0.4</v>
      </c>
      <c r="H227" s="128">
        <f t="shared" si="18"/>
        <v>0.4</v>
      </c>
      <c r="I227" s="128">
        <f t="shared" si="18"/>
        <v>0.4</v>
      </c>
      <c r="J227" s="128">
        <f t="shared" si="18"/>
        <v>0.4</v>
      </c>
      <c r="K227" s="128">
        <f t="shared" si="18"/>
        <v>0.4</v>
      </c>
      <c r="L227" s="128">
        <f t="shared" si="18"/>
        <v>0.4</v>
      </c>
      <c r="M227" s="128">
        <f t="shared" si="18"/>
        <v>0.4</v>
      </c>
      <c r="N227" s="128">
        <f t="shared" si="18"/>
        <v>0.4</v>
      </c>
      <c r="O227" s="128">
        <f t="shared" si="18"/>
        <v>0.4</v>
      </c>
      <c r="P227" s="128">
        <f t="shared" si="18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235</v>
      </c>
      <c r="B228" s="128">
        <f t="shared" si="17"/>
        <v>0</v>
      </c>
      <c r="C228" s="128">
        <v>1.5</v>
      </c>
      <c r="D228" s="128">
        <f t="shared" si="18"/>
        <v>1.5</v>
      </c>
      <c r="E228" s="128">
        <f t="shared" si="18"/>
        <v>1.5</v>
      </c>
      <c r="F228" s="128">
        <f t="shared" si="18"/>
        <v>1.5</v>
      </c>
      <c r="G228" s="128">
        <f t="shared" si="18"/>
        <v>1.5</v>
      </c>
      <c r="H228" s="128">
        <f t="shared" si="18"/>
        <v>1.5</v>
      </c>
      <c r="I228" s="111">
        <f ca="1">SUM(I140,I146,I149:I150,I176,I178:I179,I181,I183,I229:I233,I255,I261,I267,I276,I278,I290,I297,I300:I301,I308,I310,I312,I316:I318,I320:I322,I327,I333:I334,I336:I338,I346,I351)</f>
        <v>123.21900000000009</v>
      </c>
      <c r="J228" s="128">
        <f t="shared" ca="1" si="18"/>
        <v>123.21900000000009</v>
      </c>
      <c r="K228" s="128">
        <f t="shared" ca="1" si="18"/>
        <v>123.21900000000009</v>
      </c>
      <c r="L228" s="128">
        <f t="shared" ca="1" si="18"/>
        <v>123.21900000000009</v>
      </c>
      <c r="M228" s="128">
        <f t="shared" ca="1" si="18"/>
        <v>119.19900000000008</v>
      </c>
      <c r="N228" s="128">
        <f t="shared" ca="1" si="18"/>
        <v>119.19900000000008</v>
      </c>
      <c r="O228" s="128">
        <f t="shared" ca="1" si="18"/>
        <v>119.19900000000008</v>
      </c>
      <c r="P228" s="128">
        <f t="shared" ca="1" si="18"/>
        <v>115.17900000000007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236</v>
      </c>
      <c r="B229" s="128">
        <f t="shared" si="17"/>
        <v>0</v>
      </c>
      <c r="C229" s="128">
        <v>0.3</v>
      </c>
      <c r="D229" s="128">
        <f t="shared" si="18"/>
        <v>0.3</v>
      </c>
      <c r="E229" s="128">
        <f t="shared" si="18"/>
        <v>0.3</v>
      </c>
      <c r="F229" s="128">
        <f t="shared" si="18"/>
        <v>0.3</v>
      </c>
      <c r="G229" s="128">
        <f t="shared" si="18"/>
        <v>0.3</v>
      </c>
      <c r="H229" s="128">
        <f t="shared" si="18"/>
        <v>0.3</v>
      </c>
      <c r="I229" s="128">
        <f t="shared" si="18"/>
        <v>0.3</v>
      </c>
      <c r="J229" s="128">
        <f t="shared" si="18"/>
        <v>0.3</v>
      </c>
      <c r="K229" s="128">
        <f t="shared" si="18"/>
        <v>0.3</v>
      </c>
      <c r="L229" s="128">
        <f t="shared" si="18"/>
        <v>0.3</v>
      </c>
      <c r="M229" s="128">
        <f t="shared" si="18"/>
        <v>0.3</v>
      </c>
      <c r="N229" s="128">
        <f t="shared" si="18"/>
        <v>0.3</v>
      </c>
      <c r="O229" s="128">
        <f t="shared" si="18"/>
        <v>0.3</v>
      </c>
      <c r="P229" s="128">
        <f t="shared" si="18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237</v>
      </c>
      <c r="B230" s="128">
        <f t="shared" si="17"/>
        <v>0</v>
      </c>
      <c r="C230" s="128">
        <v>0.4</v>
      </c>
      <c r="D230" s="128">
        <f t="shared" si="18"/>
        <v>0.4</v>
      </c>
      <c r="E230" s="128">
        <f t="shared" si="18"/>
        <v>0.4</v>
      </c>
      <c r="F230" s="128">
        <f t="shared" si="18"/>
        <v>0.4</v>
      </c>
      <c r="G230" s="128">
        <f t="shared" si="18"/>
        <v>0.4</v>
      </c>
      <c r="H230" s="128">
        <f t="shared" si="18"/>
        <v>0.4</v>
      </c>
      <c r="I230" s="128">
        <f t="shared" si="18"/>
        <v>0.4</v>
      </c>
      <c r="J230" s="128">
        <f t="shared" si="18"/>
        <v>0.4</v>
      </c>
      <c r="K230" s="128">
        <f t="shared" si="18"/>
        <v>0.4</v>
      </c>
      <c r="L230" s="128">
        <f t="shared" si="18"/>
        <v>0.4</v>
      </c>
      <c r="M230" s="128">
        <f t="shared" si="18"/>
        <v>0.4</v>
      </c>
      <c r="N230" s="128">
        <f t="shared" si="18"/>
        <v>0.4</v>
      </c>
      <c r="O230" s="128">
        <f t="shared" si="18"/>
        <v>0.4</v>
      </c>
      <c r="P230" s="128">
        <f t="shared" si="1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238</v>
      </c>
      <c r="B231" s="132">
        <f t="shared" si="17"/>
        <v>0</v>
      </c>
      <c r="C231" s="132">
        <v>0.64</v>
      </c>
      <c r="D231" s="132">
        <f t="shared" si="18"/>
        <v>0.64</v>
      </c>
      <c r="E231" s="132">
        <f t="shared" si="18"/>
        <v>0.64</v>
      </c>
      <c r="F231" s="132">
        <f t="shared" si="18"/>
        <v>0.64</v>
      </c>
      <c r="G231" s="132">
        <f t="shared" si="18"/>
        <v>0.64</v>
      </c>
      <c r="H231" s="132">
        <f t="shared" si="18"/>
        <v>0.64</v>
      </c>
      <c r="I231" s="132">
        <f t="shared" si="18"/>
        <v>0.64</v>
      </c>
      <c r="J231" s="132">
        <f t="shared" si="18"/>
        <v>0.64</v>
      </c>
      <c r="K231" s="132">
        <f t="shared" si="18"/>
        <v>0.64</v>
      </c>
      <c r="L231" s="132">
        <f t="shared" si="18"/>
        <v>0.64</v>
      </c>
      <c r="M231" s="132">
        <f t="shared" si="18"/>
        <v>0.64</v>
      </c>
      <c r="N231" s="132">
        <f t="shared" si="18"/>
        <v>0.64</v>
      </c>
      <c r="O231" s="132">
        <f t="shared" si="18"/>
        <v>0.64</v>
      </c>
      <c r="P231" s="132">
        <f t="shared" si="18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73</v>
      </c>
      <c r="B232" s="136">
        <f t="shared" ref="B232:AG232" si="19">SUM(B226:B231)</f>
        <v>0</v>
      </c>
      <c r="C232" s="136">
        <f t="shared" si="19"/>
        <v>3.54</v>
      </c>
      <c r="D232" s="136">
        <f t="shared" si="19"/>
        <v>3.54</v>
      </c>
      <c r="E232" s="136">
        <f t="shared" si="19"/>
        <v>3.54</v>
      </c>
      <c r="F232" s="136">
        <f t="shared" si="19"/>
        <v>3.54</v>
      </c>
      <c r="G232" s="136">
        <f t="shared" si="19"/>
        <v>3.54</v>
      </c>
      <c r="H232" s="136">
        <f t="shared" si="19"/>
        <v>3.54</v>
      </c>
      <c r="I232" s="136">
        <f t="shared" ca="1" si="19"/>
        <v>121.23900000000009</v>
      </c>
      <c r="J232" s="136">
        <f t="shared" ca="1" si="19"/>
        <v>121.23900000000009</v>
      </c>
      <c r="K232" s="136">
        <f t="shared" ca="1" si="19"/>
        <v>121.23900000000009</v>
      </c>
      <c r="L232" s="136">
        <f t="shared" ca="1" si="19"/>
        <v>125.2590000000001</v>
      </c>
      <c r="M232" s="136">
        <f t="shared" ca="1" si="19"/>
        <v>121.23900000000009</v>
      </c>
      <c r="N232" s="136">
        <f t="shared" ca="1" si="19"/>
        <v>117.21900000000008</v>
      </c>
      <c r="O232" s="136">
        <f t="shared" ca="1" si="19"/>
        <v>121.23900000000009</v>
      </c>
      <c r="P232" s="136">
        <f t="shared" ca="1" si="19"/>
        <v>117.21900000000008</v>
      </c>
      <c r="Q232" s="136">
        <f t="shared" si="19"/>
        <v>0</v>
      </c>
      <c r="R232" s="136">
        <f t="shared" si="19"/>
        <v>0</v>
      </c>
      <c r="S232" s="136">
        <f t="shared" si="19"/>
        <v>0</v>
      </c>
      <c r="T232" s="136">
        <f t="shared" si="19"/>
        <v>0</v>
      </c>
      <c r="U232" s="136">
        <f t="shared" si="19"/>
        <v>0</v>
      </c>
      <c r="V232" s="136">
        <f t="shared" si="19"/>
        <v>0</v>
      </c>
      <c r="W232" s="136">
        <f t="shared" si="19"/>
        <v>0</v>
      </c>
      <c r="X232" s="136">
        <f t="shared" si="19"/>
        <v>0</v>
      </c>
      <c r="Y232" s="136">
        <f t="shared" si="19"/>
        <v>0</v>
      </c>
      <c r="Z232" s="136">
        <f t="shared" si="19"/>
        <v>0</v>
      </c>
      <c r="AA232" s="136">
        <f t="shared" si="19"/>
        <v>0</v>
      </c>
      <c r="AB232" s="136">
        <f t="shared" si="19"/>
        <v>0</v>
      </c>
      <c r="AC232" s="136">
        <f t="shared" si="19"/>
        <v>0</v>
      </c>
      <c r="AD232" s="136">
        <f t="shared" si="19"/>
        <v>0</v>
      </c>
      <c r="AE232" s="136">
        <f t="shared" si="19"/>
        <v>0</v>
      </c>
      <c r="AF232" s="136">
        <f t="shared" si="19"/>
        <v>0</v>
      </c>
      <c r="AG232" s="145">
        <f t="shared" si="19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239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240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241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242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243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244</v>
      </c>
      <c r="B241" s="160">
        <f>MAX(G89:N89)</f>
        <v>1241.3399999999999</v>
      </c>
      <c r="C241" s="161">
        <f>INDEX(G9:N9,1,MATCH(MAX(G89:N89),G89:N89,0))</f>
        <v>0.375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1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78" t="s">
        <v>245</v>
      </c>
      <c r="B243" s="178"/>
      <c r="C243" s="43"/>
      <c r="D243" s="162" t="str">
        <f ca="1">"Pie Chart of Daily Peak Demand(Inclusive of Export) of Nepal ("&amp;A4&amp;" "&amp;B4&amp;")"</f>
        <v>Pie Chart of Daily Peak Demand(Inclusive of Export) of Nepal (Nepali Date: 2080/02/1)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2080/02/1)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246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247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248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249</v>
      </c>
      <c r="T246" s="170">
        <f t="shared" ref="T246:AX246" si="20">B89</f>
        <v>944.24</v>
      </c>
      <c r="U246" s="170">
        <f t="shared" si="20"/>
        <v>906.14</v>
      </c>
      <c r="V246" s="170">
        <f t="shared" si="20"/>
        <v>888.14</v>
      </c>
      <c r="W246" s="170">
        <f t="shared" si="20"/>
        <v>944.24</v>
      </c>
      <c r="X246" s="170">
        <f t="shared" si="20"/>
        <v>944.24</v>
      </c>
      <c r="Y246" s="170">
        <f t="shared" si="20"/>
        <v>942.83999999999992</v>
      </c>
      <c r="Z246" s="170">
        <f t="shared" si="20"/>
        <v>1013.64</v>
      </c>
      <c r="AA246" s="170">
        <f t="shared" si="20"/>
        <v>1025.74</v>
      </c>
      <c r="AB246" s="170">
        <f t="shared" si="20"/>
        <v>1084.3399999999999</v>
      </c>
      <c r="AC246" s="170">
        <f t="shared" si="20"/>
        <v>1139.3399999999999</v>
      </c>
      <c r="AD246" s="170">
        <f t="shared" si="20"/>
        <v>1158.6399999999999</v>
      </c>
      <c r="AE246" s="170">
        <f t="shared" si="20"/>
        <v>1157.04</v>
      </c>
      <c r="AF246" s="170">
        <f t="shared" si="20"/>
        <v>1241.3399999999999</v>
      </c>
      <c r="AG246" s="170">
        <f t="shared" si="20"/>
        <v>1293.6399999999999</v>
      </c>
      <c r="AH246" s="170">
        <f t="shared" si="20"/>
        <v>3.54</v>
      </c>
      <c r="AI246" s="170">
        <f t="shared" si="20"/>
        <v>1408.2400000000002</v>
      </c>
      <c r="AJ246" s="170">
        <f t="shared" si="20"/>
        <v>1413.3400000000001</v>
      </c>
      <c r="AK246" s="170">
        <f t="shared" si="20"/>
        <v>1458.04</v>
      </c>
      <c r="AL246" s="170">
        <f t="shared" si="20"/>
        <v>1494.3400000000001</v>
      </c>
      <c r="AM246" s="170">
        <f t="shared" si="20"/>
        <v>1467.04</v>
      </c>
      <c r="AN246" s="170">
        <f t="shared" si="20"/>
        <v>1433.54</v>
      </c>
      <c r="AO246" s="170">
        <f t="shared" si="20"/>
        <v>1431.94</v>
      </c>
      <c r="AP246" s="170">
        <f t="shared" si="20"/>
        <v>1501.7400000000002</v>
      </c>
      <c r="AQ246" s="170">
        <f t="shared" si="20"/>
        <v>1488.8400000000001</v>
      </c>
      <c r="AR246" s="170">
        <f t="shared" si="20"/>
        <v>1535.2400000000002</v>
      </c>
      <c r="AS246" s="170">
        <f t="shared" si="20"/>
        <v>1575.8400000000001</v>
      </c>
      <c r="AT246" s="170">
        <f t="shared" si="20"/>
        <v>1568.94</v>
      </c>
      <c r="AU246" s="170">
        <f t="shared" si="20"/>
        <v>1512.44</v>
      </c>
      <c r="AV246" s="170">
        <f t="shared" si="20"/>
        <v>1427.0400000000002</v>
      </c>
      <c r="AW246" s="170">
        <f t="shared" si="20"/>
        <v>1465.54</v>
      </c>
      <c r="AX246" s="170">
        <f t="shared" si="20"/>
        <v>1337.94</v>
      </c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251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252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253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239</v>
      </c>
      <c r="B267" s="173">
        <f t="shared" ref="B267:AE267" si="21">C231</f>
        <v>0.64</v>
      </c>
      <c r="C267" s="173">
        <f t="shared" si="21"/>
        <v>0.64</v>
      </c>
      <c r="D267" s="173">
        <f t="shared" si="21"/>
        <v>0.64</v>
      </c>
      <c r="E267" s="173">
        <f t="shared" si="21"/>
        <v>0.64</v>
      </c>
      <c r="F267" s="173">
        <f t="shared" si="21"/>
        <v>0.64</v>
      </c>
      <c r="G267" s="173">
        <f t="shared" si="21"/>
        <v>0.64</v>
      </c>
      <c r="H267" s="173">
        <f t="shared" si="21"/>
        <v>0.64</v>
      </c>
      <c r="I267" s="173">
        <f t="shared" si="21"/>
        <v>0.64</v>
      </c>
      <c r="J267" s="173">
        <f t="shared" si="21"/>
        <v>0.64</v>
      </c>
      <c r="K267" s="173">
        <f t="shared" si="21"/>
        <v>0.64</v>
      </c>
      <c r="L267" s="173">
        <f t="shared" si="21"/>
        <v>0.64</v>
      </c>
      <c r="M267" s="173">
        <f t="shared" si="21"/>
        <v>0.64</v>
      </c>
      <c r="N267" s="173">
        <f t="shared" si="21"/>
        <v>0.64</v>
      </c>
      <c r="O267" s="173">
        <f t="shared" si="21"/>
        <v>0.64</v>
      </c>
      <c r="P267" s="173">
        <f t="shared" si="21"/>
        <v>0</v>
      </c>
      <c r="Q267" s="173">
        <f t="shared" si="21"/>
        <v>0</v>
      </c>
      <c r="R267" s="173">
        <f t="shared" si="21"/>
        <v>0</v>
      </c>
      <c r="S267" s="173">
        <f t="shared" si="21"/>
        <v>0</v>
      </c>
      <c r="T267" s="173">
        <f t="shared" si="21"/>
        <v>0</v>
      </c>
      <c r="U267" s="173">
        <f t="shared" si="21"/>
        <v>0</v>
      </c>
      <c r="V267" s="173">
        <f t="shared" si="21"/>
        <v>0</v>
      </c>
      <c r="W267" s="173">
        <f t="shared" si="21"/>
        <v>0</v>
      </c>
      <c r="X267" s="173">
        <f t="shared" si="21"/>
        <v>0</v>
      </c>
      <c r="Y267" s="173">
        <f t="shared" si="21"/>
        <v>0</v>
      </c>
      <c r="Z267" s="173">
        <f t="shared" si="21"/>
        <v>0</v>
      </c>
      <c r="AA267" s="173">
        <f t="shared" si="21"/>
        <v>0</v>
      </c>
      <c r="AB267" s="173">
        <f t="shared" si="21"/>
        <v>0</v>
      </c>
      <c r="AC267" s="173">
        <f t="shared" si="21"/>
        <v>0</v>
      </c>
      <c r="AD267" s="173">
        <f t="shared" si="21"/>
        <v>0</v>
      </c>
      <c r="AE267" s="173">
        <f t="shared" si="21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2">IF(B235&lt;100,"",B235-520)</f>
        <v/>
      </c>
      <c r="C268" s="174" t="str">
        <f t="shared" si="22"/>
        <v/>
      </c>
      <c r="D268" s="174" t="str">
        <f t="shared" si="22"/>
        <v/>
      </c>
      <c r="E268" s="174" t="str">
        <f t="shared" si="22"/>
        <v/>
      </c>
      <c r="F268" s="174" t="str">
        <f t="shared" si="22"/>
        <v/>
      </c>
      <c r="G268" s="174" t="str">
        <f t="shared" si="22"/>
        <v/>
      </c>
      <c r="H268" s="174" t="str">
        <f t="shared" si="22"/>
        <v/>
      </c>
      <c r="I268" s="174" t="str">
        <f t="shared" si="22"/>
        <v/>
      </c>
      <c r="J268" s="174" t="str">
        <f t="shared" si="22"/>
        <v/>
      </c>
      <c r="K268" s="174" t="str">
        <f t="shared" si="22"/>
        <v/>
      </c>
      <c r="L268" s="174" t="str">
        <f t="shared" si="22"/>
        <v/>
      </c>
      <c r="M268" s="174" t="str">
        <f t="shared" si="22"/>
        <v/>
      </c>
      <c r="N268" s="174" t="str">
        <f t="shared" si="22"/>
        <v/>
      </c>
      <c r="O268" s="174" t="str">
        <f t="shared" si="22"/>
        <v/>
      </c>
      <c r="P268" s="174" t="str">
        <f t="shared" si="22"/>
        <v/>
      </c>
      <c r="Q268" s="174" t="str">
        <f t="shared" si="22"/>
        <v/>
      </c>
      <c r="R268" s="174" t="str">
        <f t="shared" si="22"/>
        <v/>
      </c>
      <c r="S268" s="174" t="str">
        <f t="shared" si="22"/>
        <v/>
      </c>
      <c r="T268" s="174" t="str">
        <f t="shared" si="22"/>
        <v/>
      </c>
      <c r="U268" s="174" t="str">
        <f t="shared" si="22"/>
        <v/>
      </c>
      <c r="V268" s="174" t="str">
        <f t="shared" si="22"/>
        <v/>
      </c>
      <c r="W268" s="174" t="str">
        <f t="shared" si="22"/>
        <v/>
      </c>
      <c r="X268" s="174" t="str">
        <f t="shared" si="22"/>
        <v/>
      </c>
      <c r="Y268" s="174" t="str">
        <f t="shared" si="22"/>
        <v/>
      </c>
      <c r="Z268" s="174" t="str">
        <f t="shared" si="22"/>
        <v/>
      </c>
      <c r="AA268" s="174" t="str">
        <f t="shared" si="22"/>
        <v/>
      </c>
      <c r="AB268" s="174" t="str">
        <f t="shared" si="22"/>
        <v/>
      </c>
      <c r="AC268" s="174" t="str">
        <f t="shared" si="22"/>
        <v/>
      </c>
      <c r="AD268" s="174" t="str">
        <f t="shared" si="22"/>
        <v/>
      </c>
      <c r="AE268" s="174" t="str">
        <f t="shared" si="22"/>
        <v/>
      </c>
      <c r="AF268" s="174" t="str">
        <f t="shared" si="22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3">IF(B236&lt;100,"",B236-620)</f>
        <v/>
      </c>
      <c r="C269" s="174" t="str">
        <f t="shared" si="23"/>
        <v/>
      </c>
      <c r="D269" s="174" t="str">
        <f t="shared" si="23"/>
        <v/>
      </c>
      <c r="E269" s="174" t="str">
        <f t="shared" si="23"/>
        <v/>
      </c>
      <c r="F269" s="174" t="str">
        <f t="shared" si="23"/>
        <v/>
      </c>
      <c r="G269" s="174" t="str">
        <f t="shared" si="23"/>
        <v/>
      </c>
      <c r="H269" s="174" t="str">
        <f t="shared" si="23"/>
        <v/>
      </c>
      <c r="I269" s="174" t="str">
        <f t="shared" si="23"/>
        <v/>
      </c>
      <c r="J269" s="174" t="str">
        <f t="shared" si="23"/>
        <v/>
      </c>
      <c r="K269" s="174" t="str">
        <f t="shared" si="23"/>
        <v/>
      </c>
      <c r="L269" s="174" t="str">
        <f t="shared" si="23"/>
        <v/>
      </c>
      <c r="M269" s="174" t="str">
        <f t="shared" si="23"/>
        <v/>
      </c>
      <c r="N269" s="174" t="str">
        <f t="shared" si="23"/>
        <v/>
      </c>
      <c r="O269" s="174" t="str">
        <f t="shared" si="23"/>
        <v/>
      </c>
      <c r="P269" s="174" t="str">
        <f t="shared" si="23"/>
        <v/>
      </c>
      <c r="Q269" s="174" t="str">
        <f t="shared" si="23"/>
        <v/>
      </c>
      <c r="R269" s="174" t="str">
        <f t="shared" si="23"/>
        <v/>
      </c>
      <c r="S269" s="174" t="str">
        <f t="shared" si="23"/>
        <v/>
      </c>
      <c r="T269" s="174" t="str">
        <f t="shared" si="23"/>
        <v/>
      </c>
      <c r="U269" s="174" t="str">
        <f t="shared" si="23"/>
        <v/>
      </c>
      <c r="V269" s="174" t="str">
        <f t="shared" si="23"/>
        <v/>
      </c>
      <c r="W269" s="174" t="str">
        <f t="shared" si="23"/>
        <v/>
      </c>
      <c r="X269" s="174" t="str">
        <f t="shared" si="23"/>
        <v/>
      </c>
      <c r="Y269" s="174" t="str">
        <f t="shared" si="23"/>
        <v/>
      </c>
      <c r="Z269" s="174" t="str">
        <f t="shared" si="23"/>
        <v/>
      </c>
      <c r="AA269" s="174" t="str">
        <f t="shared" si="23"/>
        <v/>
      </c>
      <c r="AB269" s="174" t="str">
        <f t="shared" si="23"/>
        <v/>
      </c>
      <c r="AC269" s="174" t="str">
        <f t="shared" si="23"/>
        <v/>
      </c>
      <c r="AD269" s="174" t="str">
        <f t="shared" si="23"/>
        <v/>
      </c>
      <c r="AE269" s="174" t="str">
        <f t="shared" si="23"/>
        <v/>
      </c>
      <c r="AF269" s="174" t="str">
        <f t="shared" si="23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4">IF(B237&lt;100,"",B237-330)</f>
        <v/>
      </c>
      <c r="C270" s="174" t="str">
        <f t="shared" si="24"/>
        <v/>
      </c>
      <c r="D270" s="174" t="str">
        <f t="shared" si="24"/>
        <v/>
      </c>
      <c r="E270" s="174" t="str">
        <f t="shared" si="24"/>
        <v/>
      </c>
      <c r="F270" s="174" t="str">
        <f t="shared" si="24"/>
        <v/>
      </c>
      <c r="G270" s="174" t="str">
        <f t="shared" si="24"/>
        <v/>
      </c>
      <c r="H270" s="174" t="str">
        <f t="shared" si="24"/>
        <v/>
      </c>
      <c r="I270" s="174" t="str">
        <f t="shared" si="24"/>
        <v/>
      </c>
      <c r="J270" s="174" t="str">
        <f t="shared" si="24"/>
        <v/>
      </c>
      <c r="K270" s="174" t="str">
        <f t="shared" si="24"/>
        <v/>
      </c>
      <c r="L270" s="174" t="str">
        <f t="shared" si="24"/>
        <v/>
      </c>
      <c r="M270" s="174" t="str">
        <f t="shared" si="24"/>
        <v/>
      </c>
      <c r="N270" s="174" t="str">
        <f t="shared" si="24"/>
        <v/>
      </c>
      <c r="O270" s="174" t="str">
        <f t="shared" si="24"/>
        <v/>
      </c>
      <c r="P270" s="174" t="str">
        <f t="shared" si="24"/>
        <v/>
      </c>
      <c r="Q270" s="174" t="str">
        <f t="shared" si="24"/>
        <v/>
      </c>
      <c r="R270" s="174" t="str">
        <f t="shared" si="24"/>
        <v/>
      </c>
      <c r="S270" s="174" t="str">
        <f t="shared" si="24"/>
        <v/>
      </c>
      <c r="T270" s="174" t="str">
        <f t="shared" si="24"/>
        <v/>
      </c>
      <c r="U270" s="174" t="str">
        <f t="shared" si="24"/>
        <v/>
      </c>
      <c r="V270" s="174" t="str">
        <f t="shared" si="24"/>
        <v/>
      </c>
      <c r="W270" s="174" t="str">
        <f t="shared" si="24"/>
        <v/>
      </c>
      <c r="X270" s="174" t="str">
        <f t="shared" si="24"/>
        <v/>
      </c>
      <c r="Y270" s="174" t="str">
        <f t="shared" si="24"/>
        <v/>
      </c>
      <c r="Z270" s="174" t="str">
        <f t="shared" si="24"/>
        <v/>
      </c>
      <c r="AA270" s="174" t="str">
        <f t="shared" si="24"/>
        <v/>
      </c>
      <c r="AB270" s="174" t="str">
        <f t="shared" si="24"/>
        <v/>
      </c>
      <c r="AC270" s="174" t="str">
        <f t="shared" si="24"/>
        <v/>
      </c>
      <c r="AD270" s="174" t="str">
        <f t="shared" si="24"/>
        <v/>
      </c>
      <c r="AE270" s="174" t="str">
        <f t="shared" si="24"/>
        <v/>
      </c>
      <c r="AF270" s="174" t="str">
        <f t="shared" si="24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5">IF(B238&lt;100,"",B238-1500)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3741" priority="339">
      <formula>B$9&gt;=20/24</formula>
    </cfRule>
    <cfRule type="expression" dxfId="13740" priority="340">
      <formula>AND(B$9&gt;=14/24,B$9&lt;20/24)</formula>
    </cfRule>
    <cfRule type="expression" dxfId="13739" priority="341">
      <formula>AND(B$9&gt;=8/24,B$9&lt;14/24)</formula>
    </cfRule>
    <cfRule type="expression" dxfId="13738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3737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3736" priority="336">
      <formula>$AH12=0</formula>
    </cfRule>
  </conditionalFormatting>
  <conditionalFormatting sqref="A114">
    <cfRule type="expression" dxfId="13735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3734" priority="333">
      <formula>$AH45=0</formula>
    </cfRule>
  </conditionalFormatting>
  <conditionalFormatting sqref="A98">
    <cfRule type="expression" dxfId="13733" priority="332">
      <formula>$AH98=0</formula>
    </cfRule>
  </conditionalFormatting>
  <conditionalFormatting sqref="A18">
    <cfRule type="expression" dxfId="13732" priority="331">
      <formula>$AH18=0</formula>
    </cfRule>
  </conditionalFormatting>
  <conditionalFormatting sqref="A196:A201">
    <cfRule type="expression" dxfId="13731" priority="330">
      <formula>$AH196=0</formula>
    </cfRule>
  </conditionalFormatting>
  <conditionalFormatting sqref="A190:A195">
    <cfRule type="expression" dxfId="13730" priority="329">
      <formula>$AH190=0</formula>
    </cfRule>
  </conditionalFormatting>
  <conditionalFormatting sqref="A58">
    <cfRule type="expression" dxfId="13729" priority="328">
      <formula>$AH58=0</formula>
    </cfRule>
  </conditionalFormatting>
  <conditionalFormatting sqref="A94">
    <cfRule type="expression" dxfId="13728" priority="327">
      <formula>$AH94=0</formula>
    </cfRule>
  </conditionalFormatting>
  <conditionalFormatting sqref="AD99:AF99 E99:X99">
    <cfRule type="expression" dxfId="13727" priority="323">
      <formula>E$9&gt;=20/24</formula>
    </cfRule>
    <cfRule type="expression" dxfId="13726" priority="324">
      <formula>AND(E$9&gt;=14/24,E$9&lt;20/24)</formula>
    </cfRule>
    <cfRule type="expression" dxfId="13725" priority="325">
      <formula>AND(E$9&gt;=8/24,E$9&lt;14/24)</formula>
    </cfRule>
    <cfRule type="expression" dxfId="13724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3723" priority="345">
      <formula>C$9&gt;=20/24</formula>
    </cfRule>
    <cfRule type="expression" dxfId="13722" priority="346">
      <formula>AND(C$9&gt;=14/24,C$9&lt;20/24)</formula>
    </cfRule>
    <cfRule type="expression" dxfId="13721" priority="347">
      <formula>AND(C$9&gt;=8/24,C$9&lt;14/24)</formula>
    </cfRule>
    <cfRule type="expression" dxfId="13720" priority="348">
      <formula>C$9&lt;8/24</formula>
    </cfRule>
  </conditionalFormatting>
  <conditionalFormatting sqref="A233">
    <cfRule type="expression" dxfId="13719" priority="349">
      <formula>$AH233=0</formula>
    </cfRule>
  </conditionalFormatting>
  <conditionalFormatting sqref="AG245">
    <cfRule type="expression" dxfId="13718" priority="350">
      <formula>B$9&gt;=20/24</formula>
    </cfRule>
    <cfRule type="expression" dxfId="13717" priority="351">
      <formula>AND(B$9&gt;=14/24,B$9&lt;20/24)</formula>
    </cfRule>
    <cfRule type="expression" dxfId="13716" priority="352">
      <formula>AND(B$9&gt;=8/24,B$9&lt;14/24)</formula>
    </cfRule>
    <cfRule type="expression" dxfId="13715" priority="353">
      <formula>B$9&lt;8/24</formula>
    </cfRule>
  </conditionalFormatting>
  <conditionalFormatting sqref="S8">
    <cfRule type="expression" dxfId="13714" priority="318">
      <formula>U$9&gt;=20/24</formula>
    </cfRule>
    <cfRule type="expression" dxfId="13713" priority="319">
      <formula>AND(U$9&gt;=14/24,U$9&lt;20/24)</formula>
    </cfRule>
    <cfRule type="expression" dxfId="13712" priority="320">
      <formula>AND(U$9&gt;=8/24,U$9&lt;14/24)</formula>
    </cfRule>
    <cfRule type="expression" dxfId="13711" priority="321">
      <formula>U$9&lt;8/24</formula>
    </cfRule>
  </conditionalFormatting>
  <conditionalFormatting sqref="AB8">
    <cfRule type="expression" dxfId="13710" priority="314">
      <formula>AD$9&gt;=20/24</formula>
    </cfRule>
    <cfRule type="expression" dxfId="13709" priority="315">
      <formula>AND(AD$9&gt;=14/24,AD$9&lt;20/24)</formula>
    </cfRule>
    <cfRule type="expression" dxfId="13708" priority="316">
      <formula>AND(AD$9&gt;=8/24,AD$9&lt;14/24)</formula>
    </cfRule>
    <cfRule type="expression" dxfId="13707" priority="317">
      <formula>AD$9&lt;8/24</formula>
    </cfRule>
  </conditionalFormatting>
  <conditionalFormatting sqref="AH245:AX245">
    <cfRule type="expression" dxfId="13706" priority="354">
      <formula>AG$9&gt;=20/24</formula>
    </cfRule>
    <cfRule type="expression" dxfId="13705" priority="355">
      <formula>AND(AG$9&gt;=14/24,AG$9&lt;20/24)</formula>
    </cfRule>
    <cfRule type="expression" dxfId="13704" priority="356">
      <formula>AND(AG$9&gt;=8/24,AG$9&lt;14/24)</formula>
    </cfRule>
    <cfRule type="expression" dxfId="13703" priority="357">
      <formula>AG$9&lt;8/24</formula>
    </cfRule>
  </conditionalFormatting>
  <conditionalFormatting sqref="T245">
    <cfRule type="expression" dxfId="13702" priority="358">
      <formula>AX$9&gt;=20/24</formula>
    </cfRule>
    <cfRule type="expression" dxfId="13701" priority="359">
      <formula>AND(AX$9&gt;=14/24,AX$9&lt;20/24)</formula>
    </cfRule>
    <cfRule type="expression" dxfId="13700" priority="360">
      <formula>AND(AX$9&gt;=8/24,AX$9&lt;14/24)</formula>
    </cfRule>
    <cfRule type="expression" dxfId="13699" priority="361">
      <formula>AX$9&lt;8/24</formula>
    </cfRule>
  </conditionalFormatting>
  <conditionalFormatting sqref="A115:A116">
    <cfRule type="expression" dxfId="13698" priority="313">
      <formula>$AH115=0</formula>
    </cfRule>
  </conditionalFormatting>
  <conditionalFormatting sqref="AB54:AF55 M54:P56 P57:P58 N57:O57 H71:AF71 AC57 AB56:AC56 AD56:AF57">
    <cfRule type="expression" dxfId="13697" priority="309">
      <formula>H$9&gt;=20/24</formula>
    </cfRule>
    <cfRule type="expression" dxfId="13696" priority="310">
      <formula>AND(H$9&gt;=14/24,H$9&lt;20/24)</formula>
    </cfRule>
    <cfRule type="expression" dxfId="13695" priority="311">
      <formula>AND(H$9&gt;=8/24,H$9&lt;14/24)</formula>
    </cfRule>
    <cfRule type="expression" dxfId="13694" priority="312">
      <formula>H$9&lt;8/24</formula>
    </cfRule>
  </conditionalFormatting>
  <conditionalFormatting sqref="M53:P53 AB53:AF53">
    <cfRule type="expression" dxfId="13693" priority="305">
      <formula>M$9&gt;=20/24</formula>
    </cfRule>
    <cfRule type="expression" dxfId="13692" priority="306">
      <formula>AND(M$9&gt;=14/24,M$9&lt;20/24)</formula>
    </cfRule>
    <cfRule type="expression" dxfId="13691" priority="307">
      <formula>AND(M$9&gt;=8/24,M$9&lt;14/24)</formula>
    </cfRule>
    <cfRule type="expression" dxfId="13690" priority="308">
      <formula>M$9&lt;8/24</formula>
    </cfRule>
  </conditionalFormatting>
  <conditionalFormatting sqref="AB53:AF55 M53:P56 P57:P58 N57:O57 AC57 AB56:AC56 AD56:AF57">
    <cfRule type="expression" dxfId="13689" priority="304">
      <formula>M53&gt;$AG53</formula>
    </cfRule>
  </conditionalFormatting>
  <conditionalFormatting sqref="D86:AF86 X96:AF96 AD100:AF106 X47:AF47 H72:X73 X67:AF69 Y72:AF74 M100:X106">
    <cfRule type="expression" dxfId="13688" priority="300">
      <formula>D$9&gt;=20/24</formula>
    </cfRule>
    <cfRule type="expression" dxfId="13687" priority="301">
      <formula>AND(D$9&gt;=14/24,D$9&lt;20/24)</formula>
    </cfRule>
    <cfRule type="expression" dxfId="13686" priority="302">
      <formula>AND(D$9&gt;=8/24,D$9&lt;14/24)</formula>
    </cfRule>
    <cfRule type="expression" dxfId="13685" priority="303">
      <formula>D$9&lt;8/24</formula>
    </cfRule>
  </conditionalFormatting>
  <conditionalFormatting sqref="X47:AF47 X67:AF69">
    <cfRule type="expression" dxfId="13684" priority="299">
      <formula>X47&gt;$AG47</formula>
    </cfRule>
  </conditionalFormatting>
  <conditionalFormatting sqref="AB57:AB58 Q53:AA58">
    <cfRule type="expression" dxfId="13683" priority="295">
      <formula>Q$9&gt;=20/24</formula>
    </cfRule>
    <cfRule type="expression" dxfId="13682" priority="296">
      <formula>AND(Q$9&gt;=14/24,Q$9&lt;20/24)</formula>
    </cfRule>
    <cfRule type="expression" dxfId="13681" priority="297">
      <formula>AND(Q$9&gt;=8/24,Q$9&lt;14/24)</formula>
    </cfRule>
    <cfRule type="expression" dxfId="13680" priority="298">
      <formula>Q$9&lt;8/24</formula>
    </cfRule>
  </conditionalFormatting>
  <conditionalFormatting sqref="AB57:AB58 Q53:AA58">
    <cfRule type="expression" dxfId="13679" priority="294">
      <formula>Q53&gt;$AG53</formula>
    </cfRule>
  </conditionalFormatting>
  <conditionalFormatting sqref="C97:AF97 D88:AF88">
    <cfRule type="expression" dxfId="13678" priority="290">
      <formula>C$9&gt;=20/24</formula>
    </cfRule>
    <cfRule type="expression" dxfId="13677" priority="291">
      <formula>AND(C$9&gt;=14/24,C$9&lt;20/24)</formula>
    </cfRule>
    <cfRule type="expression" dxfId="13676" priority="292">
      <formula>AND(C$9&gt;=8/24,C$9&lt;14/24)</formula>
    </cfRule>
    <cfRule type="expression" dxfId="13675" priority="293">
      <formula>C$9&lt;8/24</formula>
    </cfRule>
  </conditionalFormatting>
  <conditionalFormatting sqref="T47:W47">
    <cfRule type="expression" dxfId="13674" priority="286">
      <formula>T$9&gt;=20/24</formula>
    </cfRule>
    <cfRule type="expression" dxfId="13673" priority="287">
      <formula>AND(T$9&gt;=14/24,T$9&lt;20/24)</formula>
    </cfRule>
    <cfRule type="expression" dxfId="13672" priority="288">
      <formula>AND(T$9&gt;=8/24,T$9&lt;14/24)</formula>
    </cfRule>
    <cfRule type="expression" dxfId="13671" priority="289">
      <formula>T$9&lt;8/24</formula>
    </cfRule>
  </conditionalFormatting>
  <conditionalFormatting sqref="T47:W47">
    <cfRule type="expression" dxfId="13670" priority="285">
      <formula>T47&gt;$AG47</formula>
    </cfRule>
  </conditionalFormatting>
  <conditionalFormatting sqref="E54:L55">
    <cfRule type="expression" dxfId="13669" priority="281">
      <formula>E$9&gt;=20/24</formula>
    </cfRule>
    <cfRule type="expression" dxfId="13668" priority="282">
      <formula>AND(E$9&gt;=14/24,E$9&lt;20/24)</formula>
    </cfRule>
    <cfRule type="expression" dxfId="13667" priority="283">
      <formula>AND(E$9&gt;=8/24,E$9&lt;14/24)</formula>
    </cfRule>
    <cfRule type="expression" dxfId="13666" priority="284">
      <formula>E$9&lt;8/24</formula>
    </cfRule>
  </conditionalFormatting>
  <conditionalFormatting sqref="E53:L53">
    <cfRule type="expression" dxfId="13665" priority="277">
      <formula>E$9&gt;=20/24</formula>
    </cfRule>
    <cfRule type="expression" dxfId="13664" priority="278">
      <formula>AND(E$9&gt;=14/24,E$9&lt;20/24)</formula>
    </cfRule>
    <cfRule type="expression" dxfId="13663" priority="279">
      <formula>AND(E$9&gt;=8/24,E$9&lt;14/24)</formula>
    </cfRule>
    <cfRule type="expression" dxfId="13662" priority="280">
      <formula>E$9&lt;8/24</formula>
    </cfRule>
  </conditionalFormatting>
  <conditionalFormatting sqref="E53:L55">
    <cfRule type="expression" dxfId="13661" priority="276">
      <formula>E53&gt;$AG53</formula>
    </cfRule>
  </conditionalFormatting>
  <conditionalFormatting sqref="AG70 AG87 E100:L106 Q67:W69">
    <cfRule type="expression" dxfId="13660" priority="272">
      <formula>E$9&gt;=20/24</formula>
    </cfRule>
    <cfRule type="expression" dxfId="13659" priority="273">
      <formula>AND(E$9&gt;=14/24,E$9&lt;20/24)</formula>
    </cfRule>
    <cfRule type="expression" dxfId="13658" priority="274">
      <formula>AND(E$9&gt;=8/24,E$9&lt;14/24)</formula>
    </cfRule>
    <cfRule type="expression" dxfId="13657" priority="275">
      <formula>E$9&lt;8/24</formula>
    </cfRule>
  </conditionalFormatting>
  <conditionalFormatting sqref="AG48 AG66 AG70 Q67:W69">
    <cfRule type="expression" dxfId="13656" priority="271">
      <formula>Q48&gt;$AG48</formula>
    </cfRule>
  </conditionalFormatting>
  <conditionalFormatting sqref="AC58:AF58">
    <cfRule type="expression" dxfId="13655" priority="267">
      <formula>AC$9&gt;=20/24</formula>
    </cfRule>
    <cfRule type="expression" dxfId="13654" priority="268">
      <formula>AND(AC$9&gt;=14/24,AC$9&lt;20/24)</formula>
    </cfRule>
    <cfRule type="expression" dxfId="13653" priority="269">
      <formula>AND(AC$9&gt;=8/24,AC$9&lt;14/24)</formula>
    </cfRule>
    <cfRule type="expression" dxfId="13652" priority="270">
      <formula>AC$9&lt;8/24</formula>
    </cfRule>
  </conditionalFormatting>
  <conditionalFormatting sqref="AC58:AF58">
    <cfRule type="expression" dxfId="13651" priority="266">
      <formula>AC58&gt;$AG58</formula>
    </cfRule>
  </conditionalFormatting>
  <conditionalFormatting sqref="A43">
    <cfRule type="expression" dxfId="13650" priority="265">
      <formula>$AH43=0</formula>
    </cfRule>
  </conditionalFormatting>
  <conditionalFormatting sqref="X91:AF95">
    <cfRule type="expression" dxfId="13649" priority="261">
      <formula>X$9&gt;=20/24</formula>
    </cfRule>
    <cfRule type="expression" dxfId="13648" priority="262">
      <formula>AND(X$9&gt;=14/24,X$9&lt;20/24)</formula>
    </cfRule>
    <cfRule type="expression" dxfId="13647" priority="263">
      <formula>AND(X$9&gt;=8/24,X$9&lt;14/24)</formula>
    </cfRule>
    <cfRule type="expression" dxfId="13646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N49 N50:N51 O49:AF51">
    <cfRule type="expression" dxfId="13645" priority="257">
      <formula>E$9&gt;=20/24</formula>
    </cfRule>
    <cfRule type="expression" dxfId="13644" priority="258">
      <formula>AND(E$9&gt;=14/24,E$9&lt;20/24)</formula>
    </cfRule>
    <cfRule type="expression" dxfId="13643" priority="259">
      <formula>AND(E$9&gt;=8/24,E$9&lt;14/24)</formula>
    </cfRule>
    <cfRule type="expression" dxfId="13642" priority="260">
      <formula>E$9&lt;8/24</formula>
    </cfRule>
  </conditionalFormatting>
  <conditionalFormatting sqref="E49:N49 N50:N51 O49:AF51">
    <cfRule type="expression" dxfId="13641" priority="256">
      <formula>E49&gt;$AG49</formula>
    </cfRule>
  </conditionalFormatting>
  <conditionalFormatting sqref="AG52">
    <cfRule type="expression" dxfId="13640" priority="252">
      <formula>AG$9&gt;=20/24</formula>
    </cfRule>
    <cfRule type="expression" dxfId="13639" priority="253">
      <formula>AND(AG$9&gt;=14/24,AG$9&lt;20/24)</formula>
    </cfRule>
    <cfRule type="expression" dxfId="13638" priority="254">
      <formula>AND(AG$9&gt;=8/24,AG$9&lt;14/24)</formula>
    </cfRule>
    <cfRule type="expression" dxfId="13637" priority="255">
      <formula>AG$9&lt;8/24</formula>
    </cfRule>
  </conditionalFormatting>
  <conditionalFormatting sqref="AG52">
    <cfRule type="expression" dxfId="13636" priority="251">
      <formula>AG52&gt;$AG52</formula>
    </cfRule>
  </conditionalFormatting>
  <conditionalFormatting sqref="C107:AF107">
    <cfRule type="expression" dxfId="13635" priority="247">
      <formula>C$9&gt;=20/24</formula>
    </cfRule>
    <cfRule type="expression" dxfId="13634" priority="248">
      <formula>AND(C$9&gt;=14/24,C$9&lt;20/24)</formula>
    </cfRule>
    <cfRule type="expression" dxfId="13633" priority="249">
      <formula>AND(C$9&gt;=8/24,C$9&lt;14/24)</formula>
    </cfRule>
    <cfRule type="expression" dxfId="13632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3631" priority="245">
      <formula>$AH40=0</formula>
    </cfRule>
  </conditionalFormatting>
  <conditionalFormatting sqref="A90">
    <cfRule type="expression" dxfId="13630" priority="243">
      <formula>$AH90=0</formula>
    </cfRule>
  </conditionalFormatting>
  <conditionalFormatting sqref="A87">
    <cfRule type="expression" dxfId="13629" priority="244">
      <formula>$AH87=0</formula>
    </cfRule>
  </conditionalFormatting>
  <conditionalFormatting sqref="D110:AF110">
    <cfRule type="expression" dxfId="13628" priority="239">
      <formula>D$9&gt;=20/24</formula>
    </cfRule>
    <cfRule type="expression" dxfId="13627" priority="240">
      <formula>AND(D$9&gt;=14/24,D$9&lt;20/24)</formula>
    </cfRule>
    <cfRule type="expression" dxfId="13626" priority="241">
      <formula>AND(D$9&gt;=8/24,D$9&lt;14/24)</formula>
    </cfRule>
    <cfRule type="expression" dxfId="13625" priority="242">
      <formula>D$9&lt;8/24</formula>
    </cfRule>
  </conditionalFormatting>
  <conditionalFormatting sqref="A110">
    <cfRule type="expression" dxfId="13624" priority="238">
      <formula>$AH110=0</formula>
    </cfRule>
  </conditionalFormatting>
  <conditionalFormatting sqref="A21">
    <cfRule type="expression" dxfId="13623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3622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3621" priority="230">
      <formula>Y$9&gt;=20/24</formula>
    </cfRule>
    <cfRule type="expression" dxfId="13620" priority="231">
      <formula>AND(Y$9&gt;=14/24,Y$9&lt;20/24)</formula>
    </cfRule>
    <cfRule type="expression" dxfId="13619" priority="232">
      <formula>AND(Y$9&gt;=8/24,Y$9&lt;14/24)</formula>
    </cfRule>
    <cfRule type="expression" dxfId="13618" priority="233">
      <formula>Y$9&lt;8/24</formula>
    </cfRule>
  </conditionalFormatting>
  <conditionalFormatting sqref="Y100:AC106">
    <cfRule type="expression" dxfId="13617" priority="226">
      <formula>Y$9&gt;=20/24</formula>
    </cfRule>
    <cfRule type="expression" dxfId="13616" priority="227">
      <formula>AND(Y$9&gt;=14/24,Y$9&lt;20/24)</formula>
    </cfRule>
    <cfRule type="expression" dxfId="13615" priority="228">
      <formula>AND(Y$9&gt;=8/24,Y$9&lt;14/24)</formula>
    </cfRule>
    <cfRule type="expression" dxfId="13614" priority="229">
      <formula>Y$9&lt;8/24</formula>
    </cfRule>
  </conditionalFormatting>
  <conditionalFormatting sqref="C109 C111:C116 N17:O18 P34:AG43 P17:AG32">
    <cfRule type="expression" dxfId="13613" priority="222">
      <formula>C$9&gt;=20/24</formula>
    </cfRule>
    <cfRule type="expression" dxfId="13612" priority="223">
      <formula>AND(C$9&gt;=14/24,C$9&lt;20/24)</formula>
    </cfRule>
    <cfRule type="expression" dxfId="13611" priority="224">
      <formula>AND(C$9&gt;=8/24,C$9&lt;14/24)</formula>
    </cfRule>
    <cfRule type="expression" dxfId="13610" priority="225">
      <formula>C$9&lt;8/24</formula>
    </cfRule>
  </conditionalFormatting>
  <conditionalFormatting sqref="C47:S47">
    <cfRule type="expression" dxfId="13609" priority="218">
      <formula>C$9&gt;=20/24</formula>
    </cfRule>
    <cfRule type="expression" dxfId="13608" priority="219">
      <formula>AND(C$9&gt;=14/24,C$9&lt;20/24)</formula>
    </cfRule>
    <cfRule type="expression" dxfId="13607" priority="220">
      <formula>AND(C$9&gt;=8/24,C$9&lt;14/24)</formula>
    </cfRule>
    <cfRule type="expression" dxfId="13606" priority="221">
      <formula>C$9&lt;8/24</formula>
    </cfRule>
  </conditionalFormatting>
  <conditionalFormatting sqref="C47:S47 N17:O18 P34:AG43 P17:AG32">
    <cfRule type="expression" dxfId="13605" priority="217">
      <formula>C17&gt;$AG17</formula>
    </cfRule>
  </conditionalFormatting>
  <conditionalFormatting sqref="C99:D99">
    <cfRule type="expression" dxfId="13604" priority="213">
      <formula>C$9&gt;=20/24</formula>
    </cfRule>
    <cfRule type="expression" dxfId="13603" priority="214">
      <formula>AND(C$9&gt;=14/24,C$9&lt;20/24)</formula>
    </cfRule>
    <cfRule type="expression" dxfId="13602" priority="215">
      <formula>AND(C$9&gt;=8/24,C$9&lt;14/24)</formula>
    </cfRule>
    <cfRule type="expression" dxfId="13601" priority="216">
      <formula>C$9&lt;8/24</formula>
    </cfRule>
  </conditionalFormatting>
  <conditionalFormatting sqref="C86 C96:W96 C83:AF85 N74:R74 H67:P69 H75:R76 S74:X76 Y75:AF76">
    <cfRule type="expression" dxfId="13600" priority="209">
      <formula>C$9&gt;=20/24</formula>
    </cfRule>
    <cfRule type="expression" dxfId="13599" priority="210">
      <formula>AND(C$9&gt;=14/24,C$9&lt;20/24)</formula>
    </cfRule>
    <cfRule type="expression" dxfId="13598" priority="211">
      <formula>AND(C$9&gt;=8/24,C$9&lt;14/24)</formula>
    </cfRule>
    <cfRule type="expression" dxfId="13597" priority="212">
      <formula>C$9&lt;8/24</formula>
    </cfRule>
  </conditionalFormatting>
  <conditionalFormatting sqref="E56:L57 M57 H67:P69">
    <cfRule type="expression" dxfId="13596" priority="208">
      <formula>E56&gt;$AG56</formula>
    </cfRule>
  </conditionalFormatting>
  <conditionalFormatting sqref="K58:O58">
    <cfRule type="expression" dxfId="13595" priority="204">
      <formula>K$9&gt;=20/24</formula>
    </cfRule>
    <cfRule type="expression" dxfId="13594" priority="205">
      <formula>AND(K$9&gt;=14/24,K$9&lt;20/24)</formula>
    </cfRule>
    <cfRule type="expression" dxfId="13593" priority="206">
      <formula>AND(K$9&gt;=8/24,K$9&lt;14/24)</formula>
    </cfRule>
    <cfRule type="expression" dxfId="13592" priority="207">
      <formula>K$9&lt;8/24</formula>
    </cfRule>
  </conditionalFormatting>
  <conditionalFormatting sqref="K58:O58">
    <cfRule type="expression" dxfId="13591" priority="203">
      <formula>K58&gt;$AG58</formula>
    </cfRule>
  </conditionalFormatting>
  <conditionalFormatting sqref="B54:D57 B71:G71">
    <cfRule type="expression" dxfId="13590" priority="132">
      <formula>B$9&gt;=20/24</formula>
    </cfRule>
    <cfRule type="expression" dxfId="13589" priority="133">
      <formula>AND(B$9&gt;=14/24,B$9&lt;20/24)</formula>
    </cfRule>
    <cfRule type="expression" dxfId="13588" priority="134">
      <formula>AND(B$9&gt;=8/24,B$9&lt;14/24)</formula>
    </cfRule>
    <cfRule type="expression" dxfId="13587" priority="135">
      <formula>B$9&lt;8/24</formula>
    </cfRule>
  </conditionalFormatting>
  <conditionalFormatting sqref="C87:AF87 C89:AF89 C70:AF70 C98:AF98">
    <cfRule type="expression" dxfId="13586" priority="199">
      <formula>C$9&gt;=20/24</formula>
    </cfRule>
    <cfRule type="expression" dxfId="13585" priority="200">
      <formula>AND(C$9&gt;=14/24,C$9&lt;20/24)</formula>
    </cfRule>
    <cfRule type="expression" dxfId="13584" priority="201">
      <formula>AND(C$9&gt;=8/24,C$9&lt;14/24)</formula>
    </cfRule>
    <cfRule type="expression" dxfId="13583" priority="202">
      <formula>C$9&lt;8/24</formula>
    </cfRule>
  </conditionalFormatting>
  <conditionalFormatting sqref="C70:AF70 C65:AF66">
    <cfRule type="expression" dxfId="13582" priority="198">
      <formula>C65&gt;$AG65</formula>
    </cfRule>
  </conditionalFormatting>
  <conditionalFormatting sqref="C82:AF82">
    <cfRule type="expression" dxfId="13581" priority="194">
      <formula>C$9&gt;=20/24</formula>
    </cfRule>
    <cfRule type="expression" dxfId="13580" priority="195">
      <formula>AND(C$9&gt;=14/24,C$9&lt;20/24)</formula>
    </cfRule>
    <cfRule type="expression" dxfId="13579" priority="196">
      <formula>AND(C$9&gt;=8/24,C$9&lt;14/24)</formula>
    </cfRule>
    <cfRule type="expression" dxfId="13578" priority="197">
      <formula>C$9&lt;8/24</formula>
    </cfRule>
  </conditionalFormatting>
  <conditionalFormatting sqref="C91:W95">
    <cfRule type="expression" dxfId="13577" priority="190">
      <formula>C$9&gt;=20/24</formula>
    </cfRule>
    <cfRule type="expression" dxfId="13576" priority="191">
      <formula>AND(C$9&gt;=14/24,C$9&lt;20/24)</formula>
    </cfRule>
    <cfRule type="expression" dxfId="13575" priority="192">
      <formula>AND(C$9&gt;=8/24,C$9&lt;14/24)</formula>
    </cfRule>
    <cfRule type="expression" dxfId="13574" priority="193">
      <formula>C$9&lt;8/24</formula>
    </cfRule>
  </conditionalFormatting>
  <conditionalFormatting sqref="C52:AF52">
    <cfRule type="expression" dxfId="13573" priority="186">
      <formula>C$9&gt;=20/24</formula>
    </cfRule>
    <cfRule type="expression" dxfId="13572" priority="187">
      <formula>AND(C$9&gt;=14/24,C$9&lt;20/24)</formula>
    </cfRule>
    <cfRule type="expression" dxfId="13571" priority="188">
      <formula>AND(C$9&gt;=8/24,C$9&lt;14/24)</formula>
    </cfRule>
    <cfRule type="expression" dxfId="13570" priority="189">
      <formula>C$9&lt;8/24</formula>
    </cfRule>
  </conditionalFormatting>
  <conditionalFormatting sqref="C52:AF52">
    <cfRule type="expression" dxfId="13569" priority="185">
      <formula>C52&gt;$AG52</formula>
    </cfRule>
  </conditionalFormatting>
  <conditionalFormatting sqref="B49:D51 E50:M51">
    <cfRule type="expression" dxfId="13568" priority="100">
      <formula>B$9&gt;=20/24</formula>
    </cfRule>
    <cfRule type="expression" dxfId="13567" priority="101">
      <formula>AND(B$9&gt;=14/24,B$9&lt;20/24)</formula>
    </cfRule>
    <cfRule type="expression" dxfId="13566" priority="102">
      <formula>AND(B$9&gt;=8/24,B$9&lt;14/24)</formula>
    </cfRule>
    <cfRule type="expression" dxfId="13565" priority="103">
      <formula>B$9&lt;8/24</formula>
    </cfRule>
  </conditionalFormatting>
  <conditionalFormatting sqref="C110">
    <cfRule type="expression" dxfId="13564" priority="177">
      <formula>C$9&gt;=20/24</formula>
    </cfRule>
    <cfRule type="expression" dxfId="13563" priority="178">
      <formula>AND(C$9&gt;=14/24,C$9&lt;20/24)</formula>
    </cfRule>
    <cfRule type="expression" dxfId="13562" priority="179">
      <formula>AND(C$9&gt;=8/24,C$9&lt;14/24)</formula>
    </cfRule>
    <cfRule type="expression" dxfId="13561" priority="180">
      <formula>C$9&lt;8/24</formula>
    </cfRule>
  </conditionalFormatting>
  <conditionalFormatting sqref="K59:O59 P59:AF64">
    <cfRule type="expression" dxfId="13560" priority="173">
      <formula>K$9&gt;=20/24</formula>
    </cfRule>
    <cfRule type="expression" dxfId="13559" priority="174">
      <formula>AND(K$9&gt;=14/24,K$9&lt;20/24)</formula>
    </cfRule>
    <cfRule type="expression" dxfId="13558" priority="175">
      <formula>AND(K$9&gt;=8/24,K$9&lt;14/24)</formula>
    </cfRule>
    <cfRule type="expression" dxfId="13557" priority="176">
      <formula>K$9&lt;8/24</formula>
    </cfRule>
  </conditionalFormatting>
  <conditionalFormatting sqref="K59:O59 P59:AF64">
    <cfRule type="expression" dxfId="13556" priority="172">
      <formula>K59&gt;$AG59</formula>
    </cfRule>
  </conditionalFormatting>
  <conditionalFormatting sqref="P45:AG45 N13:AG15">
    <cfRule type="expression" dxfId="13555" priority="171">
      <formula>N13&gt;$AG13</formula>
    </cfRule>
  </conditionalFormatting>
  <conditionalFormatting sqref="N12:AG12">
    <cfRule type="expression" dxfId="13554" priority="167">
      <formula>N$9&gt;=20/24</formula>
    </cfRule>
    <cfRule type="expression" dxfId="13553" priority="168">
      <formula>AND(N$9&gt;=14/24,N$9&lt;20/24)</formula>
    </cfRule>
    <cfRule type="expression" dxfId="13552" priority="169">
      <formula>AND(N$9&gt;=8/24,N$9&lt;14/24)</formula>
    </cfRule>
    <cfRule type="expression" dxfId="13551" priority="170">
      <formula>N$9&lt;8/24</formula>
    </cfRule>
  </conditionalFormatting>
  <conditionalFormatting sqref="N12:AG12">
    <cfRule type="expression" dxfId="13550" priority="166">
      <formula>N12&gt;$AG12</formula>
    </cfRule>
  </conditionalFormatting>
  <conditionalFormatting sqref="N13:AG15">
    <cfRule type="expression" dxfId="13549" priority="162">
      <formula>N$9&gt;=20/24</formula>
    </cfRule>
    <cfRule type="expression" dxfId="13548" priority="163">
      <formula>AND(N$9&gt;=14/24,N$9&lt;20/24)</formula>
    </cfRule>
    <cfRule type="expression" dxfId="13547" priority="164">
      <formula>AND(N$9&gt;=8/24,N$9&lt;14/24)</formula>
    </cfRule>
    <cfRule type="expression" dxfId="13546" priority="165">
      <formula>N$9&lt;8/24</formula>
    </cfRule>
  </conditionalFormatting>
  <conditionalFormatting sqref="P45:AG45">
    <cfRule type="expression" dxfId="13545" priority="158">
      <formula>P$9&gt;=20/24</formula>
    </cfRule>
    <cfRule type="expression" dxfId="13544" priority="159">
      <formula>AND(P$9&gt;=14/24,P$9&lt;20/24)</formula>
    </cfRule>
    <cfRule type="expression" dxfId="13543" priority="160">
      <formula>AND(P$9&gt;=8/24,P$9&lt;14/24)</formula>
    </cfRule>
    <cfRule type="expression" dxfId="13542" priority="161">
      <formula>P$9&lt;8/24</formula>
    </cfRule>
  </conditionalFormatting>
  <conditionalFormatting sqref="E81:N81 N77:N80 O77:AF81">
    <cfRule type="expression" dxfId="13541" priority="154">
      <formula>E$9&gt;=20/24</formula>
    </cfRule>
    <cfRule type="expression" dxfId="13540" priority="155">
      <formula>AND(E$9&gt;=14/24,E$9&lt;20/24)</formula>
    </cfRule>
    <cfRule type="expression" dxfId="13539" priority="156">
      <formula>AND(E$9&gt;=8/24,E$9&lt;14/24)</formula>
    </cfRule>
    <cfRule type="expression" dxfId="13538" priority="157">
      <formula>E$9&lt;8/24</formula>
    </cfRule>
  </conditionalFormatting>
  <conditionalFormatting sqref="AL78:AN78 AL84:AN84 AN79:AN80">
    <cfRule type="expression" dxfId="13537" priority="150">
      <formula>AL$9&gt;=20/24</formula>
    </cfRule>
    <cfRule type="expression" dxfId="13536" priority="151">
      <formula>AND(AL$9&gt;=14/24,AL$9&lt;20/24)</formula>
    </cfRule>
    <cfRule type="expression" dxfId="13535" priority="152">
      <formula>AND(AL$9&gt;=8/24,AL$9&lt;14/24)</formula>
    </cfRule>
    <cfRule type="expression" dxfId="13534" priority="153">
      <formula>AL$9&lt;8/24</formula>
    </cfRule>
  </conditionalFormatting>
  <conditionalFormatting sqref="AN81:AN82">
    <cfRule type="expression" dxfId="13533" priority="146">
      <formula>AN$9&gt;=20/24</formula>
    </cfRule>
    <cfRule type="expression" dxfId="13532" priority="147">
      <formula>AND(AN$9&gt;=14/24,AN$9&lt;20/24)</formula>
    </cfRule>
    <cfRule type="expression" dxfId="13531" priority="148">
      <formula>AND(AN$9&gt;=8/24,AN$9&lt;14/24)</formula>
    </cfRule>
    <cfRule type="expression" dxfId="13530" priority="149">
      <formula>AN$9&lt;8/24</formula>
    </cfRule>
  </conditionalFormatting>
  <conditionalFormatting sqref="AL79:AM83">
    <cfRule type="expression" dxfId="13529" priority="363">
      <formula>AJ$9&gt;=20/24</formula>
    </cfRule>
    <cfRule type="expression" dxfId="13528" priority="364">
      <formula>AND(AJ$9&gt;=14/24,AJ$9&lt;20/24)</formula>
    </cfRule>
    <cfRule type="expression" dxfId="13527" priority="365">
      <formula>AND(AJ$9&gt;=8/24,AJ$9&lt;14/24)</formula>
    </cfRule>
    <cfRule type="expression" dxfId="13526" priority="366">
      <formula>AJ$9&lt;8/24</formula>
    </cfRule>
  </conditionalFormatting>
  <conditionalFormatting sqref="A117">
    <cfRule type="expression" dxfId="13525" priority="145">
      <formula>$AH117=0</formula>
    </cfRule>
  </conditionalFormatting>
  <conditionalFormatting sqref="B109 B111:B116 B12:M15 B17:M32 N19:O32 B34:O43 B45:O45">
    <cfRule type="expression" dxfId="13524" priority="141">
      <formula>B$9&gt;=20/24</formula>
    </cfRule>
    <cfRule type="expression" dxfId="13523" priority="142">
      <formula>AND(B$9&gt;=14/24,B$9&lt;20/24)</formula>
    </cfRule>
    <cfRule type="expression" dxfId="13522" priority="143">
      <formula>AND(B$9&gt;=8/24,B$9&lt;14/24)</formula>
    </cfRule>
    <cfRule type="expression" dxfId="13521" priority="144">
      <formula>B$9&lt;8/24</formula>
    </cfRule>
  </conditionalFormatting>
  <conditionalFormatting sqref="B12:M15 B17:M32 N19:O32 B34:O43 B45:O45">
    <cfRule type="expression" dxfId="13520" priority="140">
      <formula>B12&gt;$AG12</formula>
    </cfRule>
  </conditionalFormatting>
  <conditionalFormatting sqref="B99">
    <cfRule type="expression" dxfId="13519" priority="136">
      <formula>B$9&gt;=20/24</formula>
    </cfRule>
    <cfRule type="expression" dxfId="13518" priority="137">
      <formula>AND(B$9&gt;=14/24,B$9&lt;20/24)</formula>
    </cfRule>
    <cfRule type="expression" dxfId="13517" priority="138">
      <formula>AND(B$9&gt;=8/24,B$9&lt;14/24)</formula>
    </cfRule>
    <cfRule type="expression" dxfId="13516" priority="139">
      <formula>B$9&lt;8/24</formula>
    </cfRule>
  </conditionalFormatting>
  <conditionalFormatting sqref="B53:D53">
    <cfRule type="expression" dxfId="13515" priority="128">
      <formula>B$9&gt;=20/24</formula>
    </cfRule>
    <cfRule type="expression" dxfId="13514" priority="129">
      <formula>AND(B$9&gt;=14/24,B$9&lt;20/24)</formula>
    </cfRule>
    <cfRule type="expression" dxfId="13513" priority="130">
      <formula>AND(B$9&gt;=8/24,B$9&lt;14/24)</formula>
    </cfRule>
    <cfRule type="expression" dxfId="13512" priority="131">
      <formula>B$9&lt;8/24</formula>
    </cfRule>
  </conditionalFormatting>
  <conditionalFormatting sqref="B53:D57">
    <cfRule type="expression" dxfId="13511" priority="127">
      <formula>B53&gt;$AG53</formula>
    </cfRule>
  </conditionalFormatting>
  <conditionalFormatting sqref="B96 B86 B47 B100:D106 B67:G69 B72:G74 H74:M74">
    <cfRule type="expression" dxfId="13510" priority="123">
      <formula>B$9&gt;=20/24</formula>
    </cfRule>
    <cfRule type="expression" dxfId="13509" priority="124">
      <formula>AND(B$9&gt;=14/24,B$9&lt;20/24)</formula>
    </cfRule>
    <cfRule type="expression" dxfId="13508" priority="125">
      <formula>AND(B$9&gt;=8/24,B$9&lt;14/24)</formula>
    </cfRule>
    <cfRule type="expression" dxfId="13507" priority="126">
      <formula>B$9&lt;8/24</formula>
    </cfRule>
  </conditionalFormatting>
  <conditionalFormatting sqref="B47 B67:G69">
    <cfRule type="expression" dxfId="13506" priority="122">
      <formula>B47&gt;$AG47</formula>
    </cfRule>
  </conditionalFormatting>
  <conditionalFormatting sqref="B97 B88:C88">
    <cfRule type="expression" dxfId="13505" priority="118">
      <formula>B$9&gt;=20/24</formula>
    </cfRule>
    <cfRule type="expression" dxfId="13504" priority="119">
      <formula>AND(B$9&gt;=14/24,B$9&lt;20/24)</formula>
    </cfRule>
    <cfRule type="expression" dxfId="13503" priority="120">
      <formula>AND(B$9&gt;=8/24,B$9&lt;14/24)</formula>
    </cfRule>
    <cfRule type="expression" dxfId="13502" priority="121">
      <formula>B$9&lt;8/24</formula>
    </cfRule>
  </conditionalFormatting>
  <conditionalFormatting sqref="B46:AG46">
    <cfRule type="expression" dxfId="13501" priority="114">
      <formula>B$9&gt;=20/24</formula>
    </cfRule>
    <cfRule type="expression" dxfId="13500" priority="115">
      <formula>AND(B$9&gt;=14/24,B$9&lt;20/24)</formula>
    </cfRule>
    <cfRule type="expression" dxfId="13499" priority="116">
      <formula>AND(B$9&gt;=8/24,B$9&lt;14/24)</formula>
    </cfRule>
    <cfRule type="expression" dxfId="13498" priority="117">
      <formula>B$9&lt;8/24</formula>
    </cfRule>
  </conditionalFormatting>
  <conditionalFormatting sqref="B46:AG46">
    <cfRule type="expression" dxfId="13497" priority="113">
      <formula>B46&gt;$AG46</formula>
    </cfRule>
  </conditionalFormatting>
  <conditionalFormatting sqref="B58:J58">
    <cfRule type="expression" dxfId="13496" priority="109">
      <formula>B$9&gt;=20/24</formula>
    </cfRule>
    <cfRule type="expression" dxfId="13495" priority="110">
      <formula>AND(B$9&gt;=14/24,B$9&lt;20/24)</formula>
    </cfRule>
    <cfRule type="expression" dxfId="13494" priority="111">
      <formula>AND(B$9&gt;=8/24,B$9&lt;14/24)</formula>
    </cfRule>
    <cfRule type="expression" dxfId="13493" priority="112">
      <formula>B$9&lt;8/24</formula>
    </cfRule>
  </conditionalFormatting>
  <conditionalFormatting sqref="B58:J58">
    <cfRule type="expression" dxfId="13492" priority="108">
      <formula>B58&gt;$AG58</formula>
    </cfRule>
  </conditionalFormatting>
  <conditionalFormatting sqref="B91:B95">
    <cfRule type="expression" dxfId="13491" priority="104">
      <formula>B$9&gt;=20/24</formula>
    </cfRule>
    <cfRule type="expression" dxfId="13490" priority="105">
      <formula>AND(B$9&gt;=14/24,B$9&lt;20/24)</formula>
    </cfRule>
    <cfRule type="expression" dxfId="13489" priority="106">
      <formula>AND(B$9&gt;=8/24,B$9&lt;14/24)</formula>
    </cfRule>
    <cfRule type="expression" dxfId="13488" priority="107">
      <formula>B$9&lt;8/24</formula>
    </cfRule>
  </conditionalFormatting>
  <conditionalFormatting sqref="B49:D51 E50:M51">
    <cfRule type="expression" dxfId="13487" priority="99">
      <formula>B49&gt;$AG49</formula>
    </cfRule>
  </conditionalFormatting>
  <conditionalFormatting sqref="B107">
    <cfRule type="expression" dxfId="13486" priority="95">
      <formula>B$9&gt;=20/24</formula>
    </cfRule>
    <cfRule type="expression" dxfId="13485" priority="96">
      <formula>AND(B$9&gt;=14/24,B$9&lt;20/24)</formula>
    </cfRule>
    <cfRule type="expression" dxfId="13484" priority="97">
      <formula>AND(B$9&gt;=8/24,B$9&lt;14/24)</formula>
    </cfRule>
    <cfRule type="expression" dxfId="13483" priority="98">
      <formula>B$9&lt;8/24</formula>
    </cfRule>
  </conditionalFormatting>
  <conditionalFormatting sqref="B110">
    <cfRule type="expression" dxfId="13482" priority="91">
      <formula>B$9&gt;=20/24</formula>
    </cfRule>
    <cfRule type="expression" dxfId="13481" priority="92">
      <formula>AND(B$9&gt;=14/24,B$9&lt;20/24)</formula>
    </cfRule>
    <cfRule type="expression" dxfId="13480" priority="93">
      <formula>AND(B$9&gt;=8/24,B$9&lt;14/24)</formula>
    </cfRule>
    <cfRule type="expression" dxfId="13479" priority="94">
      <formula>B$9&lt;8/24</formula>
    </cfRule>
  </conditionalFormatting>
  <conditionalFormatting sqref="B83:B85 B75:G76">
    <cfRule type="expression" dxfId="13478" priority="87">
      <formula>B$9&gt;=20/24</formula>
    </cfRule>
    <cfRule type="expression" dxfId="13477" priority="88">
      <formula>AND(B$9&gt;=14/24,B$9&lt;20/24)</formula>
    </cfRule>
    <cfRule type="expression" dxfId="13476" priority="89">
      <formula>AND(B$9&gt;=8/24,B$9&lt;14/24)</formula>
    </cfRule>
    <cfRule type="expression" dxfId="13475" priority="90">
      <formula>B$9&lt;8/24</formula>
    </cfRule>
  </conditionalFormatting>
  <conditionalFormatting sqref="B89 B98 B70 B87">
    <cfRule type="expression" dxfId="13474" priority="83">
      <formula>B$9&gt;=20/24</formula>
    </cfRule>
    <cfRule type="expression" dxfId="13473" priority="84">
      <formula>AND(B$9&gt;=14/24,B$9&lt;20/24)</formula>
    </cfRule>
    <cfRule type="expression" dxfId="13472" priority="85">
      <formula>AND(B$9&gt;=8/24,B$9&lt;14/24)</formula>
    </cfRule>
    <cfRule type="expression" dxfId="13471" priority="86">
      <formula>B$9&lt;8/24</formula>
    </cfRule>
  </conditionalFormatting>
  <conditionalFormatting sqref="B65:B66 B70 B48:AF48">
    <cfRule type="expression" dxfId="13470" priority="82">
      <formula>B48&gt;$AG48</formula>
    </cfRule>
  </conditionalFormatting>
  <conditionalFormatting sqref="B82">
    <cfRule type="expression" dxfId="13469" priority="78">
      <formula>B$9&gt;=20/24</formula>
    </cfRule>
    <cfRule type="expression" dxfId="13468" priority="79">
      <formula>AND(B$9&gt;=14/24,B$9&lt;20/24)</formula>
    </cfRule>
    <cfRule type="expression" dxfId="13467" priority="80">
      <formula>AND(B$9&gt;=8/24,B$9&lt;14/24)</formula>
    </cfRule>
    <cfRule type="expression" dxfId="13466" priority="81">
      <formula>B$9&lt;8/24</formula>
    </cfRule>
  </conditionalFormatting>
  <conditionalFormatting sqref="B52">
    <cfRule type="expression" dxfId="13465" priority="74">
      <formula>B$9&gt;=20/24</formula>
    </cfRule>
    <cfRule type="expression" dxfId="13464" priority="75">
      <formula>AND(B$9&gt;=14/24,B$9&lt;20/24)</formula>
    </cfRule>
    <cfRule type="expression" dxfId="13463" priority="76">
      <formula>AND(B$9&gt;=8/24,B$9&lt;14/24)</formula>
    </cfRule>
    <cfRule type="expression" dxfId="13462" priority="77">
      <formula>B$9&lt;8/24</formula>
    </cfRule>
  </conditionalFormatting>
  <conditionalFormatting sqref="B52">
    <cfRule type="expression" dxfId="13461" priority="73">
      <formula>B52&gt;$AG52</formula>
    </cfRule>
  </conditionalFormatting>
  <conditionalFormatting sqref="B59:J64 K60:O64">
    <cfRule type="expression" dxfId="13460" priority="65">
      <formula>B$9&gt;=20/24</formula>
    </cfRule>
    <cfRule type="expression" dxfId="13459" priority="66">
      <formula>AND(B$9&gt;=14/24,B$9&lt;20/24)</formula>
    </cfRule>
    <cfRule type="expression" dxfId="13458" priority="67">
      <formula>AND(B$9&gt;=8/24,B$9&lt;14/24)</formula>
    </cfRule>
    <cfRule type="expression" dxfId="13457" priority="68">
      <formula>B$9&lt;8/24</formula>
    </cfRule>
  </conditionalFormatting>
  <conditionalFormatting sqref="B59:J64 K60:O64">
    <cfRule type="expression" dxfId="13456" priority="64">
      <formula>B59&gt;$AG59</formula>
    </cfRule>
  </conditionalFormatting>
  <conditionalFormatting sqref="B77:D81 E77:M80">
    <cfRule type="expression" dxfId="13455" priority="60">
      <formula>B$9&gt;=20/24</formula>
    </cfRule>
    <cfRule type="expression" dxfId="13454" priority="61">
      <formula>AND(B$9&gt;=14/24,B$9&lt;20/24)</formula>
    </cfRule>
    <cfRule type="expression" dxfId="13453" priority="62">
      <formula>AND(B$9&gt;=8/24,B$9&lt;14/24)</formula>
    </cfRule>
    <cfRule type="expression" dxfId="13452" priority="63">
      <formula>B$9&lt;8/24</formula>
    </cfRule>
  </conditionalFormatting>
  <conditionalFormatting sqref="A11">
    <cfRule type="expression" dxfId="13451" priority="59">
      <formula>$AH11=0</formula>
    </cfRule>
  </conditionalFormatting>
  <conditionalFormatting sqref="N11:AG11">
    <cfRule type="expression" dxfId="13450" priority="55">
      <formula>N$9&gt;=20/24</formula>
    </cfRule>
    <cfRule type="expression" dxfId="13449" priority="56">
      <formula>AND(N$9&gt;=14/24,N$9&lt;20/24)</formula>
    </cfRule>
    <cfRule type="expression" dxfId="13448" priority="57">
      <formula>AND(N$9&gt;=8/24,N$9&lt;14/24)</formula>
    </cfRule>
    <cfRule type="expression" dxfId="13447" priority="58">
      <formula>N$9&lt;8/24</formula>
    </cfRule>
  </conditionalFormatting>
  <conditionalFormatting sqref="N11:AG11">
    <cfRule type="expression" dxfId="13446" priority="54">
      <formula>N11&gt;$AG11</formula>
    </cfRule>
  </conditionalFormatting>
  <conditionalFormatting sqref="B11:M11">
    <cfRule type="expression" dxfId="13445" priority="50">
      <formula>B$9&gt;=20/24</formula>
    </cfRule>
    <cfRule type="expression" dxfId="13444" priority="51">
      <formula>AND(B$9&gt;=14/24,B$9&lt;20/24)</formula>
    </cfRule>
    <cfRule type="expression" dxfId="13443" priority="52">
      <formula>AND(B$9&gt;=8/24,B$9&lt;14/24)</formula>
    </cfRule>
    <cfRule type="expression" dxfId="13442" priority="53">
      <formula>B$9&lt;8/24</formula>
    </cfRule>
  </conditionalFormatting>
  <conditionalFormatting sqref="B11:M11">
    <cfRule type="expression" dxfId="13441" priority="49">
      <formula>B11&gt;$AG11</formula>
    </cfRule>
  </conditionalFormatting>
  <conditionalFormatting sqref="A16">
    <cfRule type="expression" dxfId="13440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N16:AG16">
    <cfRule type="expression" dxfId="13439" priority="43">
      <formula>N$9&gt;=20/24</formula>
    </cfRule>
    <cfRule type="expression" dxfId="13438" priority="44">
      <formula>AND(N$9&gt;=14/24,N$9&lt;20/24)</formula>
    </cfRule>
    <cfRule type="expression" dxfId="13437" priority="45">
      <formula>AND(N$9&gt;=8/24,N$9&lt;14/24)</formula>
    </cfRule>
    <cfRule type="expression" dxfId="13436" priority="46">
      <formula>N$9&lt;8/24</formula>
    </cfRule>
  </conditionalFormatting>
  <conditionalFormatting sqref="N16:AG16">
    <cfRule type="expression" dxfId="13435" priority="42">
      <formula>N16&gt;$AG16</formula>
    </cfRule>
  </conditionalFormatting>
  <conditionalFormatting sqref="B16:M16">
    <cfRule type="expression" dxfId="13434" priority="38">
      <formula>B$9&gt;=20/24</formula>
    </cfRule>
    <cfRule type="expression" dxfId="13433" priority="39">
      <formula>AND(B$9&gt;=14/24,B$9&lt;20/24)</formula>
    </cfRule>
    <cfRule type="expression" dxfId="13432" priority="40">
      <formula>AND(B$9&gt;=8/24,B$9&lt;14/24)</formula>
    </cfRule>
    <cfRule type="expression" dxfId="13431" priority="41">
      <formula>B$9&lt;8/24</formula>
    </cfRule>
  </conditionalFormatting>
  <conditionalFormatting sqref="B16:M16">
    <cfRule type="expression" dxfId="13430" priority="37">
      <formula>B16&gt;$AG16</formula>
    </cfRule>
  </conditionalFormatting>
  <conditionalFormatting sqref="A33">
    <cfRule type="expression" dxfId="13429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P33:AG33">
    <cfRule type="expression" dxfId="13428" priority="31">
      <formula>P$9&gt;=20/24</formula>
    </cfRule>
    <cfRule type="expression" dxfId="13427" priority="32">
      <formula>AND(P$9&gt;=14/24,P$9&lt;20/24)</formula>
    </cfRule>
    <cfRule type="expression" dxfId="13426" priority="33">
      <formula>AND(P$9&gt;=8/24,P$9&lt;14/24)</formula>
    </cfRule>
    <cfRule type="expression" dxfId="13425" priority="34">
      <formula>P$9&lt;8/24</formula>
    </cfRule>
  </conditionalFormatting>
  <conditionalFormatting sqref="P33:AG33">
    <cfRule type="expression" dxfId="13424" priority="30">
      <formula>P33&gt;$AG33</formula>
    </cfRule>
  </conditionalFormatting>
  <conditionalFormatting sqref="B33:O33">
    <cfRule type="expression" dxfId="13423" priority="26">
      <formula>B$9&gt;=20/24</formula>
    </cfRule>
    <cfRule type="expression" dxfId="13422" priority="27">
      <formula>AND(B$9&gt;=14/24,B$9&lt;20/24)</formula>
    </cfRule>
    <cfRule type="expression" dxfId="13421" priority="28">
      <formula>AND(B$9&gt;=8/24,B$9&lt;14/24)</formula>
    </cfRule>
    <cfRule type="expression" dxfId="13420" priority="29">
      <formula>B$9&lt;8/24</formula>
    </cfRule>
  </conditionalFormatting>
  <conditionalFormatting sqref="B33:O33">
    <cfRule type="expression" dxfId="13419" priority="25">
      <formula>B33&gt;$AG33</formula>
    </cfRule>
  </conditionalFormatting>
  <conditionalFormatting sqref="A44">
    <cfRule type="expression" dxfId="13418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P44:AG44">
    <cfRule type="expression" dxfId="13417" priority="22">
      <formula>P44&gt;$AG44</formula>
    </cfRule>
  </conditionalFormatting>
  <conditionalFormatting sqref="P44:AG44">
    <cfRule type="expression" dxfId="13416" priority="18">
      <formula>P$9&gt;=20/24</formula>
    </cfRule>
    <cfRule type="expression" dxfId="13415" priority="19">
      <formula>AND(P$9&gt;=14/24,P$9&lt;20/24)</formula>
    </cfRule>
    <cfRule type="expression" dxfId="13414" priority="20">
      <formula>AND(P$9&gt;=8/24,P$9&lt;14/24)</formula>
    </cfRule>
    <cfRule type="expression" dxfId="13413" priority="21">
      <formula>P$9&lt;8/24</formula>
    </cfRule>
  </conditionalFormatting>
  <conditionalFormatting sqref="B44:O44">
    <cfRule type="expression" dxfId="13412" priority="14">
      <formula>B$9&gt;=20/24</formula>
    </cfRule>
    <cfRule type="expression" dxfId="13411" priority="15">
      <formula>AND(B$9&gt;=14/24,B$9&lt;20/24)</formula>
    </cfRule>
    <cfRule type="expression" dxfId="13410" priority="16">
      <formula>AND(B$9&gt;=8/24,B$9&lt;14/24)</formula>
    </cfRule>
    <cfRule type="expression" dxfId="13409" priority="17">
      <formula>B$9&lt;8/24</formula>
    </cfRule>
  </conditionalFormatting>
  <conditionalFormatting sqref="B44:O44">
    <cfRule type="expression" dxfId="13408" priority="13">
      <formula>B44&gt;$AG44</formula>
    </cfRule>
  </conditionalFormatting>
  <conditionalFormatting sqref="B117">
    <cfRule type="expression" dxfId="13407" priority="1">
      <formula>B$9&gt;=20/24</formula>
    </cfRule>
    <cfRule type="expression" dxfId="13406" priority="2">
      <formula>AND(B$9&gt;=14/24,B$9&lt;20/24)</formula>
    </cfRule>
    <cfRule type="expression" dxfId="13405" priority="3">
      <formula>AND(B$9&gt;=8/24,B$9&lt;14/24)</formula>
    </cfRule>
    <cfRule type="expression" dxfId="13404" priority="4">
      <formula>B$9&lt;8/24</formula>
    </cfRule>
  </conditionalFormatting>
  <conditionalFormatting sqref="D117:AF117">
    <cfRule type="expression" dxfId="13403" priority="9">
      <formula>D$9&gt;=20/24</formula>
    </cfRule>
    <cfRule type="expression" dxfId="13402" priority="10">
      <formula>AND(D$9&gt;=14/24,D$9&lt;20/24)</formula>
    </cfRule>
    <cfRule type="expression" dxfId="13401" priority="11">
      <formula>AND(D$9&gt;=8/24,D$9&lt;14/24)</formula>
    </cfRule>
    <cfRule type="expression" dxfId="13400" priority="12">
      <formula>D$9&lt;8/24</formula>
    </cfRule>
  </conditionalFormatting>
  <conditionalFormatting sqref="C117">
    <cfRule type="expression" dxfId="13399" priority="5">
      <formula>C$9&gt;=20/24</formula>
    </cfRule>
    <cfRule type="expression" dxfId="13398" priority="6">
      <formula>AND(C$9&gt;=14/24,C$9&lt;20/24)</formula>
    </cfRule>
    <cfRule type="expression" dxfId="13397" priority="7">
      <formula>AND(C$9&gt;=8/24,C$9&lt;14/24)</formula>
    </cfRule>
    <cfRule type="expression" dxfId="13396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9B442452-630C-4F6B-BBAF-2C8A3B74054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4C54DCC0-F2EB-411C-8201-BA72865C34A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3FE9E1E9-932F-419A-B9C8-056869C02C6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075DD7FE-1204-4FEB-A643-7A5EB05AFDA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10B772D4-17C4-4FA5-928E-B2F3B318D6E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DA25FE42-0458-46EA-A157-4D43AB11130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651E9087-78F4-4D39-B772-9D10D82FCD1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9A36131F-9F6E-4121-972E-EE8658EB886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1"/>
  <dimension ref="A1:CJ278"/>
  <sheetViews>
    <sheetView zoomScale="90" zoomScaleNormal="90" workbookViewId="0">
      <pane ySplit="10" topLeftCell="A17" activePane="bottomLeft" state="frozen"/>
      <selection activeCell="Z85" sqref="Z85"/>
      <selection pane="bottomLeft" activeCell="B5" sqref="B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9.140625" style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2080/02/2</v>
      </c>
      <c r="C4" s="191"/>
      <c r="D4" s="191"/>
      <c r="E4" s="192" t="str">
        <f ca="1">"2079/"&amp;"12/"&amp;INT(MID(CELL("filename",G6),FIND("]",CELL("filename",G6))+1,200))</f>
        <v>2079/12/2</v>
      </c>
      <c r="F4" s="192"/>
      <c r="G4" s="192"/>
      <c r="H4" s="192" t="str">
        <f ca="1">TEXT(E4,"dddd")</f>
        <v>Saturday</v>
      </c>
      <c r="I4" s="192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465.3</v>
      </c>
      <c r="C5" s="30">
        <f t="shared" si="0"/>
        <v>504.4</v>
      </c>
      <c r="D5" s="30">
        <f t="shared" si="0"/>
        <v>463.3</v>
      </c>
      <c r="E5" s="30">
        <f t="shared" si="0"/>
        <v>455.7</v>
      </c>
      <c r="F5" s="30">
        <f t="shared" si="0"/>
        <v>459.40000000000003</v>
      </c>
      <c r="G5" s="30">
        <f t="shared" si="0"/>
        <v>463.2</v>
      </c>
      <c r="H5" s="30">
        <f t="shared" si="0"/>
        <v>470.8</v>
      </c>
      <c r="I5" s="30">
        <f t="shared" si="0"/>
        <v>469.40000000000003</v>
      </c>
      <c r="J5" s="30">
        <f t="shared" si="0"/>
        <v>544.5</v>
      </c>
      <c r="K5" s="30">
        <f t="shared" si="0"/>
        <v>491.4</v>
      </c>
      <c r="L5" s="30">
        <f t="shared" si="0"/>
        <v>495.5</v>
      </c>
      <c r="M5" s="30">
        <f t="shared" si="0"/>
        <v>494.5</v>
      </c>
      <c r="N5" s="30">
        <f t="shared" si="0"/>
        <v>549.79999999999995</v>
      </c>
      <c r="O5" s="30">
        <f t="shared" si="0"/>
        <v>554.79999999999995</v>
      </c>
      <c r="P5" s="30">
        <f t="shared" si="0"/>
        <v>544.79999999999995</v>
      </c>
      <c r="Q5" s="30">
        <f t="shared" si="0"/>
        <v>563</v>
      </c>
      <c r="R5" s="30">
        <f t="shared" si="0"/>
        <v>546</v>
      </c>
      <c r="S5" s="30">
        <f t="shared" si="0"/>
        <v>518.29999999999995</v>
      </c>
      <c r="T5" s="30">
        <f t="shared" si="0"/>
        <v>530</v>
      </c>
      <c r="U5" s="30">
        <f t="shared" si="0"/>
        <v>530</v>
      </c>
      <c r="V5" s="30">
        <f t="shared" si="0"/>
        <v>536.9</v>
      </c>
      <c r="W5" s="30">
        <f t="shared" si="0"/>
        <v>473.9</v>
      </c>
      <c r="X5" s="30">
        <f t="shared" si="0"/>
        <v>463.49999999999994</v>
      </c>
      <c r="Y5" s="30">
        <f t="shared" si="0"/>
        <v>441.09999999999997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217</v>
      </c>
      <c r="AD5" s="30">
        <f t="shared" si="0"/>
        <v>284</v>
      </c>
      <c r="AE5" s="30">
        <f t="shared" si="0"/>
        <v>303.7</v>
      </c>
      <c r="AF5" s="30">
        <f>B82</f>
        <v>498.5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1436MW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B89</f>
        <v>1374.1399999999999</v>
      </c>
      <c r="C7" s="35">
        <f t="shared" si="1"/>
        <v>1351.24</v>
      </c>
      <c r="D7" s="35">
        <f t="shared" si="1"/>
        <v>1386.54</v>
      </c>
      <c r="E7" s="35">
        <f t="shared" si="1"/>
        <v>1330.04</v>
      </c>
      <c r="F7" s="35">
        <f t="shared" si="1"/>
        <v>1283.44</v>
      </c>
      <c r="G7" s="35">
        <f t="shared" si="1"/>
        <v>1350.44</v>
      </c>
      <c r="H7" s="35">
        <f t="shared" si="1"/>
        <v>1292.24</v>
      </c>
      <c r="I7" s="35">
        <f t="shared" si="1"/>
        <v>1303.8399999999999</v>
      </c>
      <c r="J7" s="35">
        <f t="shared" si="1"/>
        <v>1369.94</v>
      </c>
      <c r="K7" s="35">
        <f t="shared" si="1"/>
        <v>1436.24</v>
      </c>
      <c r="L7" s="35">
        <f t="shared" si="1"/>
        <v>1386.1399999999999</v>
      </c>
      <c r="M7" s="35">
        <f t="shared" si="1"/>
        <v>1388.94</v>
      </c>
      <c r="N7" s="35">
        <f>N89</f>
        <v>1387.94</v>
      </c>
      <c r="O7" s="35">
        <f t="shared" si="1"/>
        <v>1449.54</v>
      </c>
      <c r="P7" s="35">
        <f t="shared" si="1"/>
        <v>1444.1399999999999</v>
      </c>
      <c r="Q7" s="35">
        <f t="shared" si="1"/>
        <v>1525.1399999999999</v>
      </c>
      <c r="R7" s="35">
        <f t="shared" si="1"/>
        <v>1627.1399999999999</v>
      </c>
      <c r="S7" s="35">
        <f t="shared" si="1"/>
        <v>1518.34</v>
      </c>
      <c r="T7" s="35">
        <f t="shared" si="1"/>
        <v>1543.4399999999998</v>
      </c>
      <c r="U7" s="35">
        <f t="shared" si="1"/>
        <v>1449.1399999999999</v>
      </c>
      <c r="V7" s="35">
        <f t="shared" si="1"/>
        <v>1411.74</v>
      </c>
      <c r="W7" s="35">
        <f t="shared" si="1"/>
        <v>1415.44</v>
      </c>
      <c r="X7" s="35">
        <f t="shared" si="1"/>
        <v>1332.04</v>
      </c>
      <c r="Y7" s="35">
        <f t="shared" si="1"/>
        <v>1304.4399999999998</v>
      </c>
      <c r="Z7" s="35">
        <f t="shared" si="1"/>
        <v>1349.54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1237.7399999999998</v>
      </c>
      <c r="AE7" s="35">
        <f t="shared" si="1"/>
        <v>1301.74</v>
      </c>
      <c r="AF7" s="35">
        <f t="shared" si="1"/>
        <v>1313.74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</v>
      </c>
      <c r="C11" s="45">
        <v>27</v>
      </c>
      <c r="D11" s="45">
        <v>27</v>
      </c>
      <c r="E11" s="45">
        <v>27</v>
      </c>
      <c r="F11" s="45">
        <v>27</v>
      </c>
      <c r="G11" s="45">
        <v>27</v>
      </c>
      <c r="H11" s="45">
        <v>27</v>
      </c>
      <c r="I11" s="45">
        <v>27</v>
      </c>
      <c r="J11" s="45">
        <v>27</v>
      </c>
      <c r="K11" s="45">
        <v>27</v>
      </c>
      <c r="L11" s="45">
        <v>27</v>
      </c>
      <c r="M11" s="45">
        <v>24</v>
      </c>
      <c r="N11" s="45">
        <v>24</v>
      </c>
      <c r="O11" s="45">
        <v>24</v>
      </c>
      <c r="P11" s="45">
        <v>24</v>
      </c>
      <c r="Q11" s="45">
        <v>24</v>
      </c>
      <c r="R11" s="45">
        <v>24</v>
      </c>
      <c r="S11" s="45">
        <v>24</v>
      </c>
      <c r="T11" s="45">
        <v>24</v>
      </c>
      <c r="U11" s="45">
        <v>24</v>
      </c>
      <c r="V11" s="45">
        <v>24</v>
      </c>
      <c r="W11" s="45">
        <v>24</v>
      </c>
      <c r="X11" s="45">
        <v>24</v>
      </c>
      <c r="Y11" s="45">
        <v>24</v>
      </c>
      <c r="Z11" s="45">
        <v>24</v>
      </c>
      <c r="AA11" s="45"/>
      <c r="AB11" s="45"/>
      <c r="AC11" s="45"/>
      <c r="AD11" s="45">
        <v>24</v>
      </c>
      <c r="AE11" s="45">
        <v>24</v>
      </c>
      <c r="AF11" s="45">
        <v>24</v>
      </c>
      <c r="AG11" s="46">
        <v>86</v>
      </c>
      <c r="AH11" s="47">
        <f t="shared" ref="AH11:AH74" si="2">MAX(B11:AF11)</f>
        <v>27</v>
      </c>
      <c r="AI11" s="48">
        <f t="shared" ref="AI11:AI74" si="3">MIN(B11:AF11)</f>
        <v>24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15.6</v>
      </c>
      <c r="C12" s="45">
        <v>15.6</v>
      </c>
      <c r="D12" s="45">
        <v>17.100000000000001</v>
      </c>
      <c r="E12" s="45">
        <v>17.100000000000001</v>
      </c>
      <c r="F12" s="45">
        <v>17.100000000000001</v>
      </c>
      <c r="G12" s="45">
        <v>17.100000000000001</v>
      </c>
      <c r="H12" s="45">
        <v>17.100000000000001</v>
      </c>
      <c r="I12" s="45">
        <v>17.100000000000001</v>
      </c>
      <c r="J12" s="45">
        <v>17.100000000000001</v>
      </c>
      <c r="K12" s="45">
        <v>17.100000000000001</v>
      </c>
      <c r="L12" s="45">
        <v>17.100000000000001</v>
      </c>
      <c r="M12" s="45">
        <v>19.5</v>
      </c>
      <c r="N12" s="45">
        <v>19.5</v>
      </c>
      <c r="O12" s="45">
        <v>19.5</v>
      </c>
      <c r="P12" s="45">
        <v>19.5</v>
      </c>
      <c r="Q12" s="45">
        <v>19.5</v>
      </c>
      <c r="R12" s="45">
        <v>19.5</v>
      </c>
      <c r="S12" s="45">
        <v>19.5</v>
      </c>
      <c r="T12" s="45">
        <v>19.5</v>
      </c>
      <c r="U12" s="45">
        <v>19.5</v>
      </c>
      <c r="V12" s="45">
        <v>19.5</v>
      </c>
      <c r="W12" s="45">
        <v>19.5</v>
      </c>
      <c r="X12" s="45">
        <v>19.5</v>
      </c>
      <c r="Y12" s="45">
        <v>19.5</v>
      </c>
      <c r="Z12" s="45">
        <v>19.5</v>
      </c>
      <c r="AA12" s="45"/>
      <c r="AB12" s="45"/>
      <c r="AC12" s="45"/>
      <c r="AD12" s="45">
        <v>19.5</v>
      </c>
      <c r="AE12" s="45">
        <v>19.5</v>
      </c>
      <c r="AF12" s="45">
        <v>19.5</v>
      </c>
      <c r="AG12" s="46">
        <v>52.4</v>
      </c>
      <c r="AH12" s="47">
        <f t="shared" si="2"/>
        <v>19.5</v>
      </c>
      <c r="AI12" s="48">
        <f t="shared" si="3"/>
        <v>15.6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45.5</v>
      </c>
      <c r="C13" s="45">
        <v>45.5</v>
      </c>
      <c r="D13" s="45">
        <v>45.5</v>
      </c>
      <c r="E13" s="45">
        <v>45.5</v>
      </c>
      <c r="F13" s="45">
        <v>45.5</v>
      </c>
      <c r="G13" s="45">
        <v>45.5</v>
      </c>
      <c r="H13" s="45">
        <v>45.5</v>
      </c>
      <c r="I13" s="45">
        <v>45.5</v>
      </c>
      <c r="J13" s="45">
        <v>45.5</v>
      </c>
      <c r="K13" s="45">
        <v>45.5</v>
      </c>
      <c r="L13" s="45">
        <v>45.5</v>
      </c>
      <c r="M13" s="45">
        <v>45.5</v>
      </c>
      <c r="N13" s="45">
        <v>45.5</v>
      </c>
      <c r="O13" s="45">
        <v>45.5</v>
      </c>
      <c r="P13" s="45">
        <v>45.5</v>
      </c>
      <c r="Q13" s="45">
        <v>45.5</v>
      </c>
      <c r="R13" s="45">
        <v>45.5</v>
      </c>
      <c r="S13" s="45">
        <v>45.5</v>
      </c>
      <c r="T13" s="45">
        <v>45.5</v>
      </c>
      <c r="U13" s="45">
        <v>45.5</v>
      </c>
      <c r="V13" s="45">
        <v>45.5</v>
      </c>
      <c r="W13" s="45">
        <v>45.5</v>
      </c>
      <c r="X13" s="45">
        <v>45.5</v>
      </c>
      <c r="Y13" s="45">
        <v>45.5</v>
      </c>
      <c r="Z13" s="45">
        <v>45.5</v>
      </c>
      <c r="AA13" s="45"/>
      <c r="AB13" s="45"/>
      <c r="AC13" s="45"/>
      <c r="AD13" s="45">
        <v>45.5</v>
      </c>
      <c r="AE13" s="45">
        <v>45.5</v>
      </c>
      <c r="AF13" s="45">
        <v>45.5</v>
      </c>
      <c r="AG13" s="50">
        <v>50</v>
      </c>
      <c r="AH13" s="47">
        <f t="shared" si="2"/>
        <v>45.5</v>
      </c>
      <c r="AI13" s="48">
        <f t="shared" si="3"/>
        <v>45.5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24.4</v>
      </c>
      <c r="C14" s="45">
        <v>24</v>
      </c>
      <c r="D14" s="45">
        <v>24.2</v>
      </c>
      <c r="E14" s="45">
        <v>24.2</v>
      </c>
      <c r="F14" s="45">
        <v>24.2</v>
      </c>
      <c r="G14" s="45">
        <v>24.2</v>
      </c>
      <c r="H14" s="45">
        <v>24.2</v>
      </c>
      <c r="I14" s="45">
        <v>24.2</v>
      </c>
      <c r="J14" s="45">
        <v>24.2</v>
      </c>
      <c r="K14" s="45">
        <v>24.2</v>
      </c>
      <c r="L14" s="45">
        <v>24.2</v>
      </c>
      <c r="M14" s="45">
        <v>23.5</v>
      </c>
      <c r="N14" s="45">
        <v>23.5</v>
      </c>
      <c r="O14" s="45">
        <v>23.5</v>
      </c>
      <c r="P14" s="45">
        <v>23.5</v>
      </c>
      <c r="Q14" s="45">
        <v>23.5</v>
      </c>
      <c r="R14" s="45">
        <v>23.5</v>
      </c>
      <c r="S14" s="45">
        <v>23.5</v>
      </c>
      <c r="T14" s="45">
        <v>23.5</v>
      </c>
      <c r="U14" s="45">
        <v>23.5</v>
      </c>
      <c r="V14" s="45">
        <v>23.5</v>
      </c>
      <c r="W14" s="45">
        <v>23.5</v>
      </c>
      <c r="X14" s="45">
        <v>23.5</v>
      </c>
      <c r="Y14" s="45">
        <v>23.5</v>
      </c>
      <c r="Z14" s="45">
        <v>23.5</v>
      </c>
      <c r="AA14" s="45"/>
      <c r="AB14" s="45"/>
      <c r="AC14" s="45"/>
      <c r="AD14" s="45">
        <v>23.5</v>
      </c>
      <c r="AE14" s="45">
        <v>23.5</v>
      </c>
      <c r="AF14" s="45">
        <v>23.5</v>
      </c>
      <c r="AG14" s="50">
        <v>45</v>
      </c>
      <c r="AH14" s="47">
        <f t="shared" si="2"/>
        <v>24.4</v>
      </c>
      <c r="AI14" s="48">
        <f t="shared" si="3"/>
        <v>23.5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</v>
      </c>
      <c r="C15" s="45">
        <v>16</v>
      </c>
      <c r="D15" s="45">
        <v>14</v>
      </c>
      <c r="E15" s="45">
        <v>14</v>
      </c>
      <c r="F15" s="45">
        <v>14</v>
      </c>
      <c r="G15" s="45">
        <v>14</v>
      </c>
      <c r="H15" s="45">
        <v>14</v>
      </c>
      <c r="I15" s="45">
        <v>14</v>
      </c>
      <c r="J15" s="45">
        <v>14</v>
      </c>
      <c r="K15" s="45">
        <v>14</v>
      </c>
      <c r="L15" s="45">
        <v>14</v>
      </c>
      <c r="M15" s="45">
        <v>14</v>
      </c>
      <c r="N15" s="45">
        <v>14</v>
      </c>
      <c r="O15" s="45">
        <v>14</v>
      </c>
      <c r="P15" s="45">
        <v>14</v>
      </c>
      <c r="Q15" s="45">
        <v>14</v>
      </c>
      <c r="R15" s="45">
        <v>14</v>
      </c>
      <c r="S15" s="45">
        <v>14</v>
      </c>
      <c r="T15" s="45">
        <v>14</v>
      </c>
      <c r="U15" s="45">
        <v>14</v>
      </c>
      <c r="V15" s="45">
        <v>14</v>
      </c>
      <c r="W15" s="45">
        <v>14</v>
      </c>
      <c r="X15" s="45">
        <v>14</v>
      </c>
      <c r="Y15" s="45">
        <v>14</v>
      </c>
      <c r="Z15" s="45">
        <v>14</v>
      </c>
      <c r="AA15" s="45"/>
      <c r="AB15" s="45"/>
      <c r="AC15" s="45"/>
      <c r="AD15" s="45">
        <v>14</v>
      </c>
      <c r="AE15" s="45">
        <v>24</v>
      </c>
      <c r="AF15" s="45">
        <v>24</v>
      </c>
      <c r="AG15" s="50">
        <v>42</v>
      </c>
      <c r="AH15" s="47">
        <f t="shared" si="2"/>
        <v>24</v>
      </c>
      <c r="AI15" s="48">
        <f t="shared" si="3"/>
        <v>14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20</v>
      </c>
      <c r="C16" s="45">
        <v>20</v>
      </c>
      <c r="D16" s="45">
        <v>20</v>
      </c>
      <c r="E16" s="45">
        <v>20</v>
      </c>
      <c r="F16" s="45">
        <v>20</v>
      </c>
      <c r="G16" s="45">
        <v>20</v>
      </c>
      <c r="H16" s="45">
        <v>20</v>
      </c>
      <c r="I16" s="45">
        <v>20</v>
      </c>
      <c r="J16" s="45">
        <v>20</v>
      </c>
      <c r="K16" s="45">
        <v>20</v>
      </c>
      <c r="L16" s="45">
        <v>20</v>
      </c>
      <c r="M16" s="45">
        <v>20</v>
      </c>
      <c r="N16" s="45">
        <v>20</v>
      </c>
      <c r="O16" s="45">
        <v>20</v>
      </c>
      <c r="P16" s="45">
        <v>20</v>
      </c>
      <c r="Q16" s="45">
        <v>20</v>
      </c>
      <c r="R16" s="45">
        <v>20</v>
      </c>
      <c r="S16" s="45">
        <v>20</v>
      </c>
      <c r="T16" s="45">
        <v>20</v>
      </c>
      <c r="U16" s="45">
        <v>20</v>
      </c>
      <c r="V16" s="45">
        <v>20</v>
      </c>
      <c r="W16" s="45">
        <v>20</v>
      </c>
      <c r="X16" s="45">
        <v>20</v>
      </c>
      <c r="Y16" s="45">
        <v>20</v>
      </c>
      <c r="Z16" s="45">
        <v>20</v>
      </c>
      <c r="AA16" s="45"/>
      <c r="AB16" s="45"/>
      <c r="AC16" s="45"/>
      <c r="AD16" s="45">
        <v>20</v>
      </c>
      <c r="AE16" s="45">
        <v>20</v>
      </c>
      <c r="AF16" s="45">
        <v>20</v>
      </c>
      <c r="AG16" s="50">
        <v>36</v>
      </c>
      <c r="AH16" s="47">
        <f t="shared" si="2"/>
        <v>20</v>
      </c>
      <c r="AI16" s="48">
        <f t="shared" si="3"/>
        <v>20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10</v>
      </c>
      <c r="C17" s="45">
        <v>10</v>
      </c>
      <c r="D17" s="45">
        <v>10</v>
      </c>
      <c r="E17" s="45">
        <v>10</v>
      </c>
      <c r="F17" s="45">
        <v>10</v>
      </c>
      <c r="G17" s="45">
        <v>10</v>
      </c>
      <c r="H17" s="45">
        <v>10</v>
      </c>
      <c r="I17" s="45">
        <v>10</v>
      </c>
      <c r="J17" s="45">
        <v>10</v>
      </c>
      <c r="K17" s="45">
        <v>10</v>
      </c>
      <c r="L17" s="45">
        <v>10</v>
      </c>
      <c r="M17" s="45">
        <v>10</v>
      </c>
      <c r="N17" s="45">
        <v>10</v>
      </c>
      <c r="O17" s="45">
        <v>10</v>
      </c>
      <c r="P17" s="45">
        <v>10</v>
      </c>
      <c r="Q17" s="45">
        <v>10</v>
      </c>
      <c r="R17" s="45">
        <v>10</v>
      </c>
      <c r="S17" s="45">
        <v>10</v>
      </c>
      <c r="T17" s="45">
        <v>10</v>
      </c>
      <c r="U17" s="45">
        <v>10</v>
      </c>
      <c r="V17" s="45">
        <v>10</v>
      </c>
      <c r="W17" s="45">
        <v>10</v>
      </c>
      <c r="X17" s="45">
        <v>10</v>
      </c>
      <c r="Y17" s="45">
        <v>10</v>
      </c>
      <c r="Z17" s="45">
        <v>10</v>
      </c>
      <c r="AA17" s="45"/>
      <c r="AB17" s="45"/>
      <c r="AC17" s="45"/>
      <c r="AD17" s="45">
        <v>10</v>
      </c>
      <c r="AE17" s="45">
        <v>10</v>
      </c>
      <c r="AF17" s="45">
        <v>10</v>
      </c>
      <c r="AG17" s="50">
        <v>36</v>
      </c>
      <c r="AH17" s="47">
        <f t="shared" si="2"/>
        <v>10</v>
      </c>
      <c r="AI17" s="48">
        <f t="shared" si="3"/>
        <v>10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5</v>
      </c>
      <c r="H18" s="45">
        <v>5</v>
      </c>
      <c r="I18" s="45">
        <v>5</v>
      </c>
      <c r="J18" s="45">
        <v>5</v>
      </c>
      <c r="K18" s="45">
        <v>15</v>
      </c>
      <c r="L18" s="45">
        <v>15</v>
      </c>
      <c r="M18" s="45">
        <v>15</v>
      </c>
      <c r="N18" s="45">
        <v>15</v>
      </c>
      <c r="O18" s="45">
        <v>15</v>
      </c>
      <c r="P18" s="45">
        <v>15</v>
      </c>
      <c r="Q18" s="45">
        <v>15</v>
      </c>
      <c r="R18" s="45">
        <v>15</v>
      </c>
      <c r="S18" s="45">
        <v>15</v>
      </c>
      <c r="T18" s="45">
        <v>15</v>
      </c>
      <c r="U18" s="45">
        <v>15</v>
      </c>
      <c r="V18" s="45">
        <v>15</v>
      </c>
      <c r="W18" s="45">
        <v>15</v>
      </c>
      <c r="X18" s="45">
        <v>15</v>
      </c>
      <c r="Y18" s="45">
        <v>15</v>
      </c>
      <c r="Z18" s="45">
        <v>15</v>
      </c>
      <c r="AA18" s="45"/>
      <c r="AB18" s="45"/>
      <c r="AC18" s="45"/>
      <c r="AD18" s="45">
        <v>15</v>
      </c>
      <c r="AE18" s="45">
        <v>16</v>
      </c>
      <c r="AF18" s="45">
        <v>16</v>
      </c>
      <c r="AG18" s="51">
        <v>30</v>
      </c>
      <c r="AH18" s="47">
        <f t="shared" si="2"/>
        <v>16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8</v>
      </c>
      <c r="C19" s="45">
        <v>8.5</v>
      </c>
      <c r="D19" s="45">
        <v>8.6999999999999993</v>
      </c>
      <c r="E19" s="45">
        <v>8.6999999999999993</v>
      </c>
      <c r="F19" s="45">
        <v>8.6999999999999993</v>
      </c>
      <c r="G19" s="45">
        <v>8.6999999999999993</v>
      </c>
      <c r="H19" s="45">
        <v>8.6999999999999993</v>
      </c>
      <c r="I19" s="45">
        <v>8.6999999999999993</v>
      </c>
      <c r="J19" s="45">
        <v>8.6999999999999993</v>
      </c>
      <c r="K19" s="45">
        <v>8.6999999999999993</v>
      </c>
      <c r="L19" s="45">
        <v>8.6999999999999993</v>
      </c>
      <c r="M19" s="45">
        <v>8.6999999999999993</v>
      </c>
      <c r="N19" s="45">
        <v>8.6999999999999993</v>
      </c>
      <c r="O19" s="45">
        <v>8.6999999999999993</v>
      </c>
      <c r="P19" s="45">
        <v>8.6999999999999993</v>
      </c>
      <c r="Q19" s="45">
        <v>8.6999999999999993</v>
      </c>
      <c r="R19" s="45">
        <v>8.6999999999999993</v>
      </c>
      <c r="S19" s="45">
        <v>8.6999999999999993</v>
      </c>
      <c r="T19" s="45">
        <v>8.6999999999999993</v>
      </c>
      <c r="U19" s="45">
        <v>8.6999999999999993</v>
      </c>
      <c r="V19" s="45">
        <v>8.6999999999999993</v>
      </c>
      <c r="W19" s="45">
        <v>8.6999999999999993</v>
      </c>
      <c r="X19" s="45">
        <v>8.6999999999999993</v>
      </c>
      <c r="Y19" s="45">
        <v>8.6999999999999993</v>
      </c>
      <c r="Z19" s="45">
        <v>8.6999999999999993</v>
      </c>
      <c r="AA19" s="45"/>
      <c r="AB19" s="45"/>
      <c r="AC19" s="45"/>
      <c r="AD19" s="45">
        <v>8.6999999999999993</v>
      </c>
      <c r="AE19" s="45">
        <v>8.6999999999999993</v>
      </c>
      <c r="AF19" s="45">
        <v>8.6999999999999993</v>
      </c>
      <c r="AG19" s="50">
        <v>24.2</v>
      </c>
      <c r="AH19" s="47">
        <f t="shared" si="2"/>
        <v>8.6999999999999993</v>
      </c>
      <c r="AI19" s="48">
        <f t="shared" si="3"/>
        <v>8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</v>
      </c>
      <c r="C20" s="45">
        <v>9</v>
      </c>
      <c r="D20" s="45">
        <v>9</v>
      </c>
      <c r="E20" s="45">
        <v>9</v>
      </c>
      <c r="F20" s="45">
        <v>9</v>
      </c>
      <c r="G20" s="45">
        <v>9</v>
      </c>
      <c r="H20" s="45">
        <v>9</v>
      </c>
      <c r="I20" s="45">
        <v>9</v>
      </c>
      <c r="J20" s="45">
        <v>9</v>
      </c>
      <c r="K20" s="45">
        <v>9</v>
      </c>
      <c r="L20" s="45">
        <v>9</v>
      </c>
      <c r="M20" s="45">
        <v>9</v>
      </c>
      <c r="N20" s="45">
        <v>9</v>
      </c>
      <c r="O20" s="45">
        <v>9</v>
      </c>
      <c r="P20" s="45">
        <v>9</v>
      </c>
      <c r="Q20" s="45">
        <v>9</v>
      </c>
      <c r="R20" s="45">
        <v>9</v>
      </c>
      <c r="S20" s="45">
        <v>9</v>
      </c>
      <c r="T20" s="45">
        <v>9</v>
      </c>
      <c r="U20" s="45">
        <v>9</v>
      </c>
      <c r="V20" s="45">
        <v>9</v>
      </c>
      <c r="W20" s="45">
        <v>9</v>
      </c>
      <c r="X20" s="45">
        <v>9</v>
      </c>
      <c r="Y20" s="45">
        <v>9</v>
      </c>
      <c r="Z20" s="45">
        <v>9</v>
      </c>
      <c r="AA20" s="45"/>
      <c r="AB20" s="45"/>
      <c r="AC20" s="45"/>
      <c r="AD20" s="45">
        <v>9</v>
      </c>
      <c r="AE20" s="45">
        <v>9</v>
      </c>
      <c r="AF20" s="45">
        <v>9</v>
      </c>
      <c r="AG20" s="50">
        <v>28</v>
      </c>
      <c r="AH20" s="47">
        <f t="shared" si="2"/>
        <v>9</v>
      </c>
      <c r="AI20" s="48">
        <f t="shared" si="3"/>
        <v>9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5</v>
      </c>
      <c r="H21" s="45">
        <v>5</v>
      </c>
      <c r="I21" s="45">
        <v>5</v>
      </c>
      <c r="J21" s="45">
        <v>5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/>
      <c r="AB21" s="45"/>
      <c r="AC21" s="45"/>
      <c r="AD21" s="45">
        <v>14</v>
      </c>
      <c r="AE21" s="45">
        <v>14</v>
      </c>
      <c r="AF21" s="45">
        <v>14</v>
      </c>
      <c r="AG21" s="51">
        <v>30</v>
      </c>
      <c r="AH21" s="47">
        <f t="shared" si="2"/>
        <v>14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18.5</v>
      </c>
      <c r="C22" s="45">
        <v>18.3</v>
      </c>
      <c r="D22" s="45">
        <v>17.5</v>
      </c>
      <c r="E22" s="45">
        <v>17.5</v>
      </c>
      <c r="F22" s="45">
        <v>17.5</v>
      </c>
      <c r="G22" s="45">
        <v>17.5</v>
      </c>
      <c r="H22" s="45">
        <v>13</v>
      </c>
      <c r="I22" s="45">
        <v>13</v>
      </c>
      <c r="J22" s="45">
        <v>13</v>
      </c>
      <c r="K22" s="45">
        <v>13.1</v>
      </c>
      <c r="L22" s="45">
        <v>13.1</v>
      </c>
      <c r="M22" s="45">
        <v>13.1</v>
      </c>
      <c r="N22" s="45">
        <v>13.1</v>
      </c>
      <c r="O22" s="45">
        <v>13.1</v>
      </c>
      <c r="P22" s="45">
        <v>13.1</v>
      </c>
      <c r="Q22" s="45">
        <v>13.1</v>
      </c>
      <c r="R22" s="45">
        <v>13.1</v>
      </c>
      <c r="S22" s="45">
        <v>13.1</v>
      </c>
      <c r="T22" s="45">
        <v>13.1</v>
      </c>
      <c r="U22" s="45">
        <v>13.1</v>
      </c>
      <c r="V22" s="45">
        <v>13.1</v>
      </c>
      <c r="W22" s="45">
        <v>13.1</v>
      </c>
      <c r="X22" s="45">
        <v>13.1</v>
      </c>
      <c r="Y22" s="45">
        <v>13.1</v>
      </c>
      <c r="Z22" s="45">
        <v>13.1</v>
      </c>
      <c r="AA22" s="45"/>
      <c r="AB22" s="45"/>
      <c r="AC22" s="45"/>
      <c r="AD22" s="45">
        <v>13.1</v>
      </c>
      <c r="AE22" s="45">
        <v>13.1</v>
      </c>
      <c r="AF22" s="45">
        <v>13.1</v>
      </c>
      <c r="AG22" s="50">
        <v>25</v>
      </c>
      <c r="AH22" s="47">
        <f t="shared" si="2"/>
        <v>18.5</v>
      </c>
      <c r="AI22" s="48">
        <f t="shared" si="3"/>
        <v>13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8.5</v>
      </c>
      <c r="C23" s="45">
        <v>8.5</v>
      </c>
      <c r="D23" s="45">
        <v>8.5</v>
      </c>
      <c r="E23" s="45">
        <v>8.5</v>
      </c>
      <c r="F23" s="45">
        <v>8.5</v>
      </c>
      <c r="G23" s="45">
        <v>8.5</v>
      </c>
      <c r="H23" s="45">
        <v>8.5</v>
      </c>
      <c r="I23" s="45">
        <v>8.5</v>
      </c>
      <c r="J23" s="45">
        <v>8.5</v>
      </c>
      <c r="K23" s="45">
        <v>8.5</v>
      </c>
      <c r="L23" s="45">
        <v>8.5</v>
      </c>
      <c r="M23" s="45">
        <v>8.5</v>
      </c>
      <c r="N23" s="45">
        <v>8.5</v>
      </c>
      <c r="O23" s="45">
        <v>8.5</v>
      </c>
      <c r="P23" s="45">
        <v>8.5</v>
      </c>
      <c r="Q23" s="45">
        <v>8.5</v>
      </c>
      <c r="R23" s="45">
        <v>8.5</v>
      </c>
      <c r="S23" s="45">
        <v>8.5</v>
      </c>
      <c r="T23" s="45">
        <v>8.5</v>
      </c>
      <c r="U23" s="45">
        <v>8.5</v>
      </c>
      <c r="V23" s="45">
        <v>8.5</v>
      </c>
      <c r="W23" s="45">
        <v>8.5</v>
      </c>
      <c r="X23" s="45">
        <v>8.5</v>
      </c>
      <c r="Y23" s="45">
        <v>8.5</v>
      </c>
      <c r="Z23" s="45">
        <v>8.5</v>
      </c>
      <c r="AA23" s="45"/>
      <c r="AB23" s="45"/>
      <c r="AC23" s="45"/>
      <c r="AD23" s="45">
        <v>8.5</v>
      </c>
      <c r="AE23" s="45">
        <v>8.5</v>
      </c>
      <c r="AF23" s="45">
        <v>8.5</v>
      </c>
      <c r="AG23" s="50">
        <v>25</v>
      </c>
      <c r="AH23" s="47">
        <f t="shared" si="2"/>
        <v>8.5</v>
      </c>
      <c r="AI23" s="48">
        <f t="shared" si="3"/>
        <v>8.5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/>
      <c r="AB24" s="45"/>
      <c r="AC24" s="45"/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5</v>
      </c>
      <c r="H25" s="45">
        <v>5</v>
      </c>
      <c r="I25" s="45">
        <v>5</v>
      </c>
      <c r="J25" s="45">
        <v>5</v>
      </c>
      <c r="K25" s="45">
        <v>12</v>
      </c>
      <c r="L25" s="45">
        <v>12</v>
      </c>
      <c r="M25" s="45">
        <v>12</v>
      </c>
      <c r="N25" s="45">
        <v>12</v>
      </c>
      <c r="O25" s="45">
        <v>12</v>
      </c>
      <c r="P25" s="45">
        <v>12</v>
      </c>
      <c r="Q25" s="45">
        <v>12</v>
      </c>
      <c r="R25" s="45">
        <v>12</v>
      </c>
      <c r="S25" s="45">
        <v>12</v>
      </c>
      <c r="T25" s="45">
        <v>12</v>
      </c>
      <c r="U25" s="45">
        <v>12</v>
      </c>
      <c r="V25" s="45">
        <v>12</v>
      </c>
      <c r="W25" s="45">
        <v>12</v>
      </c>
      <c r="X25" s="45">
        <v>12</v>
      </c>
      <c r="Y25" s="45">
        <v>12</v>
      </c>
      <c r="Z25" s="45">
        <v>12</v>
      </c>
      <c r="AA25" s="45"/>
      <c r="AB25" s="45"/>
      <c r="AC25" s="45"/>
      <c r="AD25" s="45">
        <v>12</v>
      </c>
      <c r="AE25" s="45">
        <v>12</v>
      </c>
      <c r="AF25" s="45">
        <v>12</v>
      </c>
      <c r="AG25" s="50">
        <v>25</v>
      </c>
      <c r="AH25" s="47">
        <f t="shared" si="2"/>
        <v>12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5.9</v>
      </c>
      <c r="C26" s="45">
        <v>6.1</v>
      </c>
      <c r="D26" s="45">
        <v>5.8</v>
      </c>
      <c r="E26" s="45">
        <v>5.8</v>
      </c>
      <c r="F26" s="45">
        <v>5.8</v>
      </c>
      <c r="G26" s="45">
        <v>5.8</v>
      </c>
      <c r="H26" s="45">
        <v>5.8</v>
      </c>
      <c r="I26" s="45">
        <v>5.8</v>
      </c>
      <c r="J26" s="45">
        <v>5.8</v>
      </c>
      <c r="K26" s="45">
        <v>6</v>
      </c>
      <c r="L26" s="45">
        <v>6</v>
      </c>
      <c r="M26" s="45">
        <v>6</v>
      </c>
      <c r="N26" s="45">
        <v>6</v>
      </c>
      <c r="O26" s="45">
        <v>6</v>
      </c>
      <c r="P26" s="45">
        <v>6</v>
      </c>
      <c r="Q26" s="45">
        <v>6</v>
      </c>
      <c r="R26" s="45">
        <v>6</v>
      </c>
      <c r="S26" s="45">
        <v>6</v>
      </c>
      <c r="T26" s="45">
        <v>6</v>
      </c>
      <c r="U26" s="45">
        <v>6</v>
      </c>
      <c r="V26" s="45">
        <v>6</v>
      </c>
      <c r="W26" s="45">
        <v>6</v>
      </c>
      <c r="X26" s="45">
        <v>6</v>
      </c>
      <c r="Y26" s="45">
        <v>6</v>
      </c>
      <c r="Z26" s="45">
        <v>6</v>
      </c>
      <c r="AA26" s="45"/>
      <c r="AB26" s="45"/>
      <c r="AC26" s="45"/>
      <c r="AD26" s="45">
        <v>6</v>
      </c>
      <c r="AE26" s="45">
        <v>6</v>
      </c>
      <c r="AF26" s="45">
        <v>6</v>
      </c>
      <c r="AG26" s="50">
        <v>23.5</v>
      </c>
      <c r="AH26" s="47">
        <f t="shared" si="2"/>
        <v>6.1</v>
      </c>
      <c r="AI26" s="48">
        <f t="shared" si="3"/>
        <v>5.8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>
        <v>3</v>
      </c>
      <c r="Y27" s="45">
        <v>3</v>
      </c>
      <c r="Z27" s="45">
        <v>3</v>
      </c>
      <c r="AA27" s="45"/>
      <c r="AB27" s="45"/>
      <c r="AC27" s="45"/>
      <c r="AD27" s="45">
        <v>3</v>
      </c>
      <c r="AE27" s="45">
        <v>3</v>
      </c>
      <c r="AF27" s="45">
        <v>3</v>
      </c>
      <c r="AG27" s="50">
        <v>22.2</v>
      </c>
      <c r="AH27" s="47">
        <f t="shared" si="2"/>
        <v>3</v>
      </c>
      <c r="AI27" s="48">
        <f t="shared" si="3"/>
        <v>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/>
      <c r="AB28" s="45"/>
      <c r="AC28" s="45"/>
      <c r="AD28" s="45">
        <v>3.5</v>
      </c>
      <c r="AE28" s="45">
        <v>3.5</v>
      </c>
      <c r="AF28" s="45">
        <v>3.5</v>
      </c>
      <c r="AG28" s="50">
        <v>22.1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/>
      <c r="AB29" s="45"/>
      <c r="AC29" s="45"/>
      <c r="AD29" s="45">
        <v>3</v>
      </c>
      <c r="AE29" s="45">
        <v>3</v>
      </c>
      <c r="AF29" s="45">
        <v>3</v>
      </c>
      <c r="AG29" s="50">
        <v>22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13</v>
      </c>
      <c r="C30" s="45">
        <v>13</v>
      </c>
      <c r="D30" s="45">
        <v>12.7</v>
      </c>
      <c r="E30" s="45">
        <v>15</v>
      </c>
      <c r="F30" s="45">
        <v>16</v>
      </c>
      <c r="G30" s="45">
        <v>18</v>
      </c>
      <c r="H30" s="45">
        <v>18</v>
      </c>
      <c r="I30" s="45">
        <v>20</v>
      </c>
      <c r="J30" s="45">
        <v>19</v>
      </c>
      <c r="K30" s="45">
        <v>18</v>
      </c>
      <c r="L30" s="45">
        <v>18</v>
      </c>
      <c r="M30" s="45">
        <v>18</v>
      </c>
      <c r="N30" s="45">
        <v>18</v>
      </c>
      <c r="O30" s="45">
        <v>18</v>
      </c>
      <c r="P30" s="45">
        <v>18</v>
      </c>
      <c r="Q30" s="45">
        <v>18</v>
      </c>
      <c r="R30" s="45">
        <v>18</v>
      </c>
      <c r="S30" s="45">
        <v>18</v>
      </c>
      <c r="T30" s="45">
        <v>18</v>
      </c>
      <c r="U30" s="45">
        <v>18</v>
      </c>
      <c r="V30" s="45">
        <v>18</v>
      </c>
      <c r="W30" s="45">
        <v>18</v>
      </c>
      <c r="X30" s="45">
        <v>18</v>
      </c>
      <c r="Y30" s="45">
        <v>18</v>
      </c>
      <c r="Z30" s="45">
        <v>18</v>
      </c>
      <c r="AA30" s="45"/>
      <c r="AB30" s="45"/>
      <c r="AC30" s="45"/>
      <c r="AD30" s="45">
        <v>18</v>
      </c>
      <c r="AE30" s="45">
        <v>18</v>
      </c>
      <c r="AF30" s="45">
        <v>18</v>
      </c>
      <c r="AG30" s="50">
        <v>22</v>
      </c>
      <c r="AH30" s="47">
        <f t="shared" si="2"/>
        <v>20</v>
      </c>
      <c r="AI30" s="48">
        <f t="shared" si="3"/>
        <v>12.7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11</v>
      </c>
      <c r="C31" s="45">
        <v>11</v>
      </c>
      <c r="D31" s="45">
        <v>11</v>
      </c>
      <c r="E31" s="45">
        <v>11</v>
      </c>
      <c r="F31" s="45">
        <v>11</v>
      </c>
      <c r="G31" s="45">
        <v>11</v>
      </c>
      <c r="H31" s="45">
        <v>11</v>
      </c>
      <c r="I31" s="45">
        <v>11</v>
      </c>
      <c r="J31" s="45">
        <v>11</v>
      </c>
      <c r="K31" s="45">
        <v>11</v>
      </c>
      <c r="L31" s="45">
        <v>11</v>
      </c>
      <c r="M31" s="45">
        <v>11</v>
      </c>
      <c r="N31" s="45">
        <v>11</v>
      </c>
      <c r="O31" s="45">
        <v>11</v>
      </c>
      <c r="P31" s="45">
        <v>11</v>
      </c>
      <c r="Q31" s="45">
        <v>11</v>
      </c>
      <c r="R31" s="45">
        <v>11</v>
      </c>
      <c r="S31" s="45">
        <v>11</v>
      </c>
      <c r="T31" s="45">
        <v>11</v>
      </c>
      <c r="U31" s="45">
        <v>11</v>
      </c>
      <c r="V31" s="45">
        <v>11</v>
      </c>
      <c r="W31" s="45">
        <v>11</v>
      </c>
      <c r="X31" s="45">
        <v>11</v>
      </c>
      <c r="Y31" s="45">
        <v>11</v>
      </c>
      <c r="Z31" s="45">
        <v>11</v>
      </c>
      <c r="AA31" s="45"/>
      <c r="AB31" s="45"/>
      <c r="AC31" s="45"/>
      <c r="AD31" s="45">
        <v>11</v>
      </c>
      <c r="AE31" s="45">
        <v>10</v>
      </c>
      <c r="AF31" s="45">
        <v>10</v>
      </c>
      <c r="AG31" s="50">
        <v>20</v>
      </c>
      <c r="AH31" s="47">
        <f t="shared" si="2"/>
        <v>11</v>
      </c>
      <c r="AI31" s="48">
        <f t="shared" si="3"/>
        <v>10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4</v>
      </c>
      <c r="C32" s="45">
        <v>4</v>
      </c>
      <c r="D32" s="45">
        <v>4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45">
        <v>4</v>
      </c>
      <c r="L32" s="45">
        <v>4</v>
      </c>
      <c r="M32" s="45">
        <v>4</v>
      </c>
      <c r="N32" s="45">
        <v>4</v>
      </c>
      <c r="O32" s="45">
        <v>4</v>
      </c>
      <c r="P32" s="45">
        <v>4</v>
      </c>
      <c r="Q32" s="45">
        <v>4</v>
      </c>
      <c r="R32" s="45">
        <v>4</v>
      </c>
      <c r="S32" s="45">
        <v>0</v>
      </c>
      <c r="T32" s="45">
        <v>0</v>
      </c>
      <c r="U32" s="45">
        <v>0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/>
      <c r="AB32" s="45"/>
      <c r="AC32" s="45"/>
      <c r="AD32" s="45">
        <v>8</v>
      </c>
      <c r="AE32" s="45">
        <v>8</v>
      </c>
      <c r="AF32" s="45">
        <v>8</v>
      </c>
      <c r="AG32" s="50">
        <v>18</v>
      </c>
      <c r="AH32" s="47">
        <f t="shared" si="2"/>
        <v>8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/>
      <c r="AB33" s="45"/>
      <c r="AC33" s="45"/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/>
      <c r="AB34" s="45"/>
      <c r="AC34" s="45"/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2</v>
      </c>
      <c r="C35" s="45">
        <v>2</v>
      </c>
      <c r="D35" s="45">
        <v>2</v>
      </c>
      <c r="E35" s="45">
        <v>2</v>
      </c>
      <c r="F35" s="45">
        <v>2</v>
      </c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>
        <v>2</v>
      </c>
      <c r="Q35" s="45">
        <v>2</v>
      </c>
      <c r="R35" s="45">
        <v>2</v>
      </c>
      <c r="S35" s="45">
        <v>2</v>
      </c>
      <c r="T35" s="45">
        <v>2</v>
      </c>
      <c r="U35" s="45">
        <v>2</v>
      </c>
      <c r="V35" s="45">
        <v>2</v>
      </c>
      <c r="W35" s="45">
        <v>2</v>
      </c>
      <c r="X35" s="45">
        <v>2</v>
      </c>
      <c r="Y35" s="45">
        <v>2</v>
      </c>
      <c r="Z35" s="45">
        <v>2</v>
      </c>
      <c r="AA35" s="45"/>
      <c r="AB35" s="45"/>
      <c r="AC35" s="45"/>
      <c r="AD35" s="45">
        <v>2</v>
      </c>
      <c r="AE35" s="45">
        <v>2</v>
      </c>
      <c r="AF35" s="45">
        <v>2</v>
      </c>
      <c r="AG35" s="50">
        <v>13.6</v>
      </c>
      <c r="AH35" s="47">
        <f t="shared" si="2"/>
        <v>2</v>
      </c>
      <c r="AI35" s="48">
        <f t="shared" si="3"/>
        <v>2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3</v>
      </c>
      <c r="C36" s="45">
        <v>3</v>
      </c>
      <c r="D36" s="45">
        <v>3</v>
      </c>
      <c r="E36" s="45">
        <v>3</v>
      </c>
      <c r="F36" s="45">
        <v>3</v>
      </c>
      <c r="G36" s="45">
        <v>3</v>
      </c>
      <c r="H36" s="45">
        <v>3</v>
      </c>
      <c r="I36" s="45">
        <v>3</v>
      </c>
      <c r="J36" s="45">
        <v>3</v>
      </c>
      <c r="K36" s="45">
        <v>3</v>
      </c>
      <c r="L36" s="45">
        <v>3</v>
      </c>
      <c r="M36" s="45">
        <v>3</v>
      </c>
      <c r="N36" s="45">
        <v>3</v>
      </c>
      <c r="O36" s="45">
        <v>3</v>
      </c>
      <c r="P36" s="45">
        <v>3</v>
      </c>
      <c r="Q36" s="45">
        <v>3</v>
      </c>
      <c r="R36" s="45">
        <v>3</v>
      </c>
      <c r="S36" s="45">
        <v>3</v>
      </c>
      <c r="T36" s="45">
        <v>3</v>
      </c>
      <c r="U36" s="45">
        <v>3</v>
      </c>
      <c r="V36" s="45">
        <v>3</v>
      </c>
      <c r="W36" s="45">
        <v>3</v>
      </c>
      <c r="X36" s="45">
        <v>3</v>
      </c>
      <c r="Y36" s="45">
        <v>3</v>
      </c>
      <c r="Z36" s="45">
        <v>3</v>
      </c>
      <c r="AA36" s="45"/>
      <c r="AB36" s="45"/>
      <c r="AC36" s="45"/>
      <c r="AD36" s="45">
        <v>3</v>
      </c>
      <c r="AE36" s="45">
        <v>3</v>
      </c>
      <c r="AF36" s="45">
        <v>3</v>
      </c>
      <c r="AG36" s="50">
        <v>13</v>
      </c>
      <c r="AH36" s="47">
        <f t="shared" si="2"/>
        <v>3</v>
      </c>
      <c r="AI36" s="48">
        <f t="shared" si="3"/>
        <v>3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4</v>
      </c>
      <c r="H37" s="45">
        <v>4</v>
      </c>
      <c r="I37" s="45">
        <v>4</v>
      </c>
      <c r="J37" s="45">
        <v>4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/>
      <c r="AB37" s="45"/>
      <c r="AC37" s="45"/>
      <c r="AD37" s="45">
        <v>6</v>
      </c>
      <c r="AE37" s="45">
        <v>6</v>
      </c>
      <c r="AF37" s="45">
        <v>6</v>
      </c>
      <c r="AG37" s="50">
        <v>12</v>
      </c>
      <c r="AH37" s="47">
        <f t="shared" si="2"/>
        <v>6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4</v>
      </c>
      <c r="C38" s="45">
        <v>4</v>
      </c>
      <c r="D38" s="45">
        <v>4</v>
      </c>
      <c r="E38" s="45">
        <v>4</v>
      </c>
      <c r="F38" s="45">
        <v>4</v>
      </c>
      <c r="G38" s="45">
        <v>4</v>
      </c>
      <c r="H38" s="45">
        <v>4</v>
      </c>
      <c r="I38" s="45">
        <v>4</v>
      </c>
      <c r="J38" s="45">
        <v>4</v>
      </c>
      <c r="K38" s="45">
        <v>4</v>
      </c>
      <c r="L38" s="45">
        <v>4</v>
      </c>
      <c r="M38" s="45">
        <v>4</v>
      </c>
      <c r="N38" s="45">
        <v>4</v>
      </c>
      <c r="O38" s="45">
        <v>4</v>
      </c>
      <c r="P38" s="45">
        <v>4</v>
      </c>
      <c r="Q38" s="45">
        <v>4</v>
      </c>
      <c r="R38" s="45">
        <v>4</v>
      </c>
      <c r="S38" s="45">
        <v>4</v>
      </c>
      <c r="T38" s="45">
        <v>4</v>
      </c>
      <c r="U38" s="45">
        <v>4</v>
      </c>
      <c r="V38" s="45">
        <v>4</v>
      </c>
      <c r="W38" s="45">
        <v>4</v>
      </c>
      <c r="X38" s="45">
        <v>4</v>
      </c>
      <c r="Y38" s="45">
        <v>4</v>
      </c>
      <c r="Z38" s="45">
        <v>4</v>
      </c>
      <c r="AA38" s="45"/>
      <c r="AB38" s="45"/>
      <c r="AC38" s="45"/>
      <c r="AD38" s="45">
        <v>4</v>
      </c>
      <c r="AE38" s="45">
        <v>4</v>
      </c>
      <c r="AF38" s="45">
        <v>4</v>
      </c>
      <c r="AG38" s="50">
        <v>12</v>
      </c>
      <c r="AH38" s="47">
        <f t="shared" si="2"/>
        <v>4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/>
      <c r="AB39" s="45"/>
      <c r="AC39" s="45"/>
      <c r="AD39" s="45">
        <v>3</v>
      </c>
      <c r="AE39" s="45">
        <v>3</v>
      </c>
      <c r="AF39" s="45">
        <v>3</v>
      </c>
      <c r="AG39" s="50">
        <v>12</v>
      </c>
      <c r="AH39" s="47">
        <f t="shared" si="2"/>
        <v>3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/>
      <c r="AB40" s="45"/>
      <c r="AC40" s="45"/>
      <c r="AD40" s="45">
        <v>2</v>
      </c>
      <c r="AE40" s="45">
        <v>2</v>
      </c>
      <c r="AF40" s="45">
        <v>2</v>
      </c>
      <c r="AG40" s="52">
        <v>22</v>
      </c>
      <c r="AH40" s="47">
        <f t="shared" si="2"/>
        <v>2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>
        <v>3.6</v>
      </c>
      <c r="Q41" s="45">
        <v>3.6</v>
      </c>
      <c r="R41" s="45">
        <v>3.6</v>
      </c>
      <c r="S41" s="45">
        <v>3.6</v>
      </c>
      <c r="T41" s="45">
        <v>3.6</v>
      </c>
      <c r="U41" s="45">
        <v>3.6</v>
      </c>
      <c r="V41" s="45">
        <v>3.6</v>
      </c>
      <c r="W41" s="45">
        <v>3.6</v>
      </c>
      <c r="X41" s="45">
        <v>3.6</v>
      </c>
      <c r="Y41" s="45">
        <v>3.6</v>
      </c>
      <c r="Z41" s="45">
        <v>3.6</v>
      </c>
      <c r="AA41" s="45"/>
      <c r="AB41" s="45"/>
      <c r="AC41" s="45"/>
      <c r="AD41" s="45">
        <v>3.6</v>
      </c>
      <c r="AE41" s="45">
        <v>3.6</v>
      </c>
      <c r="AF41" s="45">
        <v>3.6</v>
      </c>
      <c r="AG41" s="51">
        <v>11.88</v>
      </c>
      <c r="AH41" s="47">
        <f t="shared" si="2"/>
        <v>3.6</v>
      </c>
      <c r="AI41" s="48">
        <f t="shared" si="3"/>
        <v>3.6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/>
      <c r="AB42" s="45"/>
      <c r="AC42" s="45"/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3</v>
      </c>
      <c r="C43" s="45">
        <v>3</v>
      </c>
      <c r="D43" s="45">
        <v>3</v>
      </c>
      <c r="E43" s="45">
        <v>3</v>
      </c>
      <c r="F43" s="45">
        <v>3</v>
      </c>
      <c r="G43" s="45">
        <v>3</v>
      </c>
      <c r="H43" s="45">
        <v>3</v>
      </c>
      <c r="I43" s="45">
        <v>3</v>
      </c>
      <c r="J43" s="45">
        <v>3</v>
      </c>
      <c r="K43" s="45">
        <v>3</v>
      </c>
      <c r="L43" s="45">
        <v>3</v>
      </c>
      <c r="M43" s="45">
        <v>3</v>
      </c>
      <c r="N43" s="45">
        <v>3</v>
      </c>
      <c r="O43" s="45">
        <v>3</v>
      </c>
      <c r="P43" s="45">
        <v>3</v>
      </c>
      <c r="Q43" s="45">
        <v>3</v>
      </c>
      <c r="R43" s="45">
        <v>3</v>
      </c>
      <c r="S43" s="45">
        <v>3</v>
      </c>
      <c r="T43" s="45">
        <v>3</v>
      </c>
      <c r="U43" s="45">
        <v>3</v>
      </c>
      <c r="V43" s="45">
        <v>3</v>
      </c>
      <c r="W43" s="45">
        <v>3</v>
      </c>
      <c r="X43" s="45">
        <v>3</v>
      </c>
      <c r="Y43" s="45">
        <v>3</v>
      </c>
      <c r="Z43" s="45">
        <v>3</v>
      </c>
      <c r="AA43" s="45"/>
      <c r="AB43" s="45"/>
      <c r="AC43" s="45"/>
      <c r="AD43" s="45">
        <v>3</v>
      </c>
      <c r="AE43" s="45">
        <v>3</v>
      </c>
      <c r="AF43" s="45">
        <v>3</v>
      </c>
      <c r="AG43" s="54">
        <v>10</v>
      </c>
      <c r="AH43" s="47">
        <f t="shared" si="2"/>
        <v>3</v>
      </c>
      <c r="AI43" s="48">
        <f t="shared" si="3"/>
        <v>3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>
        <v>3</v>
      </c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>
        <v>3</v>
      </c>
      <c r="Y44" s="45">
        <v>3</v>
      </c>
      <c r="Z44" s="45">
        <v>3</v>
      </c>
      <c r="AA44" s="45"/>
      <c r="AB44" s="45"/>
      <c r="AC44" s="45"/>
      <c r="AD44" s="45">
        <v>3</v>
      </c>
      <c r="AE44" s="45">
        <v>3</v>
      </c>
      <c r="AF44" s="45">
        <v>3</v>
      </c>
      <c r="AG44" s="54">
        <v>10</v>
      </c>
      <c r="AH44" s="47">
        <f t="shared" si="2"/>
        <v>3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/>
      <c r="AB45" s="45"/>
      <c r="AC45" s="45"/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150</v>
      </c>
      <c r="C46" s="56">
        <v>150</v>
      </c>
      <c r="D46" s="56">
        <v>150</v>
      </c>
      <c r="E46" s="56">
        <v>150</v>
      </c>
      <c r="F46" s="56">
        <v>150</v>
      </c>
      <c r="G46" s="56">
        <v>150</v>
      </c>
      <c r="H46" s="56">
        <v>150</v>
      </c>
      <c r="I46" s="56">
        <v>150</v>
      </c>
      <c r="J46" s="56">
        <v>150</v>
      </c>
      <c r="K46" s="56">
        <v>150</v>
      </c>
      <c r="L46" s="56">
        <v>150</v>
      </c>
      <c r="M46" s="56">
        <v>150</v>
      </c>
      <c r="N46" s="56">
        <v>150</v>
      </c>
      <c r="O46" s="56">
        <v>150</v>
      </c>
      <c r="P46" s="56">
        <v>150</v>
      </c>
      <c r="Q46" s="56">
        <v>150</v>
      </c>
      <c r="R46" s="56">
        <v>150</v>
      </c>
      <c r="S46" s="56">
        <v>150</v>
      </c>
      <c r="T46" s="56">
        <v>150</v>
      </c>
      <c r="U46" s="56">
        <v>150</v>
      </c>
      <c r="V46" s="56">
        <v>150</v>
      </c>
      <c r="W46" s="56">
        <v>150</v>
      </c>
      <c r="X46" s="56">
        <v>150</v>
      </c>
      <c r="Y46" s="56">
        <v>150</v>
      </c>
      <c r="Z46" s="56">
        <v>150</v>
      </c>
      <c r="AA46" s="56"/>
      <c r="AB46" s="56"/>
      <c r="AC46" s="56"/>
      <c r="AD46" s="56">
        <v>150</v>
      </c>
      <c r="AE46" s="56">
        <v>150</v>
      </c>
      <c r="AF46" s="56">
        <v>150</v>
      </c>
      <c r="AG46" s="54">
        <v>85</v>
      </c>
      <c r="AH46" s="47">
        <f t="shared" si="2"/>
        <v>150</v>
      </c>
      <c r="AI46" s="48">
        <f t="shared" si="3"/>
        <v>150</v>
      </c>
      <c r="AK46" s="49"/>
    </row>
    <row r="47" spans="1:88" ht="15.75" thickBot="1" x14ac:dyDescent="0.3">
      <c r="A47" s="57" t="s">
        <v>55</v>
      </c>
      <c r="B47" s="56"/>
      <c r="C47" s="56"/>
      <c r="D47" s="56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56</v>
      </c>
      <c r="B48" s="60">
        <f>SUM(B11:B46)</f>
        <v>443.7</v>
      </c>
      <c r="C48" s="60">
        <f>SUM(C11:C46)</f>
        <v>443.8</v>
      </c>
      <c r="D48" s="60">
        <f>SUM(D11:D46)</f>
        <v>442.3</v>
      </c>
      <c r="E48" s="60">
        <f t="shared" ref="E48:AF48" si="4">SUM(E11:E46)</f>
        <v>444.6</v>
      </c>
      <c r="F48" s="60">
        <f t="shared" si="4"/>
        <v>445.6</v>
      </c>
      <c r="G48" s="60">
        <f t="shared" si="4"/>
        <v>466.6</v>
      </c>
      <c r="H48" s="60">
        <f t="shared" si="4"/>
        <v>462.1</v>
      </c>
      <c r="I48" s="60">
        <f t="shared" si="4"/>
        <v>464.1</v>
      </c>
      <c r="J48" s="60">
        <f t="shared" si="4"/>
        <v>463.1</v>
      </c>
      <c r="K48" s="60">
        <f t="shared" si="4"/>
        <v>490.40000000000003</v>
      </c>
      <c r="L48" s="60">
        <f t="shared" si="4"/>
        <v>490.40000000000003</v>
      </c>
      <c r="M48" s="60">
        <f t="shared" si="4"/>
        <v>489.09999999999997</v>
      </c>
      <c r="N48" s="60">
        <f t="shared" si="4"/>
        <v>489.09999999999997</v>
      </c>
      <c r="O48" s="60">
        <f t="shared" si="4"/>
        <v>489.09999999999997</v>
      </c>
      <c r="P48" s="60">
        <f t="shared" si="4"/>
        <v>489.09999999999997</v>
      </c>
      <c r="Q48" s="60">
        <f t="shared" si="4"/>
        <v>489.09999999999997</v>
      </c>
      <c r="R48" s="60">
        <f t="shared" si="4"/>
        <v>489.09999999999997</v>
      </c>
      <c r="S48" s="60">
        <f t="shared" si="4"/>
        <v>485.09999999999997</v>
      </c>
      <c r="T48" s="60">
        <f t="shared" si="4"/>
        <v>485.09999999999997</v>
      </c>
      <c r="U48" s="60">
        <f t="shared" si="4"/>
        <v>485.09999999999997</v>
      </c>
      <c r="V48" s="60">
        <f t="shared" si="4"/>
        <v>493.09999999999997</v>
      </c>
      <c r="W48" s="60">
        <f t="shared" si="4"/>
        <v>493.09999999999997</v>
      </c>
      <c r="X48" s="60">
        <f t="shared" si="4"/>
        <v>493.09999999999997</v>
      </c>
      <c r="Y48" s="60">
        <f t="shared" si="4"/>
        <v>493.09999999999997</v>
      </c>
      <c r="Z48" s="60">
        <f t="shared" si="4"/>
        <v>493.09999999999997</v>
      </c>
      <c r="AA48" s="60">
        <f t="shared" si="4"/>
        <v>0</v>
      </c>
      <c r="AB48" s="60">
        <f t="shared" si="4"/>
        <v>0</v>
      </c>
      <c r="AC48" s="60">
        <f t="shared" si="4"/>
        <v>0</v>
      </c>
      <c r="AD48" s="60">
        <f t="shared" si="4"/>
        <v>493.09999999999997</v>
      </c>
      <c r="AE48" s="60">
        <f t="shared" si="4"/>
        <v>503.09999999999997</v>
      </c>
      <c r="AF48" s="60">
        <f t="shared" si="4"/>
        <v>503.09999999999997</v>
      </c>
      <c r="AG48" s="61">
        <f>SUM(AG12:AG46)</f>
        <v>875.68</v>
      </c>
      <c r="AH48" s="47">
        <f t="shared" si="2"/>
        <v>503.09999999999997</v>
      </c>
      <c r="AI48" s="48">
        <f t="shared" si="3"/>
        <v>0</v>
      </c>
      <c r="AK48" s="49"/>
    </row>
    <row r="49" spans="1:41" x14ac:dyDescent="0.25">
      <c r="A49" s="62" t="s">
        <v>57</v>
      </c>
      <c r="B49" s="45">
        <v>150</v>
      </c>
      <c r="C49" s="45">
        <v>150</v>
      </c>
      <c r="D49" s="45">
        <v>150</v>
      </c>
      <c r="E49" s="45">
        <v>120</v>
      </c>
      <c r="F49" s="45">
        <v>80</v>
      </c>
      <c r="G49" s="45">
        <v>145</v>
      </c>
      <c r="H49" s="45">
        <v>90</v>
      </c>
      <c r="I49" s="45">
        <v>90</v>
      </c>
      <c r="J49" s="45">
        <v>120</v>
      </c>
      <c r="K49" s="45">
        <v>80</v>
      </c>
      <c r="L49" s="45">
        <v>60</v>
      </c>
      <c r="M49" s="45">
        <v>60</v>
      </c>
      <c r="N49" s="45">
        <v>60</v>
      </c>
      <c r="O49" s="45">
        <v>60</v>
      </c>
      <c r="P49" s="45">
        <v>60</v>
      </c>
      <c r="Q49" s="45">
        <v>80</v>
      </c>
      <c r="R49" s="45">
        <v>100</v>
      </c>
      <c r="S49" s="45">
        <v>100</v>
      </c>
      <c r="T49" s="45">
        <v>145</v>
      </c>
      <c r="U49" s="45">
        <v>110</v>
      </c>
      <c r="V49" s="45">
        <v>50</v>
      </c>
      <c r="W49" s="45">
        <v>50</v>
      </c>
      <c r="X49" s="45">
        <v>15</v>
      </c>
      <c r="Y49" s="45">
        <v>35</v>
      </c>
      <c r="Z49" s="45">
        <v>35</v>
      </c>
      <c r="AA49" s="45"/>
      <c r="AB49" s="45"/>
      <c r="AC49" s="45"/>
      <c r="AD49" s="45">
        <v>115</v>
      </c>
      <c r="AE49" s="45">
        <v>115</v>
      </c>
      <c r="AF49" s="45">
        <v>115</v>
      </c>
      <c r="AG49" s="51">
        <v>456</v>
      </c>
      <c r="AH49" s="47">
        <f t="shared" si="2"/>
        <v>150</v>
      </c>
      <c r="AI49" s="48">
        <f t="shared" si="3"/>
        <v>15</v>
      </c>
      <c r="AK49" s="49"/>
    </row>
    <row r="50" spans="1:41" x14ac:dyDescent="0.25">
      <c r="A50" s="64" t="s">
        <v>58</v>
      </c>
      <c r="B50" s="65">
        <v>25</v>
      </c>
      <c r="C50" s="65">
        <v>25</v>
      </c>
      <c r="D50" s="65">
        <v>29</v>
      </c>
      <c r="E50" s="65">
        <v>29</v>
      </c>
      <c r="F50" s="65">
        <v>29</v>
      </c>
      <c r="G50" s="65">
        <v>29</v>
      </c>
      <c r="H50" s="65">
        <v>29</v>
      </c>
      <c r="I50" s="65">
        <v>29</v>
      </c>
      <c r="J50" s="65">
        <v>29</v>
      </c>
      <c r="K50" s="65">
        <v>29</v>
      </c>
      <c r="L50" s="65">
        <v>29</v>
      </c>
      <c r="M50" s="65">
        <v>29</v>
      </c>
      <c r="N50" s="65">
        <v>29</v>
      </c>
      <c r="O50" s="65">
        <v>29</v>
      </c>
      <c r="P50" s="65">
        <v>29</v>
      </c>
      <c r="Q50" s="65">
        <v>29</v>
      </c>
      <c r="R50" s="65">
        <v>29</v>
      </c>
      <c r="S50" s="65">
        <v>29</v>
      </c>
      <c r="T50" s="65">
        <v>29</v>
      </c>
      <c r="U50" s="65">
        <v>29</v>
      </c>
      <c r="V50" s="65">
        <v>29</v>
      </c>
      <c r="W50" s="65">
        <v>29</v>
      </c>
      <c r="X50" s="65">
        <v>29</v>
      </c>
      <c r="Y50" s="65">
        <v>29</v>
      </c>
      <c r="Z50" s="65">
        <v>29</v>
      </c>
      <c r="AA50" s="65"/>
      <c r="AB50" s="65"/>
      <c r="AC50" s="65"/>
      <c r="AD50" s="65">
        <v>29</v>
      </c>
      <c r="AE50" s="65">
        <v>29</v>
      </c>
      <c r="AF50" s="65">
        <v>29</v>
      </c>
      <c r="AG50" s="54">
        <v>60</v>
      </c>
      <c r="AH50" s="47">
        <f t="shared" si="2"/>
        <v>29</v>
      </c>
      <c r="AI50" s="48">
        <f t="shared" si="3"/>
        <v>25</v>
      </c>
      <c r="AK50" s="49"/>
    </row>
    <row r="51" spans="1:41" ht="15.75" thickBot="1" x14ac:dyDescent="0.3">
      <c r="A51" s="66" t="s">
        <v>59</v>
      </c>
      <c r="B51" s="67">
        <v>21.1</v>
      </c>
      <c r="C51" s="67">
        <v>21.1</v>
      </c>
      <c r="D51" s="67">
        <v>21</v>
      </c>
      <c r="E51" s="67">
        <v>21.1</v>
      </c>
      <c r="F51" s="67">
        <v>21.1</v>
      </c>
      <c r="G51" s="67">
        <v>18.100000000000001</v>
      </c>
      <c r="H51" s="67">
        <v>18.100000000000001</v>
      </c>
      <c r="I51" s="67">
        <v>18.100000000000001</v>
      </c>
      <c r="J51" s="67">
        <v>18.100000000000001</v>
      </c>
      <c r="K51" s="67">
        <v>18.100000000000001</v>
      </c>
      <c r="L51" s="67">
        <v>18.100000000000001</v>
      </c>
      <c r="M51" s="67">
        <v>18.100000000000001</v>
      </c>
      <c r="N51" s="67">
        <v>18.100000000000001</v>
      </c>
      <c r="O51" s="67">
        <v>18.100000000000001</v>
      </c>
      <c r="P51" s="67">
        <v>18.100000000000001</v>
      </c>
      <c r="Q51" s="67">
        <v>18.100000000000001</v>
      </c>
      <c r="R51" s="67">
        <v>18.100000000000001</v>
      </c>
      <c r="S51" s="67">
        <v>18.100000000000001</v>
      </c>
      <c r="T51" s="67">
        <v>18.100000000000001</v>
      </c>
      <c r="U51" s="67">
        <v>18.100000000000001</v>
      </c>
      <c r="V51" s="67">
        <v>18.100000000000001</v>
      </c>
      <c r="W51" s="67">
        <v>18.100000000000001</v>
      </c>
      <c r="X51" s="67">
        <v>20</v>
      </c>
      <c r="Y51" s="67">
        <v>20</v>
      </c>
      <c r="Z51" s="67">
        <v>20</v>
      </c>
      <c r="AA51" s="67"/>
      <c r="AB51" s="67"/>
      <c r="AC51" s="67"/>
      <c r="AD51" s="67">
        <v>20</v>
      </c>
      <c r="AE51" s="67">
        <v>20</v>
      </c>
      <c r="AF51" s="67">
        <v>20</v>
      </c>
      <c r="AG51" s="68">
        <v>22.1</v>
      </c>
      <c r="AH51" s="47">
        <f t="shared" si="2"/>
        <v>21.1</v>
      </c>
      <c r="AI51" s="48">
        <f t="shared" si="3"/>
        <v>18.100000000000001</v>
      </c>
      <c r="AK51" s="49"/>
    </row>
    <row r="52" spans="1:41" ht="15.75" thickBot="1" x14ac:dyDescent="0.3">
      <c r="A52" s="69" t="s">
        <v>60</v>
      </c>
      <c r="B52" s="60">
        <f>SUM(B49:B51)</f>
        <v>196.1</v>
      </c>
      <c r="C52" s="60">
        <f>SUM(C49:C51)</f>
        <v>196.1</v>
      </c>
      <c r="D52" s="60">
        <f>SUM(D49:D51)</f>
        <v>200</v>
      </c>
      <c r="E52" s="60">
        <f t="shared" ref="E52:AG52" si="5">SUM(E49:E51)</f>
        <v>170.1</v>
      </c>
      <c r="F52" s="60">
        <f t="shared" si="5"/>
        <v>130.1</v>
      </c>
      <c r="G52" s="60">
        <f t="shared" si="5"/>
        <v>192.1</v>
      </c>
      <c r="H52" s="60">
        <f t="shared" si="5"/>
        <v>137.1</v>
      </c>
      <c r="I52" s="60">
        <f t="shared" si="5"/>
        <v>137.1</v>
      </c>
      <c r="J52" s="60">
        <f t="shared" si="5"/>
        <v>167.1</v>
      </c>
      <c r="K52" s="60">
        <f t="shared" si="5"/>
        <v>127.1</v>
      </c>
      <c r="L52" s="60">
        <f t="shared" si="5"/>
        <v>107.1</v>
      </c>
      <c r="M52" s="60">
        <f t="shared" si="5"/>
        <v>107.1</v>
      </c>
      <c r="N52" s="60">
        <f t="shared" si="5"/>
        <v>107.1</v>
      </c>
      <c r="O52" s="60">
        <f t="shared" si="5"/>
        <v>107.1</v>
      </c>
      <c r="P52" s="60">
        <f t="shared" si="5"/>
        <v>107.1</v>
      </c>
      <c r="Q52" s="60">
        <f t="shared" si="5"/>
        <v>127.1</v>
      </c>
      <c r="R52" s="60">
        <f t="shared" si="5"/>
        <v>147.1</v>
      </c>
      <c r="S52" s="60">
        <f t="shared" si="5"/>
        <v>147.1</v>
      </c>
      <c r="T52" s="60">
        <f t="shared" si="5"/>
        <v>192.1</v>
      </c>
      <c r="U52" s="60">
        <f t="shared" si="5"/>
        <v>157.1</v>
      </c>
      <c r="V52" s="60">
        <f t="shared" si="5"/>
        <v>97.1</v>
      </c>
      <c r="W52" s="60">
        <f t="shared" si="5"/>
        <v>97.1</v>
      </c>
      <c r="X52" s="60">
        <f t="shared" si="5"/>
        <v>64</v>
      </c>
      <c r="Y52" s="60">
        <f t="shared" si="5"/>
        <v>84</v>
      </c>
      <c r="Z52" s="60">
        <f t="shared" si="5"/>
        <v>84</v>
      </c>
      <c r="AA52" s="60">
        <f t="shared" si="5"/>
        <v>0</v>
      </c>
      <c r="AB52" s="60">
        <f t="shared" si="5"/>
        <v>0</v>
      </c>
      <c r="AC52" s="60">
        <f t="shared" si="5"/>
        <v>0</v>
      </c>
      <c r="AD52" s="60">
        <f t="shared" si="5"/>
        <v>164</v>
      </c>
      <c r="AE52" s="60">
        <f t="shared" si="5"/>
        <v>164</v>
      </c>
      <c r="AF52" s="60">
        <f t="shared" si="5"/>
        <v>164</v>
      </c>
      <c r="AG52" s="61">
        <f t="shared" si="5"/>
        <v>538.1</v>
      </c>
      <c r="AH52" s="47">
        <f t="shared" si="2"/>
        <v>200</v>
      </c>
      <c r="AI52" s="48">
        <f t="shared" si="3"/>
        <v>0</v>
      </c>
      <c r="AK52" s="49"/>
    </row>
    <row r="53" spans="1:41" x14ac:dyDescent="0.25">
      <c r="A53" s="44" t="s">
        <v>61</v>
      </c>
      <c r="B53" s="45">
        <v>40.799999999999997</v>
      </c>
      <c r="C53" s="45">
        <v>40.700000000000003</v>
      </c>
      <c r="D53" s="45">
        <v>30.5</v>
      </c>
      <c r="E53" s="45">
        <v>31</v>
      </c>
      <c r="F53" s="45">
        <v>31</v>
      </c>
      <c r="G53" s="45">
        <v>31</v>
      </c>
      <c r="H53" s="45">
        <v>31.8</v>
      </c>
      <c r="I53" s="45">
        <v>31.8</v>
      </c>
      <c r="J53" s="45">
        <v>31.7</v>
      </c>
      <c r="K53" s="45">
        <v>31.6</v>
      </c>
      <c r="L53" s="45">
        <v>40.700000000000003</v>
      </c>
      <c r="M53" s="45">
        <v>40.700000000000003</v>
      </c>
      <c r="N53" s="45">
        <v>40.700000000000003</v>
      </c>
      <c r="O53" s="45">
        <v>97</v>
      </c>
      <c r="P53" s="45">
        <v>92</v>
      </c>
      <c r="Q53" s="45">
        <v>146.30000000000001</v>
      </c>
      <c r="R53" s="45">
        <v>146</v>
      </c>
      <c r="S53" s="45">
        <v>122</v>
      </c>
      <c r="T53" s="45">
        <v>122</v>
      </c>
      <c r="U53" s="45">
        <v>81</v>
      </c>
      <c r="V53" s="45">
        <v>81.599999999999994</v>
      </c>
      <c r="W53" s="45">
        <v>81.5</v>
      </c>
      <c r="X53" s="45">
        <v>110</v>
      </c>
      <c r="Y53" s="45">
        <v>91.5</v>
      </c>
      <c r="Z53" s="45">
        <v>122</v>
      </c>
      <c r="AA53" s="45"/>
      <c r="AB53" s="45"/>
      <c r="AC53" s="45"/>
      <c r="AD53" s="45">
        <v>122</v>
      </c>
      <c r="AE53" s="45">
        <v>136.1</v>
      </c>
      <c r="AF53" s="45">
        <v>142</v>
      </c>
      <c r="AG53" s="51">
        <v>144</v>
      </c>
      <c r="AH53" s="47">
        <f t="shared" si="2"/>
        <v>146.30000000000001</v>
      </c>
      <c r="AI53" s="48">
        <f t="shared" si="3"/>
        <v>30.5</v>
      </c>
      <c r="AK53" s="49"/>
    </row>
    <row r="54" spans="1:41" x14ac:dyDescent="0.25">
      <c r="A54" s="53" t="s">
        <v>62</v>
      </c>
      <c r="B54" s="65">
        <v>45</v>
      </c>
      <c r="C54" s="65">
        <v>44.1</v>
      </c>
      <c r="D54" s="65">
        <v>43.5</v>
      </c>
      <c r="E54" s="65">
        <v>45.5</v>
      </c>
      <c r="F54" s="65">
        <v>45.5</v>
      </c>
      <c r="G54" s="65">
        <v>24.5</v>
      </c>
      <c r="H54" s="65">
        <v>24.7</v>
      </c>
      <c r="I54" s="65">
        <v>24.7</v>
      </c>
      <c r="J54" s="65">
        <v>22.3</v>
      </c>
      <c r="K54" s="65">
        <v>22.1</v>
      </c>
      <c r="L54" s="65">
        <v>29.7</v>
      </c>
      <c r="M54" s="65">
        <v>29.7</v>
      </c>
      <c r="N54" s="65">
        <v>29.7</v>
      </c>
      <c r="O54" s="65">
        <v>29.7</v>
      </c>
      <c r="P54" s="65">
        <v>25</v>
      </c>
      <c r="Q54" s="65">
        <v>33.799999999999997</v>
      </c>
      <c r="R54" s="45">
        <v>68.7</v>
      </c>
      <c r="S54" s="45">
        <v>60</v>
      </c>
      <c r="T54" s="45">
        <v>68.7</v>
      </c>
      <c r="U54" s="45">
        <v>60</v>
      </c>
      <c r="V54" s="45">
        <v>69.7</v>
      </c>
      <c r="W54" s="45">
        <v>68.7</v>
      </c>
      <c r="X54" s="45">
        <v>46.4</v>
      </c>
      <c r="Y54" s="45">
        <v>29.5</v>
      </c>
      <c r="Z54" s="45">
        <v>45.3</v>
      </c>
      <c r="AA54" s="45"/>
      <c r="AB54" s="65"/>
      <c r="AC54" s="65"/>
      <c r="AD54" s="65">
        <v>45.3</v>
      </c>
      <c r="AE54" s="65">
        <v>50.7</v>
      </c>
      <c r="AF54" s="65">
        <v>56.2</v>
      </c>
      <c r="AG54" s="54">
        <v>70</v>
      </c>
      <c r="AH54" s="47">
        <f t="shared" si="2"/>
        <v>69.7</v>
      </c>
      <c r="AI54" s="48">
        <f t="shared" si="3"/>
        <v>22.1</v>
      </c>
      <c r="AK54" s="49"/>
    </row>
    <row r="55" spans="1:41" x14ac:dyDescent="0.25">
      <c r="A55" s="53" t="s">
        <v>63</v>
      </c>
      <c r="B55" s="65">
        <v>34.299999999999997</v>
      </c>
      <c r="C55" s="65">
        <v>44.8</v>
      </c>
      <c r="D55" s="65">
        <v>44.8</v>
      </c>
      <c r="E55" s="65">
        <v>54</v>
      </c>
      <c r="F55" s="65">
        <v>54</v>
      </c>
      <c r="G55" s="65">
        <v>54.9</v>
      </c>
      <c r="H55" s="65">
        <v>54.8</v>
      </c>
      <c r="I55" s="65">
        <v>54.8</v>
      </c>
      <c r="J55" s="65">
        <v>54.7</v>
      </c>
      <c r="K55" s="65">
        <v>54.4</v>
      </c>
      <c r="L55" s="65">
        <v>60.7</v>
      </c>
      <c r="M55" s="65">
        <v>60.7</v>
      </c>
      <c r="N55" s="65">
        <v>60.7</v>
      </c>
      <c r="O55" s="65">
        <v>60.7</v>
      </c>
      <c r="P55" s="65">
        <v>60</v>
      </c>
      <c r="Q55" s="65">
        <v>68.900000000000006</v>
      </c>
      <c r="R55" s="45">
        <v>68.400000000000006</v>
      </c>
      <c r="S55" s="45">
        <v>32.200000000000003</v>
      </c>
      <c r="T55" s="45">
        <v>31.3</v>
      </c>
      <c r="U55" s="45">
        <v>17.399999999999999</v>
      </c>
      <c r="V55" s="45">
        <v>21.9</v>
      </c>
      <c r="W55" s="45">
        <v>21.8</v>
      </c>
      <c r="X55" s="45">
        <v>34.200000000000003</v>
      </c>
      <c r="Y55" s="45">
        <v>32.4</v>
      </c>
      <c r="Z55" s="45">
        <v>53.6</v>
      </c>
      <c r="AA55" s="45"/>
      <c r="AB55" s="65"/>
      <c r="AC55" s="65"/>
      <c r="AD55" s="65">
        <v>53.6</v>
      </c>
      <c r="AE55" s="65">
        <v>53.6</v>
      </c>
      <c r="AF55" s="65">
        <v>45</v>
      </c>
      <c r="AG55" s="54">
        <v>69</v>
      </c>
      <c r="AH55" s="47">
        <f t="shared" si="2"/>
        <v>68.900000000000006</v>
      </c>
      <c r="AI55" s="48">
        <f t="shared" si="3"/>
        <v>17.399999999999999</v>
      </c>
      <c r="AK55" s="49"/>
    </row>
    <row r="56" spans="1:41" x14ac:dyDescent="0.25">
      <c r="A56" s="53" t="s">
        <v>64</v>
      </c>
      <c r="B56" s="65">
        <v>55.7</v>
      </c>
      <c r="C56" s="65">
        <v>56.7</v>
      </c>
      <c r="D56" s="65">
        <v>60.4</v>
      </c>
      <c r="E56" s="65">
        <v>60.9</v>
      </c>
      <c r="F56" s="65">
        <v>60.9</v>
      </c>
      <c r="G56" s="65">
        <v>60.9</v>
      </c>
      <c r="H56" s="56">
        <v>60.9</v>
      </c>
      <c r="I56" s="56">
        <v>60.9</v>
      </c>
      <c r="J56" s="56">
        <v>60.9</v>
      </c>
      <c r="K56" s="56">
        <v>60.4</v>
      </c>
      <c r="L56" s="56">
        <v>60.4</v>
      </c>
      <c r="M56" s="56">
        <v>60.4</v>
      </c>
      <c r="N56" s="56">
        <v>60.4</v>
      </c>
      <c r="O56" s="56">
        <v>60.4</v>
      </c>
      <c r="P56" s="56">
        <v>60.4</v>
      </c>
      <c r="Q56" s="65">
        <v>56.4</v>
      </c>
      <c r="R56" s="65">
        <v>56.4</v>
      </c>
      <c r="S56" s="45">
        <v>54.6</v>
      </c>
      <c r="T56" s="45">
        <v>54.6</v>
      </c>
      <c r="U56" s="45">
        <v>54.6</v>
      </c>
      <c r="V56" s="45">
        <v>54.4</v>
      </c>
      <c r="W56" s="45">
        <v>52.4</v>
      </c>
      <c r="X56" s="45">
        <v>52.6</v>
      </c>
      <c r="Y56" s="45">
        <v>52.6</v>
      </c>
      <c r="Z56" s="45">
        <v>52.6</v>
      </c>
      <c r="AA56" s="45"/>
      <c r="AB56" s="65"/>
      <c r="AC56" s="65"/>
      <c r="AD56" s="65">
        <v>52.6</v>
      </c>
      <c r="AE56" s="65">
        <v>59.2</v>
      </c>
      <c r="AF56" s="65">
        <v>53</v>
      </c>
      <c r="AG56" s="54">
        <v>60</v>
      </c>
      <c r="AH56" s="47">
        <f t="shared" si="2"/>
        <v>60.9</v>
      </c>
      <c r="AI56" s="48">
        <f t="shared" si="3"/>
        <v>52.4</v>
      </c>
      <c r="AK56" s="49"/>
    </row>
    <row r="57" spans="1:41" x14ac:dyDescent="0.25">
      <c r="A57" s="53" t="s">
        <v>65</v>
      </c>
      <c r="B57" s="65">
        <v>13.2</v>
      </c>
      <c r="C57" s="65">
        <v>13.1</v>
      </c>
      <c r="D57" s="65">
        <v>13</v>
      </c>
      <c r="E57" s="65">
        <v>13</v>
      </c>
      <c r="F57" s="65">
        <v>13</v>
      </c>
      <c r="G57" s="65">
        <v>13.4</v>
      </c>
      <c r="H57" s="56">
        <v>10</v>
      </c>
      <c r="I57" s="56">
        <v>12</v>
      </c>
      <c r="J57" s="56">
        <v>12.2</v>
      </c>
      <c r="K57" s="56">
        <v>12.2</v>
      </c>
      <c r="L57" s="56">
        <v>12.2</v>
      </c>
      <c r="M57" s="56">
        <v>12.2</v>
      </c>
      <c r="N57" s="56">
        <v>12.2</v>
      </c>
      <c r="O57" s="56">
        <v>12.2</v>
      </c>
      <c r="P57" s="56">
        <v>12.2</v>
      </c>
      <c r="Q57" s="65">
        <v>0</v>
      </c>
      <c r="R57" s="65">
        <v>12.6</v>
      </c>
      <c r="S57" s="65">
        <v>12.6</v>
      </c>
      <c r="T57" s="65">
        <v>12.6</v>
      </c>
      <c r="U57" s="45">
        <v>22.6</v>
      </c>
      <c r="V57" s="45">
        <v>22.6</v>
      </c>
      <c r="W57" s="45">
        <v>22.6</v>
      </c>
      <c r="X57" s="45">
        <v>14.8</v>
      </c>
      <c r="Y57" s="45">
        <v>14.8</v>
      </c>
      <c r="Z57" s="45">
        <v>14.8</v>
      </c>
      <c r="AA57" s="45"/>
      <c r="AB57" s="65"/>
      <c r="AC57" s="65"/>
      <c r="AD57" s="65">
        <v>14.8</v>
      </c>
      <c r="AE57" s="65">
        <v>14.8</v>
      </c>
      <c r="AF57" s="65">
        <v>10</v>
      </c>
      <c r="AG57" s="54">
        <v>30</v>
      </c>
      <c r="AH57" s="47">
        <f t="shared" si="2"/>
        <v>22.6</v>
      </c>
      <c r="AI57" s="48">
        <f t="shared" si="3"/>
        <v>0</v>
      </c>
      <c r="AK57" s="49"/>
    </row>
    <row r="58" spans="1:41" x14ac:dyDescent="0.25">
      <c r="A58" s="53" t="s">
        <v>66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45">
        <v>0</v>
      </c>
      <c r="I58" s="45">
        <v>0</v>
      </c>
      <c r="J58" s="45">
        <v>1.7</v>
      </c>
      <c r="K58" s="45">
        <v>2.2000000000000002</v>
      </c>
      <c r="L58" s="45">
        <v>2.2000000000000002</v>
      </c>
      <c r="M58" s="45">
        <v>2.2000000000000002</v>
      </c>
      <c r="N58" s="45">
        <v>2.2000000000000002</v>
      </c>
      <c r="O58" s="45">
        <v>2.2000000000000002</v>
      </c>
      <c r="P58" s="45">
        <v>2.2000000000000002</v>
      </c>
      <c r="Q58" s="65">
        <v>17.399999999999999</v>
      </c>
      <c r="R58" s="65">
        <v>17.399999999999999</v>
      </c>
      <c r="S58" s="65">
        <v>17.399999999999999</v>
      </c>
      <c r="T58" s="65">
        <v>17.399999999999999</v>
      </c>
      <c r="U58" s="45">
        <v>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/>
      <c r="AB58" s="65"/>
      <c r="AC58" s="65"/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17.399999999999999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15</v>
      </c>
      <c r="C59" s="65">
        <v>15</v>
      </c>
      <c r="D59" s="65">
        <v>15</v>
      </c>
      <c r="E59" s="65">
        <v>15</v>
      </c>
      <c r="F59" s="65">
        <v>15</v>
      </c>
      <c r="G59" s="65">
        <v>15</v>
      </c>
      <c r="H59" s="65">
        <v>15</v>
      </c>
      <c r="I59" s="65">
        <v>15</v>
      </c>
      <c r="J59" s="65">
        <v>8</v>
      </c>
      <c r="K59" s="65">
        <v>10</v>
      </c>
      <c r="L59" s="65">
        <v>10</v>
      </c>
      <c r="M59" s="65">
        <v>10</v>
      </c>
      <c r="N59" s="65">
        <v>10</v>
      </c>
      <c r="O59" s="65">
        <v>10</v>
      </c>
      <c r="P59" s="65">
        <v>10</v>
      </c>
      <c r="Q59" s="65">
        <v>10</v>
      </c>
      <c r="R59" s="65">
        <v>10</v>
      </c>
      <c r="S59" s="65">
        <v>10</v>
      </c>
      <c r="T59" s="65">
        <v>10</v>
      </c>
      <c r="U59" s="65">
        <v>10</v>
      </c>
      <c r="V59" s="65">
        <v>10</v>
      </c>
      <c r="W59" s="65">
        <v>10</v>
      </c>
      <c r="X59" s="65">
        <v>10</v>
      </c>
      <c r="Y59" s="65">
        <v>10</v>
      </c>
      <c r="Z59" s="65">
        <v>10</v>
      </c>
      <c r="AA59" s="65"/>
      <c r="AB59" s="65"/>
      <c r="AC59" s="65"/>
      <c r="AD59" s="65">
        <v>10</v>
      </c>
      <c r="AE59" s="65">
        <v>10</v>
      </c>
      <c r="AF59" s="65">
        <v>10</v>
      </c>
      <c r="AG59" s="54">
        <v>24</v>
      </c>
      <c r="AH59" s="47">
        <f t="shared" si="2"/>
        <v>15</v>
      </c>
      <c r="AI59" s="48">
        <f t="shared" si="3"/>
        <v>8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/>
      <c r="AB60" s="65"/>
      <c r="AC60" s="65"/>
      <c r="AD60" s="65">
        <v>0</v>
      </c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11.1</v>
      </c>
      <c r="C61" s="65">
        <v>12</v>
      </c>
      <c r="D61" s="65">
        <v>11.7</v>
      </c>
      <c r="E61" s="65">
        <v>11.7</v>
      </c>
      <c r="F61" s="65">
        <v>11.7</v>
      </c>
      <c r="G61" s="65">
        <v>11.7</v>
      </c>
      <c r="H61" s="65">
        <v>11.7</v>
      </c>
      <c r="I61" s="65">
        <v>11.7</v>
      </c>
      <c r="J61" s="65">
        <v>6.8</v>
      </c>
      <c r="K61" s="65">
        <v>10.8</v>
      </c>
      <c r="L61" s="65">
        <v>10.8</v>
      </c>
      <c r="M61" s="65">
        <v>10.8</v>
      </c>
      <c r="N61" s="65">
        <v>10.8</v>
      </c>
      <c r="O61" s="65">
        <v>10.8</v>
      </c>
      <c r="P61" s="65">
        <v>10.8</v>
      </c>
      <c r="Q61" s="65">
        <v>10.8</v>
      </c>
      <c r="R61" s="65">
        <v>10.8</v>
      </c>
      <c r="S61" s="65">
        <v>10.8</v>
      </c>
      <c r="T61" s="65">
        <v>10.8</v>
      </c>
      <c r="U61" s="65">
        <v>10.8</v>
      </c>
      <c r="V61" s="65">
        <v>10.8</v>
      </c>
      <c r="W61" s="65">
        <v>10.8</v>
      </c>
      <c r="X61" s="65">
        <v>12.5</v>
      </c>
      <c r="Y61" s="65">
        <v>12.5</v>
      </c>
      <c r="Z61" s="65">
        <v>12.5</v>
      </c>
      <c r="AA61" s="65"/>
      <c r="AB61" s="65"/>
      <c r="AC61" s="65"/>
      <c r="AD61" s="65">
        <v>12.5</v>
      </c>
      <c r="AE61" s="65">
        <v>12.5</v>
      </c>
      <c r="AF61" s="65">
        <v>12.5</v>
      </c>
      <c r="AG61" s="54">
        <v>14.1</v>
      </c>
      <c r="AH61" s="47">
        <f t="shared" si="2"/>
        <v>12.5</v>
      </c>
      <c r="AI61" s="48">
        <f t="shared" si="3"/>
        <v>6.8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9.6</v>
      </c>
      <c r="C62" s="65">
        <v>8.8000000000000007</v>
      </c>
      <c r="D62" s="65">
        <v>8.8000000000000007</v>
      </c>
      <c r="E62" s="65">
        <v>8.8000000000000007</v>
      </c>
      <c r="F62" s="65">
        <v>8.8000000000000007</v>
      </c>
      <c r="G62" s="65">
        <v>8.8000000000000007</v>
      </c>
      <c r="H62" s="65">
        <v>8.8000000000000007</v>
      </c>
      <c r="I62" s="65">
        <v>8.8000000000000007</v>
      </c>
      <c r="J62" s="65">
        <v>11.3</v>
      </c>
      <c r="K62" s="65">
        <v>9.8000000000000007</v>
      </c>
      <c r="L62" s="65">
        <v>9.8000000000000007</v>
      </c>
      <c r="M62" s="65">
        <v>9.8000000000000007</v>
      </c>
      <c r="N62" s="65">
        <v>9.8000000000000007</v>
      </c>
      <c r="O62" s="65">
        <v>9.8000000000000007</v>
      </c>
      <c r="P62" s="65">
        <v>9.8000000000000007</v>
      </c>
      <c r="Q62" s="65">
        <v>9.8000000000000007</v>
      </c>
      <c r="R62" s="65">
        <v>9.8000000000000007</v>
      </c>
      <c r="S62" s="65">
        <v>9.8000000000000007</v>
      </c>
      <c r="T62" s="65">
        <v>9.8000000000000007</v>
      </c>
      <c r="U62" s="65">
        <v>9.8000000000000007</v>
      </c>
      <c r="V62" s="65">
        <v>9.8000000000000007</v>
      </c>
      <c r="W62" s="65">
        <v>9.8000000000000007</v>
      </c>
      <c r="X62" s="65">
        <v>9.8000000000000007</v>
      </c>
      <c r="Y62" s="65">
        <v>9.8000000000000007</v>
      </c>
      <c r="Z62" s="65">
        <v>9.8000000000000007</v>
      </c>
      <c r="AA62" s="65"/>
      <c r="AB62" s="65"/>
      <c r="AC62" s="65"/>
      <c r="AD62" s="65">
        <v>9.8000000000000007</v>
      </c>
      <c r="AE62" s="65">
        <v>3</v>
      </c>
      <c r="AF62" s="65">
        <v>3.5</v>
      </c>
      <c r="AG62" s="54">
        <v>14</v>
      </c>
      <c r="AH62" s="47">
        <f t="shared" si="2"/>
        <v>11.3</v>
      </c>
      <c r="AI62" s="48">
        <f t="shared" si="3"/>
        <v>3</v>
      </c>
      <c r="AK62" s="49"/>
    </row>
    <row r="63" spans="1:41" x14ac:dyDescent="0.25">
      <c r="A63" s="53" t="s">
        <v>71</v>
      </c>
      <c r="B63" s="65">
        <v>5.6</v>
      </c>
      <c r="C63" s="65">
        <v>5.3</v>
      </c>
      <c r="D63" s="65">
        <v>6.6</v>
      </c>
      <c r="E63" s="65">
        <v>6.6</v>
      </c>
      <c r="F63" s="65">
        <v>6.6</v>
      </c>
      <c r="G63" s="65">
        <v>6.6</v>
      </c>
      <c r="H63" s="65">
        <v>6.6</v>
      </c>
      <c r="I63" s="65">
        <v>6.6</v>
      </c>
      <c r="J63" s="65">
        <v>5.2</v>
      </c>
      <c r="K63" s="65">
        <v>5.2</v>
      </c>
      <c r="L63" s="65">
        <v>5.2</v>
      </c>
      <c r="M63" s="65">
        <v>5.2</v>
      </c>
      <c r="N63" s="65">
        <v>5.2</v>
      </c>
      <c r="O63" s="65">
        <v>5.2</v>
      </c>
      <c r="P63" s="65">
        <v>5.2</v>
      </c>
      <c r="Q63" s="65">
        <v>5.2</v>
      </c>
      <c r="R63" s="65">
        <v>5.2</v>
      </c>
      <c r="S63" s="65">
        <v>5.2</v>
      </c>
      <c r="T63" s="65">
        <v>5.2</v>
      </c>
      <c r="U63" s="65">
        <v>5.2</v>
      </c>
      <c r="V63" s="65">
        <v>5.2</v>
      </c>
      <c r="W63" s="65">
        <v>5.2</v>
      </c>
      <c r="X63" s="65">
        <v>5.2</v>
      </c>
      <c r="Y63" s="65">
        <v>5.2</v>
      </c>
      <c r="Z63" s="65">
        <v>5.2</v>
      </c>
      <c r="AA63" s="65"/>
      <c r="AB63" s="65"/>
      <c r="AC63" s="65"/>
      <c r="AD63" s="65">
        <v>5.2</v>
      </c>
      <c r="AE63" s="65">
        <v>5.2</v>
      </c>
      <c r="AF63" s="65">
        <v>5.2</v>
      </c>
      <c r="AG63" s="54">
        <v>10.050000000000001</v>
      </c>
      <c r="AH63" s="47">
        <f t="shared" si="2"/>
        <v>6.6</v>
      </c>
      <c r="AI63" s="48">
        <f t="shared" si="3"/>
        <v>5.2</v>
      </c>
      <c r="AK63" s="49"/>
    </row>
    <row r="64" spans="1:41" x14ac:dyDescent="0.25">
      <c r="A64" s="53" t="s">
        <v>72</v>
      </c>
      <c r="B64" s="65">
        <v>2</v>
      </c>
      <c r="C64" s="65">
        <v>2</v>
      </c>
      <c r="D64" s="65">
        <v>2</v>
      </c>
      <c r="E64" s="65">
        <v>2</v>
      </c>
      <c r="F64" s="65">
        <v>2</v>
      </c>
      <c r="G64" s="65">
        <v>2</v>
      </c>
      <c r="H64" s="65">
        <v>2</v>
      </c>
      <c r="I64" s="65">
        <v>2</v>
      </c>
      <c r="J64" s="65">
        <v>2</v>
      </c>
      <c r="K64" s="65">
        <v>2</v>
      </c>
      <c r="L64" s="65">
        <v>2</v>
      </c>
      <c r="M64" s="65">
        <v>2</v>
      </c>
      <c r="N64" s="65">
        <v>2</v>
      </c>
      <c r="O64" s="65">
        <v>2</v>
      </c>
      <c r="P64" s="65">
        <v>2</v>
      </c>
      <c r="Q64" s="65">
        <v>2</v>
      </c>
      <c r="R64" s="65">
        <v>2</v>
      </c>
      <c r="S64" s="65">
        <v>2</v>
      </c>
      <c r="T64" s="65">
        <v>2</v>
      </c>
      <c r="U64" s="65">
        <v>2</v>
      </c>
      <c r="V64" s="65">
        <v>2</v>
      </c>
      <c r="W64" s="65">
        <v>2</v>
      </c>
      <c r="X64" s="65">
        <v>2</v>
      </c>
      <c r="Y64" s="65">
        <v>2</v>
      </c>
      <c r="Z64" s="65">
        <v>2</v>
      </c>
      <c r="AA64" s="65"/>
      <c r="AB64" s="65"/>
      <c r="AC64" s="65"/>
      <c r="AD64" s="65">
        <v>2</v>
      </c>
      <c r="AE64" s="65">
        <v>2</v>
      </c>
      <c r="AF64" s="65">
        <v>2</v>
      </c>
      <c r="AG64" s="54">
        <v>6.2</v>
      </c>
      <c r="AH64" s="47">
        <f t="shared" si="2"/>
        <v>2</v>
      </c>
      <c r="AI64" s="48">
        <f t="shared" si="3"/>
        <v>2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f>SUM(B53:B65)</f>
        <v>235.83999999999997</v>
      </c>
      <c r="C66" s="60">
        <f>SUM(C53:C65)</f>
        <v>246.04000000000002</v>
      </c>
      <c r="D66" s="60">
        <f>SUM(D53:D65)</f>
        <v>239.83999999999997</v>
      </c>
      <c r="E66" s="60">
        <f t="shared" ref="E66:AG66" si="6">SUM(E53:E65)</f>
        <v>252.04</v>
      </c>
      <c r="F66" s="60">
        <f t="shared" si="6"/>
        <v>252.04</v>
      </c>
      <c r="G66" s="60">
        <f t="shared" si="6"/>
        <v>232.34</v>
      </c>
      <c r="H66" s="60">
        <f t="shared" si="6"/>
        <v>229.83999999999997</v>
      </c>
      <c r="I66" s="60">
        <f t="shared" si="6"/>
        <v>231.83999999999997</v>
      </c>
      <c r="J66" s="60">
        <f t="shared" si="6"/>
        <v>220.33999999999997</v>
      </c>
      <c r="K66" s="60">
        <f t="shared" si="6"/>
        <v>224.23999999999998</v>
      </c>
      <c r="L66" s="60">
        <f t="shared" si="6"/>
        <v>247.24</v>
      </c>
      <c r="M66" s="60">
        <f t="shared" si="6"/>
        <v>247.24</v>
      </c>
      <c r="N66" s="60">
        <f t="shared" si="6"/>
        <v>247.24</v>
      </c>
      <c r="O66" s="60">
        <f t="shared" si="6"/>
        <v>303.54000000000002</v>
      </c>
      <c r="P66" s="60">
        <f t="shared" si="6"/>
        <v>293.14</v>
      </c>
      <c r="Q66" s="60">
        <f t="shared" si="6"/>
        <v>364.14000000000004</v>
      </c>
      <c r="R66" s="60">
        <f t="shared" si="6"/>
        <v>410.84000000000003</v>
      </c>
      <c r="S66" s="60">
        <f t="shared" si="6"/>
        <v>340.14000000000004</v>
      </c>
      <c r="T66" s="60">
        <f t="shared" si="6"/>
        <v>347.94000000000005</v>
      </c>
      <c r="U66" s="60">
        <f t="shared" si="6"/>
        <v>276.94</v>
      </c>
      <c r="V66" s="60">
        <f t="shared" si="6"/>
        <v>291.54000000000008</v>
      </c>
      <c r="W66" s="60">
        <f t="shared" si="6"/>
        <v>288.34000000000003</v>
      </c>
      <c r="X66" s="60">
        <f t="shared" si="6"/>
        <v>301.04000000000002</v>
      </c>
      <c r="Y66" s="60">
        <f t="shared" si="6"/>
        <v>263.84000000000003</v>
      </c>
      <c r="Z66" s="60">
        <f t="shared" si="6"/>
        <v>331.34000000000003</v>
      </c>
      <c r="AA66" s="60">
        <f t="shared" si="6"/>
        <v>3.54</v>
      </c>
      <c r="AB66" s="60">
        <f t="shared" si="6"/>
        <v>3.54</v>
      </c>
      <c r="AC66" s="60">
        <f t="shared" si="6"/>
        <v>3.54</v>
      </c>
      <c r="AD66" s="60">
        <f t="shared" si="6"/>
        <v>331.34000000000003</v>
      </c>
      <c r="AE66" s="60">
        <f t="shared" si="6"/>
        <v>350.64000000000004</v>
      </c>
      <c r="AF66" s="60">
        <f t="shared" si="6"/>
        <v>342.94</v>
      </c>
      <c r="AG66" s="61">
        <f t="shared" si="6"/>
        <v>489.91</v>
      </c>
      <c r="AH66" s="47">
        <f t="shared" si="2"/>
        <v>410.84000000000003</v>
      </c>
      <c r="AI66" s="48">
        <f t="shared" si="3"/>
        <v>3.54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11.6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/>
      <c r="AB67" s="45"/>
      <c r="AC67" s="45"/>
      <c r="AD67" s="45">
        <v>14</v>
      </c>
      <c r="AE67" s="45">
        <v>0</v>
      </c>
      <c r="AF67" s="45">
        <v>0</v>
      </c>
      <c r="AG67" s="51">
        <v>60</v>
      </c>
      <c r="AH67" s="47">
        <f t="shared" si="2"/>
        <v>14</v>
      </c>
      <c r="AI67" s="48">
        <f t="shared" si="3"/>
        <v>0</v>
      </c>
      <c r="AK67" s="49"/>
    </row>
    <row r="68" spans="1:40" x14ac:dyDescent="0.25">
      <c r="A68" s="53" t="s">
        <v>76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4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/>
      <c r="AB68" s="65"/>
      <c r="AC68" s="65"/>
      <c r="AD68" s="65">
        <v>13.4</v>
      </c>
      <c r="AE68" s="65">
        <v>0</v>
      </c>
      <c r="AF68" s="45">
        <v>0</v>
      </c>
      <c r="AG68" s="54">
        <v>32</v>
      </c>
      <c r="AH68" s="47">
        <f t="shared" si="2"/>
        <v>13.4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0</v>
      </c>
      <c r="Q69" s="67">
        <v>0</v>
      </c>
      <c r="R69" s="67">
        <v>1.5</v>
      </c>
      <c r="S69" s="67">
        <v>0</v>
      </c>
      <c r="T69" s="67">
        <v>0</v>
      </c>
      <c r="U69" s="67">
        <v>0</v>
      </c>
      <c r="V69" s="67">
        <v>0</v>
      </c>
      <c r="W69" s="67">
        <v>0</v>
      </c>
      <c r="X69" s="67">
        <v>0</v>
      </c>
      <c r="Y69" s="67">
        <v>0</v>
      </c>
      <c r="Z69" s="67">
        <v>0</v>
      </c>
      <c r="AA69" s="67"/>
      <c r="AB69" s="67"/>
      <c r="AC69" s="67"/>
      <c r="AD69" s="67">
        <v>4.9000000000000004</v>
      </c>
      <c r="AE69" s="67">
        <v>0</v>
      </c>
      <c r="AF69" s="45">
        <v>0</v>
      </c>
      <c r="AG69" s="68">
        <v>14</v>
      </c>
      <c r="AH69" s="47">
        <f t="shared" si="2"/>
        <v>4.9000000000000004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f>B67+B68+B69</f>
        <v>0</v>
      </c>
      <c r="C70" s="60">
        <f>C67+C68+C69</f>
        <v>0</v>
      </c>
      <c r="D70" s="60">
        <f>D67+D68+D69</f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7">M67+M68+M69</f>
        <v>0</v>
      </c>
      <c r="N70" s="60">
        <f t="shared" si="7"/>
        <v>0</v>
      </c>
      <c r="O70" s="60">
        <f t="shared" si="7"/>
        <v>0</v>
      </c>
      <c r="P70" s="60">
        <f t="shared" si="7"/>
        <v>0</v>
      </c>
      <c r="Q70" s="60">
        <f t="shared" si="7"/>
        <v>0</v>
      </c>
      <c r="R70" s="60">
        <f t="shared" si="7"/>
        <v>17.100000000000001</v>
      </c>
      <c r="S70" s="60">
        <f t="shared" si="7"/>
        <v>0</v>
      </c>
      <c r="T70" s="60">
        <f t="shared" si="7"/>
        <v>0</v>
      </c>
      <c r="U70" s="60">
        <f t="shared" si="7"/>
        <v>0</v>
      </c>
      <c r="V70" s="60">
        <f t="shared" si="7"/>
        <v>0</v>
      </c>
      <c r="W70" s="60">
        <f t="shared" si="7"/>
        <v>0</v>
      </c>
      <c r="X70" s="60">
        <f t="shared" si="7"/>
        <v>0</v>
      </c>
      <c r="Y70" s="60">
        <f t="shared" si="7"/>
        <v>0</v>
      </c>
      <c r="Z70" s="60">
        <f t="shared" si="7"/>
        <v>0</v>
      </c>
      <c r="AA70" s="60">
        <f t="shared" si="7"/>
        <v>0</v>
      </c>
      <c r="AB70" s="60">
        <f t="shared" si="7"/>
        <v>0</v>
      </c>
      <c r="AC70" s="60">
        <f t="shared" si="7"/>
        <v>0</v>
      </c>
      <c r="AD70" s="60">
        <f t="shared" si="7"/>
        <v>32.299999999999997</v>
      </c>
      <c r="AE70" s="60">
        <f t="shared" si="7"/>
        <v>0</v>
      </c>
      <c r="AF70" s="60">
        <f t="shared" si="7"/>
        <v>0</v>
      </c>
      <c r="AG70" s="61">
        <f>SUM(AG67:AG69)</f>
        <v>106</v>
      </c>
      <c r="AH70" s="47">
        <f t="shared" si="2"/>
        <v>32.299999999999997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64.5</v>
      </c>
      <c r="C71" s="45">
        <v>67.3</v>
      </c>
      <c r="D71" s="45">
        <v>65.900000000000006</v>
      </c>
      <c r="E71" s="45">
        <v>61.3</v>
      </c>
      <c r="F71" s="45">
        <v>56.5</v>
      </c>
      <c r="G71" s="45">
        <v>54.6</v>
      </c>
      <c r="H71" s="45">
        <v>60.4</v>
      </c>
      <c r="I71" s="45">
        <v>56.8</v>
      </c>
      <c r="J71" s="45">
        <v>55</v>
      </c>
      <c r="K71" s="45">
        <v>58.3</v>
      </c>
      <c r="L71" s="45">
        <v>43.9</v>
      </c>
      <c r="M71" s="45">
        <v>49.7</v>
      </c>
      <c r="N71" s="45">
        <v>49.7</v>
      </c>
      <c r="O71" s="45">
        <v>55.7</v>
      </c>
      <c r="P71" s="45">
        <v>60.2</v>
      </c>
      <c r="Q71" s="45">
        <v>45.5</v>
      </c>
      <c r="R71" s="45">
        <v>63.7</v>
      </c>
      <c r="S71" s="45">
        <v>63.7</v>
      </c>
      <c r="T71" s="45">
        <v>74.2</v>
      </c>
      <c r="U71" s="45">
        <v>67</v>
      </c>
      <c r="V71" s="45">
        <v>67</v>
      </c>
      <c r="W71" s="45">
        <v>66.099999999999994</v>
      </c>
      <c r="X71" s="45">
        <v>66.099999999999994</v>
      </c>
      <c r="Y71" s="45">
        <v>70.400000000000006</v>
      </c>
      <c r="Z71" s="45">
        <v>68</v>
      </c>
      <c r="AA71" s="45"/>
      <c r="AB71" s="45"/>
      <c r="AC71" s="45"/>
      <c r="AD71" s="45">
        <v>45</v>
      </c>
      <c r="AE71" s="45">
        <v>48</v>
      </c>
      <c r="AF71" s="45">
        <v>59.7</v>
      </c>
      <c r="AG71" s="51"/>
      <c r="AH71" s="47">
        <f t="shared" si="2"/>
        <v>74.2</v>
      </c>
      <c r="AI71" s="48">
        <f t="shared" si="3"/>
        <v>43.9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/>
      <c r="AB72" s="65"/>
      <c r="AC72" s="65"/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378</v>
      </c>
      <c r="C73" s="65">
        <v>340</v>
      </c>
      <c r="D73" s="65">
        <v>349.5</v>
      </c>
      <c r="E73" s="65">
        <v>321</v>
      </c>
      <c r="F73" s="65">
        <v>313</v>
      </c>
      <c r="G73" s="65">
        <v>320.8</v>
      </c>
      <c r="H73" s="65">
        <v>317.8</v>
      </c>
      <c r="I73" s="65">
        <v>331.9</v>
      </c>
      <c r="J73" s="65">
        <v>335</v>
      </c>
      <c r="K73" s="65">
        <v>399.6</v>
      </c>
      <c r="L73" s="65">
        <v>357.3</v>
      </c>
      <c r="M73" s="65">
        <v>364</v>
      </c>
      <c r="N73" s="65">
        <v>364</v>
      </c>
      <c r="O73" s="65">
        <v>396</v>
      </c>
      <c r="P73" s="65">
        <v>397</v>
      </c>
      <c r="Q73" s="65">
        <v>403</v>
      </c>
      <c r="R73" s="65">
        <v>401</v>
      </c>
      <c r="S73" s="65">
        <v>384</v>
      </c>
      <c r="T73" s="65">
        <v>341.2</v>
      </c>
      <c r="U73" s="65">
        <v>360.1</v>
      </c>
      <c r="V73" s="65">
        <v>360.1</v>
      </c>
      <c r="W73" s="65">
        <v>376.4</v>
      </c>
      <c r="X73" s="65">
        <v>315</v>
      </c>
      <c r="Y73" s="65">
        <v>300</v>
      </c>
      <c r="Z73" s="65">
        <v>280</v>
      </c>
      <c r="AA73" s="65"/>
      <c r="AB73" s="65"/>
      <c r="AC73" s="65"/>
      <c r="AD73" s="65">
        <v>152</v>
      </c>
      <c r="AE73" s="65">
        <v>225</v>
      </c>
      <c r="AF73" s="65">
        <v>233</v>
      </c>
      <c r="AG73" s="75"/>
      <c r="AH73" s="47">
        <f t="shared" si="2"/>
        <v>403</v>
      </c>
      <c r="AI73" s="48">
        <f t="shared" si="3"/>
        <v>152</v>
      </c>
      <c r="AK73" s="49"/>
    </row>
    <row r="74" spans="1:40" x14ac:dyDescent="0.25">
      <c r="A74" s="53" t="s">
        <v>82</v>
      </c>
      <c r="B74" s="65">
        <v>40</v>
      </c>
      <c r="C74" s="65">
        <v>43</v>
      </c>
      <c r="D74" s="65">
        <v>47.3</v>
      </c>
      <c r="E74" s="76">
        <v>41</v>
      </c>
      <c r="F74" s="76">
        <v>46</v>
      </c>
      <c r="G74" s="76">
        <v>45.6</v>
      </c>
      <c r="H74" s="76">
        <v>47</v>
      </c>
      <c r="I74" s="76">
        <v>45</v>
      </c>
      <c r="J74" s="76">
        <v>41.3</v>
      </c>
      <c r="K74" s="76">
        <v>47</v>
      </c>
      <c r="L74" s="76">
        <v>46</v>
      </c>
      <c r="M74" s="76">
        <v>36</v>
      </c>
      <c r="N74" s="76">
        <v>36</v>
      </c>
      <c r="O74" s="76">
        <v>41.3</v>
      </c>
      <c r="P74" s="76">
        <v>38.5</v>
      </c>
      <c r="Q74" s="76">
        <v>38</v>
      </c>
      <c r="R74" s="76">
        <v>41.7</v>
      </c>
      <c r="S74" s="76">
        <v>41.7</v>
      </c>
      <c r="T74" s="76">
        <v>46.7</v>
      </c>
      <c r="U74" s="76">
        <v>46.7</v>
      </c>
      <c r="V74" s="76">
        <v>46.7</v>
      </c>
      <c r="W74" s="76">
        <v>46.7</v>
      </c>
      <c r="X74" s="76">
        <v>47.9</v>
      </c>
      <c r="Y74" s="65">
        <v>48.2</v>
      </c>
      <c r="Z74" s="65">
        <v>48.2</v>
      </c>
      <c r="AA74" s="65"/>
      <c r="AB74" s="65"/>
      <c r="AC74" s="65"/>
      <c r="AD74" s="65">
        <v>0</v>
      </c>
      <c r="AE74" s="65">
        <v>0</v>
      </c>
      <c r="AF74" s="65">
        <v>0</v>
      </c>
      <c r="AG74" s="75"/>
      <c r="AH74" s="47">
        <f t="shared" si="2"/>
        <v>48.2</v>
      </c>
      <c r="AI74" s="48">
        <f t="shared" si="3"/>
        <v>0</v>
      </c>
      <c r="AK74" s="49"/>
    </row>
    <row r="75" spans="1:40" x14ac:dyDescent="0.25">
      <c r="A75" s="53" t="s">
        <v>83</v>
      </c>
      <c r="B75" s="45">
        <v>0</v>
      </c>
      <c r="C75" s="45">
        <v>0</v>
      </c>
      <c r="D75" s="45">
        <v>30.7</v>
      </c>
      <c r="E75" s="45">
        <v>30</v>
      </c>
      <c r="F75" s="45">
        <v>30.2</v>
      </c>
      <c r="G75" s="45">
        <v>28.4</v>
      </c>
      <c r="H75" s="45">
        <v>28</v>
      </c>
      <c r="I75" s="45">
        <v>27.1</v>
      </c>
      <c r="J75" s="45">
        <v>28.1</v>
      </c>
      <c r="K75" s="45">
        <v>29.6</v>
      </c>
      <c r="L75" s="45">
        <v>34.200000000000003</v>
      </c>
      <c r="M75" s="45">
        <v>32.799999999999997</v>
      </c>
      <c r="N75" s="45">
        <v>32.799999999999997</v>
      </c>
      <c r="O75" s="45">
        <v>36.799999999999997</v>
      </c>
      <c r="P75" s="45">
        <v>39.1</v>
      </c>
      <c r="Q75" s="45">
        <v>38.299999999999997</v>
      </c>
      <c r="R75" s="45">
        <v>36.6</v>
      </c>
      <c r="S75" s="45">
        <v>36.6</v>
      </c>
      <c r="T75" s="45">
        <v>36.200000000000003</v>
      </c>
      <c r="U75" s="45">
        <v>36.200000000000003</v>
      </c>
      <c r="V75" s="45">
        <v>36.200000000000003</v>
      </c>
      <c r="W75" s="45">
        <v>27.7</v>
      </c>
      <c r="X75" s="45">
        <v>24.9</v>
      </c>
      <c r="Y75" s="45">
        <v>24.9</v>
      </c>
      <c r="Z75" s="45">
        <v>24.9</v>
      </c>
      <c r="AA75" s="45"/>
      <c r="AB75" s="45"/>
      <c r="AC75" s="45"/>
      <c r="AD75" s="45">
        <v>0</v>
      </c>
      <c r="AE75" s="45">
        <v>0</v>
      </c>
      <c r="AF75" s="45">
        <v>0</v>
      </c>
      <c r="AG75" s="75"/>
      <c r="AH75" s="47">
        <f t="shared" ref="AH75:AH117" si="8">MAX(B75:AF75)</f>
        <v>39.1</v>
      </c>
      <c r="AI75" s="48">
        <f t="shared" ref="AI75:AI117" si="9">MIN(B75:AF75)</f>
        <v>0</v>
      </c>
      <c r="AK75" s="49"/>
    </row>
    <row r="76" spans="1:40" x14ac:dyDescent="0.25">
      <c r="A76" s="53" t="s">
        <v>84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/>
      <c r="AB76" s="77"/>
      <c r="AC76" s="77"/>
      <c r="AD76" s="77">
        <v>5</v>
      </c>
      <c r="AE76" s="77">
        <v>5</v>
      </c>
      <c r="AF76" s="77">
        <v>5</v>
      </c>
      <c r="AG76" s="75"/>
      <c r="AH76" s="47">
        <f t="shared" si="8"/>
        <v>5</v>
      </c>
      <c r="AI76" s="48">
        <f t="shared" si="9"/>
        <v>5</v>
      </c>
      <c r="AK76" s="49"/>
    </row>
    <row r="77" spans="1:40" ht="15.75" thickBot="1" x14ac:dyDescent="0.3">
      <c r="A77" s="53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/>
      <c r="AB77" s="77"/>
      <c r="AC77" s="77"/>
      <c r="AD77" s="77">
        <v>0</v>
      </c>
      <c r="AE77" s="77">
        <v>0</v>
      </c>
      <c r="AF77" s="77">
        <v>0</v>
      </c>
      <c r="AG77" s="75"/>
      <c r="AH77" s="47">
        <f t="shared" si="8"/>
        <v>0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6</v>
      </c>
      <c r="C78" s="77">
        <v>5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6</v>
      </c>
      <c r="P78" s="77">
        <v>6</v>
      </c>
      <c r="Q78" s="77">
        <v>6</v>
      </c>
      <c r="R78" s="77">
        <v>6</v>
      </c>
      <c r="S78" s="77">
        <v>6</v>
      </c>
      <c r="T78" s="77">
        <v>6</v>
      </c>
      <c r="U78" s="77">
        <v>6</v>
      </c>
      <c r="V78" s="77">
        <v>6</v>
      </c>
      <c r="W78" s="77">
        <v>6</v>
      </c>
      <c r="X78" s="77">
        <v>6</v>
      </c>
      <c r="Y78" s="77">
        <v>6</v>
      </c>
      <c r="Z78" s="77">
        <v>6</v>
      </c>
      <c r="AA78" s="77"/>
      <c r="AB78" s="77"/>
      <c r="AC78" s="77"/>
      <c r="AD78" s="77">
        <v>6</v>
      </c>
      <c r="AE78" s="77">
        <v>6</v>
      </c>
      <c r="AF78" s="77">
        <v>6</v>
      </c>
      <c r="AG78" s="75"/>
      <c r="AH78" s="47">
        <f t="shared" si="8"/>
        <v>6</v>
      </c>
      <c r="AI78" s="48">
        <f t="shared" si="9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5</v>
      </c>
      <c r="C79" s="77">
        <v>5</v>
      </c>
      <c r="D79" s="77">
        <v>6</v>
      </c>
      <c r="E79" s="77">
        <v>5</v>
      </c>
      <c r="F79" s="77">
        <v>5</v>
      </c>
      <c r="G79" s="77">
        <v>5</v>
      </c>
      <c r="H79" s="77">
        <v>5</v>
      </c>
      <c r="I79" s="77">
        <v>5</v>
      </c>
      <c r="J79" s="77">
        <v>5</v>
      </c>
      <c r="K79" s="77">
        <v>5</v>
      </c>
      <c r="L79" s="77">
        <v>5</v>
      </c>
      <c r="M79" s="77">
        <v>8</v>
      </c>
      <c r="N79" s="77">
        <v>7</v>
      </c>
      <c r="O79" s="77">
        <v>9</v>
      </c>
      <c r="P79" s="77">
        <v>9</v>
      </c>
      <c r="Q79" s="77">
        <v>9</v>
      </c>
      <c r="R79" s="77">
        <v>9</v>
      </c>
      <c r="S79" s="77">
        <v>9</v>
      </c>
      <c r="T79" s="77">
        <v>9</v>
      </c>
      <c r="U79" s="77">
        <v>9</v>
      </c>
      <c r="V79" s="77">
        <v>9</v>
      </c>
      <c r="W79" s="77">
        <v>9</v>
      </c>
      <c r="X79" s="77">
        <v>9</v>
      </c>
      <c r="Y79" s="77">
        <v>9</v>
      </c>
      <c r="Z79" s="77">
        <v>9</v>
      </c>
      <c r="AA79" s="77"/>
      <c r="AB79" s="77"/>
      <c r="AC79" s="77"/>
      <c r="AD79" s="77">
        <v>9</v>
      </c>
      <c r="AE79" s="77">
        <v>0</v>
      </c>
      <c r="AF79" s="77">
        <v>0</v>
      </c>
      <c r="AG79" s="75"/>
      <c r="AH79" s="47">
        <f t="shared" si="8"/>
        <v>9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/>
      <c r="AB80" s="77"/>
      <c r="AC80" s="77"/>
      <c r="AD80" s="77">
        <v>0</v>
      </c>
      <c r="AE80" s="77">
        <v>0</v>
      </c>
      <c r="AF80" s="77">
        <v>0</v>
      </c>
      <c r="AG80" s="85"/>
      <c r="AH80" s="47">
        <f t="shared" si="8"/>
        <v>0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/>
      <c r="AB81" s="77"/>
      <c r="AC81" s="77"/>
      <c r="AD81" s="77">
        <v>0</v>
      </c>
      <c r="AE81" s="77">
        <v>0</v>
      </c>
      <c r="AF81" s="77">
        <v>0</v>
      </c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f>SUMIF(B71:B81,"&gt;0")</f>
        <v>498.5</v>
      </c>
      <c r="C82" s="60">
        <f>SUMIF(C71:C81,"&gt;0")</f>
        <v>465.3</v>
      </c>
      <c r="D82" s="60">
        <f>SUMIF(D71:D81,"&gt;0")</f>
        <v>504.4</v>
      </c>
      <c r="E82" s="60">
        <f t="shared" ref="E82:AF82" si="10">SUMIF(E71:E81,"&gt;0")</f>
        <v>463.3</v>
      </c>
      <c r="F82" s="60">
        <f t="shared" si="10"/>
        <v>455.7</v>
      </c>
      <c r="G82" s="60">
        <f t="shared" si="10"/>
        <v>459.40000000000003</v>
      </c>
      <c r="H82" s="60">
        <f t="shared" si="10"/>
        <v>463.2</v>
      </c>
      <c r="I82" s="60">
        <f t="shared" si="10"/>
        <v>470.8</v>
      </c>
      <c r="J82" s="60">
        <f t="shared" si="10"/>
        <v>469.40000000000003</v>
      </c>
      <c r="K82" s="60">
        <f t="shared" si="10"/>
        <v>544.5</v>
      </c>
      <c r="L82" s="60">
        <f t="shared" si="10"/>
        <v>491.4</v>
      </c>
      <c r="M82" s="60">
        <f t="shared" si="10"/>
        <v>495.5</v>
      </c>
      <c r="N82" s="60">
        <f t="shared" si="10"/>
        <v>494.5</v>
      </c>
      <c r="O82" s="60">
        <f t="shared" si="10"/>
        <v>549.79999999999995</v>
      </c>
      <c r="P82" s="60">
        <f t="shared" si="10"/>
        <v>554.79999999999995</v>
      </c>
      <c r="Q82" s="60">
        <f t="shared" si="10"/>
        <v>544.79999999999995</v>
      </c>
      <c r="R82" s="60">
        <f t="shared" si="10"/>
        <v>563</v>
      </c>
      <c r="S82" s="60">
        <f t="shared" si="10"/>
        <v>546</v>
      </c>
      <c r="T82" s="60">
        <f t="shared" si="10"/>
        <v>518.29999999999995</v>
      </c>
      <c r="U82" s="60">
        <f t="shared" si="10"/>
        <v>530</v>
      </c>
      <c r="V82" s="60">
        <f t="shared" si="10"/>
        <v>530</v>
      </c>
      <c r="W82" s="60">
        <f t="shared" si="10"/>
        <v>536.9</v>
      </c>
      <c r="X82" s="60">
        <f t="shared" si="10"/>
        <v>473.9</v>
      </c>
      <c r="Y82" s="60">
        <f t="shared" si="10"/>
        <v>463.49999999999994</v>
      </c>
      <c r="Z82" s="60">
        <f t="shared" si="10"/>
        <v>441.09999999999997</v>
      </c>
      <c r="AA82" s="60">
        <f t="shared" si="10"/>
        <v>0</v>
      </c>
      <c r="AB82" s="60">
        <f t="shared" si="10"/>
        <v>0</v>
      </c>
      <c r="AC82" s="60">
        <f t="shared" si="10"/>
        <v>0</v>
      </c>
      <c r="AD82" s="60">
        <f t="shared" si="10"/>
        <v>217</v>
      </c>
      <c r="AE82" s="60">
        <f t="shared" si="10"/>
        <v>284</v>
      </c>
      <c r="AF82" s="60">
        <f t="shared" si="10"/>
        <v>303.7</v>
      </c>
      <c r="AG82" s="88">
        <f>SUM(AG71:AG81)</f>
        <v>0</v>
      </c>
      <c r="AH82" s="47">
        <f t="shared" si="8"/>
        <v>563</v>
      </c>
      <c r="AI82" s="48">
        <f t="shared" si="9"/>
        <v>0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f>B48+B52+B70+B66+B82+B86</f>
        <v>1374.1399999999999</v>
      </c>
      <c r="C87" s="95">
        <f>C48+C52+C70+C66+C82+C86</f>
        <v>1351.24</v>
      </c>
      <c r="D87" s="95">
        <f>D48+D52+D70+D66+D82+D86</f>
        <v>1386.54</v>
      </c>
      <c r="E87" s="95">
        <f t="shared" ref="E87:AG87" si="11">E48+E52+E70+E66+E82+E86</f>
        <v>1330.04</v>
      </c>
      <c r="F87" s="95">
        <f t="shared" si="11"/>
        <v>1283.44</v>
      </c>
      <c r="G87" s="95">
        <f t="shared" si="11"/>
        <v>1350.44</v>
      </c>
      <c r="H87" s="95">
        <f t="shared" si="11"/>
        <v>1292.24</v>
      </c>
      <c r="I87" s="95">
        <f t="shared" si="11"/>
        <v>1303.8399999999999</v>
      </c>
      <c r="J87" s="95">
        <f t="shared" si="11"/>
        <v>1319.94</v>
      </c>
      <c r="K87" s="95">
        <f t="shared" si="11"/>
        <v>1386.24</v>
      </c>
      <c r="L87" s="95">
        <f t="shared" si="11"/>
        <v>1336.1399999999999</v>
      </c>
      <c r="M87" s="95">
        <f t="shared" si="11"/>
        <v>1338.94</v>
      </c>
      <c r="N87" s="95">
        <f t="shared" si="11"/>
        <v>1337.94</v>
      </c>
      <c r="O87" s="95">
        <f t="shared" si="11"/>
        <v>1449.54</v>
      </c>
      <c r="P87" s="95">
        <f t="shared" si="11"/>
        <v>1444.1399999999999</v>
      </c>
      <c r="Q87" s="95">
        <f t="shared" si="11"/>
        <v>1525.1399999999999</v>
      </c>
      <c r="R87" s="95">
        <f t="shared" si="11"/>
        <v>1627.1399999999999</v>
      </c>
      <c r="S87" s="95">
        <f t="shared" si="11"/>
        <v>1518.34</v>
      </c>
      <c r="T87" s="95">
        <f t="shared" si="11"/>
        <v>1543.4399999999998</v>
      </c>
      <c r="U87" s="95">
        <f t="shared" si="11"/>
        <v>1449.1399999999999</v>
      </c>
      <c r="V87" s="95">
        <f t="shared" si="11"/>
        <v>1411.74</v>
      </c>
      <c r="W87" s="95">
        <f t="shared" si="11"/>
        <v>1415.44</v>
      </c>
      <c r="X87" s="95">
        <f t="shared" si="11"/>
        <v>1332.04</v>
      </c>
      <c r="Y87" s="95">
        <f t="shared" si="11"/>
        <v>1304.4399999999998</v>
      </c>
      <c r="Z87" s="95">
        <f t="shared" si="11"/>
        <v>1349.54</v>
      </c>
      <c r="AA87" s="95">
        <f t="shared" si="11"/>
        <v>3.54</v>
      </c>
      <c r="AB87" s="95">
        <f t="shared" si="11"/>
        <v>3.54</v>
      </c>
      <c r="AC87" s="95">
        <f t="shared" si="11"/>
        <v>3.54</v>
      </c>
      <c r="AD87" s="95">
        <f t="shared" si="11"/>
        <v>1237.7399999999998</v>
      </c>
      <c r="AE87" s="95">
        <f t="shared" si="11"/>
        <v>1301.74</v>
      </c>
      <c r="AF87" s="95">
        <f t="shared" si="11"/>
        <v>1313.74</v>
      </c>
      <c r="AG87" s="61">
        <f t="shared" si="11"/>
        <v>2065.09</v>
      </c>
      <c r="AH87" s="47">
        <f>MAX(B87:AF87)</f>
        <v>1627.1399999999999</v>
      </c>
      <c r="AI87" s="48">
        <f>MIN(B87:AF87)</f>
        <v>3.54</v>
      </c>
    </row>
    <row r="88" spans="1:40" ht="15.75" thickBot="1" x14ac:dyDescent="0.3">
      <c r="A88" s="96" t="s">
        <v>99</v>
      </c>
      <c r="B88" s="97"/>
      <c r="C88" s="97"/>
      <c r="D88" s="97"/>
      <c r="E88" s="97"/>
      <c r="F88" s="97"/>
      <c r="G88" s="97"/>
      <c r="H88" s="97"/>
      <c r="I88" s="97"/>
      <c r="J88" s="97">
        <v>50</v>
      </c>
      <c r="K88" s="97">
        <v>50</v>
      </c>
      <c r="L88" s="97">
        <v>50</v>
      </c>
      <c r="M88" s="97">
        <v>50</v>
      </c>
      <c r="N88" s="97">
        <v>50</v>
      </c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88"/>
      <c r="AH88" s="47">
        <f t="shared" si="8"/>
        <v>50</v>
      </c>
      <c r="AI88" s="48">
        <f t="shared" si="9"/>
        <v>50</v>
      </c>
    </row>
    <row r="89" spans="1:40" ht="15.75" thickBot="1" x14ac:dyDescent="0.3">
      <c r="A89" s="74" t="s">
        <v>100</v>
      </c>
      <c r="B89" s="95">
        <f>B87+B88</f>
        <v>1374.1399999999999</v>
      </c>
      <c r="C89" s="95">
        <f>C87+C88</f>
        <v>1351.24</v>
      </c>
      <c r="D89" s="95">
        <f>D87+D88</f>
        <v>1386.54</v>
      </c>
      <c r="E89" s="95">
        <f t="shared" ref="E89:AF89" si="12">E87+E88</f>
        <v>1330.04</v>
      </c>
      <c r="F89" s="95">
        <f t="shared" si="12"/>
        <v>1283.44</v>
      </c>
      <c r="G89" s="95">
        <f t="shared" si="12"/>
        <v>1350.44</v>
      </c>
      <c r="H89" s="95">
        <f t="shared" si="12"/>
        <v>1292.24</v>
      </c>
      <c r="I89" s="95">
        <f t="shared" si="12"/>
        <v>1303.8399999999999</v>
      </c>
      <c r="J89" s="95">
        <f t="shared" si="12"/>
        <v>1369.94</v>
      </c>
      <c r="K89" s="95">
        <f t="shared" si="12"/>
        <v>1436.24</v>
      </c>
      <c r="L89" s="95">
        <f t="shared" si="12"/>
        <v>1386.1399999999999</v>
      </c>
      <c r="M89" s="95">
        <f t="shared" si="12"/>
        <v>1388.94</v>
      </c>
      <c r="N89" s="95">
        <f t="shared" si="12"/>
        <v>1387.94</v>
      </c>
      <c r="O89" s="95">
        <f t="shared" si="12"/>
        <v>1449.54</v>
      </c>
      <c r="P89" s="95">
        <f t="shared" si="12"/>
        <v>1444.1399999999999</v>
      </c>
      <c r="Q89" s="95">
        <f t="shared" si="12"/>
        <v>1525.1399999999999</v>
      </c>
      <c r="R89" s="95">
        <f t="shared" si="12"/>
        <v>1627.1399999999999</v>
      </c>
      <c r="S89" s="95">
        <f t="shared" si="12"/>
        <v>1518.34</v>
      </c>
      <c r="T89" s="95">
        <f t="shared" si="12"/>
        <v>1543.4399999999998</v>
      </c>
      <c r="U89" s="95">
        <f t="shared" si="12"/>
        <v>1449.1399999999999</v>
      </c>
      <c r="V89" s="95">
        <f t="shared" si="12"/>
        <v>1411.74</v>
      </c>
      <c r="W89" s="95">
        <f t="shared" si="12"/>
        <v>1415.44</v>
      </c>
      <c r="X89" s="95">
        <f t="shared" si="12"/>
        <v>1332.04</v>
      </c>
      <c r="Y89" s="95">
        <f t="shared" si="12"/>
        <v>1304.4399999999998</v>
      </c>
      <c r="Z89" s="95">
        <f t="shared" si="12"/>
        <v>1349.54</v>
      </c>
      <c r="AA89" s="95">
        <f t="shared" si="12"/>
        <v>3.54</v>
      </c>
      <c r="AB89" s="95">
        <f t="shared" si="12"/>
        <v>3.54</v>
      </c>
      <c r="AC89" s="95">
        <f t="shared" si="12"/>
        <v>3.54</v>
      </c>
      <c r="AD89" s="95">
        <f t="shared" si="12"/>
        <v>1237.7399999999998</v>
      </c>
      <c r="AE89" s="95">
        <f t="shared" si="12"/>
        <v>1301.74</v>
      </c>
      <c r="AF89" s="95">
        <f t="shared" si="12"/>
        <v>1313.74</v>
      </c>
      <c r="AG89" s="88">
        <f>AG86+AG82+AG70+AG66+AG48+AG88</f>
        <v>1526.99</v>
      </c>
      <c r="AH89" s="47">
        <f t="shared" si="8"/>
        <v>1627.1399999999999</v>
      </c>
      <c r="AI89" s="48">
        <f t="shared" si="9"/>
        <v>3.54</v>
      </c>
    </row>
    <row r="90" spans="1:40" ht="15.75" thickBot="1" x14ac:dyDescent="0.3">
      <c r="A90" s="74" t="s">
        <v>101</v>
      </c>
      <c r="B90" s="95">
        <f>B89-B97</f>
        <v>1374.1399999999999</v>
      </c>
      <c r="C90" s="95">
        <f>C89-C97</f>
        <v>1351.24</v>
      </c>
      <c r="D90" s="95">
        <f>D89-D97</f>
        <v>1386.54</v>
      </c>
      <c r="E90" s="95">
        <f t="shared" ref="E90:AF90" si="13">E89-E97</f>
        <v>1330.04</v>
      </c>
      <c r="F90" s="95">
        <f t="shared" si="13"/>
        <v>1283.44</v>
      </c>
      <c r="G90" s="95">
        <f t="shared" si="13"/>
        <v>1350.44</v>
      </c>
      <c r="H90" s="95">
        <f t="shared" si="13"/>
        <v>1292.24</v>
      </c>
      <c r="I90" s="95">
        <f t="shared" si="13"/>
        <v>1303.8399999999999</v>
      </c>
      <c r="J90" s="95">
        <f t="shared" si="13"/>
        <v>1369.94</v>
      </c>
      <c r="K90" s="95">
        <f t="shared" si="13"/>
        <v>1436.24</v>
      </c>
      <c r="L90" s="95">
        <f t="shared" si="13"/>
        <v>1386.1399999999999</v>
      </c>
      <c r="M90" s="95">
        <f t="shared" si="13"/>
        <v>1388.94</v>
      </c>
      <c r="N90" s="95">
        <f t="shared" si="13"/>
        <v>1387.94</v>
      </c>
      <c r="O90" s="95">
        <f t="shared" si="13"/>
        <v>1449.54</v>
      </c>
      <c r="P90" s="95">
        <f t="shared" si="13"/>
        <v>1444.1399999999999</v>
      </c>
      <c r="Q90" s="95">
        <f t="shared" si="13"/>
        <v>1525.1399999999999</v>
      </c>
      <c r="R90" s="95">
        <f t="shared" si="13"/>
        <v>1627.1399999999999</v>
      </c>
      <c r="S90" s="95">
        <f t="shared" si="13"/>
        <v>1518.34</v>
      </c>
      <c r="T90" s="95">
        <f t="shared" si="13"/>
        <v>1543.4399999999998</v>
      </c>
      <c r="U90" s="95">
        <f t="shared" si="13"/>
        <v>1449.1399999999999</v>
      </c>
      <c r="V90" s="95">
        <f t="shared" si="13"/>
        <v>1411.74</v>
      </c>
      <c r="W90" s="95">
        <f t="shared" si="13"/>
        <v>1415.44</v>
      </c>
      <c r="X90" s="95">
        <f t="shared" si="13"/>
        <v>1332.04</v>
      </c>
      <c r="Y90" s="95">
        <f t="shared" si="13"/>
        <v>1304.4399999999998</v>
      </c>
      <c r="Z90" s="95">
        <f t="shared" si="13"/>
        <v>1349.54</v>
      </c>
      <c r="AA90" s="95">
        <f t="shared" si="13"/>
        <v>3.54</v>
      </c>
      <c r="AB90" s="95">
        <f t="shared" si="13"/>
        <v>3.54</v>
      </c>
      <c r="AC90" s="95">
        <f t="shared" si="13"/>
        <v>3.54</v>
      </c>
      <c r="AD90" s="95">
        <f t="shared" si="13"/>
        <v>1237.7399999999998</v>
      </c>
      <c r="AE90" s="95">
        <f t="shared" si="13"/>
        <v>1301.74</v>
      </c>
      <c r="AF90" s="95">
        <f t="shared" si="13"/>
        <v>1313.74</v>
      </c>
      <c r="AG90" s="88"/>
      <c r="AH90" s="47">
        <f t="shared" si="8"/>
        <v>1627.1399999999999</v>
      </c>
      <c r="AI90" s="48">
        <f t="shared" si="9"/>
        <v>3.54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f>B82-B97</f>
        <v>498.5</v>
      </c>
      <c r="C98" s="60">
        <f>C82-C97</f>
        <v>465.3</v>
      </c>
      <c r="D98" s="60">
        <f>D82-D97</f>
        <v>504.4</v>
      </c>
      <c r="E98" s="60">
        <f t="shared" ref="E98:AF98" si="14">E82-E97</f>
        <v>463.3</v>
      </c>
      <c r="F98" s="60">
        <f t="shared" si="14"/>
        <v>455.7</v>
      </c>
      <c r="G98" s="60">
        <f t="shared" si="14"/>
        <v>459.40000000000003</v>
      </c>
      <c r="H98" s="60">
        <f t="shared" si="14"/>
        <v>463.2</v>
      </c>
      <c r="I98" s="60">
        <f t="shared" si="14"/>
        <v>470.8</v>
      </c>
      <c r="J98" s="60">
        <f t="shared" si="14"/>
        <v>469.40000000000003</v>
      </c>
      <c r="K98" s="60">
        <f t="shared" si="14"/>
        <v>544.5</v>
      </c>
      <c r="L98" s="60">
        <f t="shared" si="14"/>
        <v>491.4</v>
      </c>
      <c r="M98" s="60">
        <f t="shared" si="14"/>
        <v>495.5</v>
      </c>
      <c r="N98" s="60">
        <f t="shared" si="14"/>
        <v>494.5</v>
      </c>
      <c r="O98" s="60">
        <f t="shared" si="14"/>
        <v>549.79999999999995</v>
      </c>
      <c r="P98" s="60">
        <f t="shared" si="14"/>
        <v>554.79999999999995</v>
      </c>
      <c r="Q98" s="60">
        <f t="shared" si="14"/>
        <v>544.79999999999995</v>
      </c>
      <c r="R98" s="60">
        <f t="shared" si="14"/>
        <v>563</v>
      </c>
      <c r="S98" s="60">
        <f t="shared" si="14"/>
        <v>546</v>
      </c>
      <c r="T98" s="60">
        <f t="shared" si="14"/>
        <v>518.29999999999995</v>
      </c>
      <c r="U98" s="60">
        <f t="shared" si="14"/>
        <v>530</v>
      </c>
      <c r="V98" s="60">
        <f t="shared" si="14"/>
        <v>530</v>
      </c>
      <c r="W98" s="60">
        <f t="shared" si="14"/>
        <v>536.9</v>
      </c>
      <c r="X98" s="60">
        <f t="shared" si="14"/>
        <v>473.9</v>
      </c>
      <c r="Y98" s="60">
        <f t="shared" si="14"/>
        <v>463.49999999999994</v>
      </c>
      <c r="Z98" s="60">
        <f t="shared" si="14"/>
        <v>441.09999999999997</v>
      </c>
      <c r="AA98" s="60">
        <f t="shared" si="14"/>
        <v>0</v>
      </c>
      <c r="AB98" s="60">
        <f t="shared" si="14"/>
        <v>0</v>
      </c>
      <c r="AC98" s="60">
        <f t="shared" si="14"/>
        <v>0</v>
      </c>
      <c r="AD98" s="60">
        <f t="shared" si="14"/>
        <v>217</v>
      </c>
      <c r="AE98" s="60">
        <f t="shared" si="14"/>
        <v>284</v>
      </c>
      <c r="AF98" s="60">
        <f t="shared" si="14"/>
        <v>303.7</v>
      </c>
      <c r="AG98" s="88"/>
      <c r="AH98" s="47">
        <f t="shared" si="8"/>
        <v>563</v>
      </c>
      <c r="AI98" s="48">
        <f t="shared" si="9"/>
        <v>0</v>
      </c>
    </row>
    <row r="99" spans="1:37" x14ac:dyDescent="0.25">
      <c r="A99" s="100" t="s">
        <v>107</v>
      </c>
      <c r="B99" s="101">
        <v>49.97</v>
      </c>
      <c r="C99" s="101">
        <v>50.02</v>
      </c>
      <c r="D99" s="101">
        <v>50.07</v>
      </c>
      <c r="E99" s="101">
        <v>49.98</v>
      </c>
      <c r="F99" s="101">
        <v>49.975000000000001</v>
      </c>
      <c r="G99" s="101">
        <v>49.8</v>
      </c>
      <c r="H99" s="101">
        <v>50.011000000000003</v>
      </c>
      <c r="I99" s="101">
        <v>50.048000000000002</v>
      </c>
      <c r="J99" s="101">
        <v>50.042999999999999</v>
      </c>
      <c r="K99" s="101">
        <v>50.087000000000003</v>
      </c>
      <c r="L99" s="101">
        <v>49.968000000000004</v>
      </c>
      <c r="M99" s="101">
        <v>50.058999999999997</v>
      </c>
      <c r="N99" s="101">
        <v>50.058999999999997</v>
      </c>
      <c r="O99" s="101">
        <v>50.024000000000001</v>
      </c>
      <c r="P99" s="101">
        <v>50.003999999999998</v>
      </c>
      <c r="Q99" s="101">
        <v>49.993000000000002</v>
      </c>
      <c r="R99" s="101">
        <v>49.987000000000002</v>
      </c>
      <c r="S99" s="101">
        <v>50.08</v>
      </c>
      <c r="T99" s="101">
        <v>49.92</v>
      </c>
      <c r="U99" s="101">
        <v>49.95</v>
      </c>
      <c r="V99" s="101">
        <v>50.11</v>
      </c>
      <c r="W99" s="101">
        <v>50.02</v>
      </c>
      <c r="X99" s="101">
        <v>50.08</v>
      </c>
      <c r="Y99" s="101">
        <v>50.02</v>
      </c>
      <c r="Z99" s="101">
        <v>50.05</v>
      </c>
      <c r="AA99" s="101"/>
      <c r="AB99" s="101"/>
      <c r="AC99" s="101"/>
      <c r="AD99" s="101">
        <v>49.942</v>
      </c>
      <c r="AE99" s="101">
        <v>49.948999999999998</v>
      </c>
      <c r="AF99" s="101">
        <v>49.987000000000002</v>
      </c>
      <c r="AG99" s="102"/>
      <c r="AH99" s="47">
        <f t="shared" si="8"/>
        <v>50.11</v>
      </c>
      <c r="AI99" s="48">
        <f t="shared" si="9"/>
        <v>49.8</v>
      </c>
    </row>
    <row r="100" spans="1:37" x14ac:dyDescent="0.25">
      <c r="A100" s="103" t="s">
        <v>108</v>
      </c>
      <c r="B100" s="65">
        <v>124.5</v>
      </c>
      <c r="C100" s="65">
        <v>125.2</v>
      </c>
      <c r="D100" s="65">
        <v>125.6</v>
      </c>
      <c r="E100" s="65">
        <v>127.2</v>
      </c>
      <c r="F100" s="65">
        <v>125.7</v>
      </c>
      <c r="G100" s="65">
        <v>125.2</v>
      </c>
      <c r="H100" s="65">
        <v>125.8</v>
      </c>
      <c r="I100" s="65">
        <v>124.9</v>
      </c>
      <c r="J100" s="65">
        <v>125.6</v>
      </c>
      <c r="K100" s="65">
        <v>124.4</v>
      </c>
      <c r="L100" s="65">
        <v>125.5</v>
      </c>
      <c r="M100" s="65">
        <v>125.3</v>
      </c>
      <c r="N100" s="65">
        <v>125.3</v>
      </c>
      <c r="O100" s="65">
        <v>123.2</v>
      </c>
      <c r="P100" s="65">
        <v>122.6</v>
      </c>
      <c r="Q100" s="65">
        <v>120.4</v>
      </c>
      <c r="R100" s="65">
        <v>123.2</v>
      </c>
      <c r="S100" s="65">
        <v>123.5</v>
      </c>
      <c r="T100" s="65">
        <v>123.8</v>
      </c>
      <c r="U100" s="65">
        <v>124.2</v>
      </c>
      <c r="V100" s="65">
        <v>124.2</v>
      </c>
      <c r="W100" s="65">
        <v>124.5</v>
      </c>
      <c r="X100" s="65">
        <v>125.8</v>
      </c>
      <c r="Y100" s="65">
        <v>125.4</v>
      </c>
      <c r="Z100" s="65">
        <v>125.4</v>
      </c>
      <c r="AA100" s="65"/>
      <c r="AB100" s="65"/>
      <c r="AC100" s="65"/>
      <c r="AD100" s="65">
        <v>125.6</v>
      </c>
      <c r="AE100" s="65">
        <v>124.9</v>
      </c>
      <c r="AF100" s="65">
        <v>123.6</v>
      </c>
      <c r="AG100" s="104"/>
      <c r="AH100" s="47">
        <f t="shared" si="8"/>
        <v>127.2</v>
      </c>
      <c r="AI100" s="48">
        <f t="shared" si="9"/>
        <v>120.4</v>
      </c>
    </row>
    <row r="101" spans="1:37" x14ac:dyDescent="0.25">
      <c r="A101" s="103" t="s">
        <v>109</v>
      </c>
      <c r="B101" s="65">
        <v>128</v>
      </c>
      <c r="C101" s="65">
        <v>130.19999999999999</v>
      </c>
      <c r="D101" s="65">
        <v>130</v>
      </c>
      <c r="E101" s="65">
        <v>131.9</v>
      </c>
      <c r="F101" s="65">
        <v>131.1</v>
      </c>
      <c r="G101" s="65">
        <v>130</v>
      </c>
      <c r="H101" s="65">
        <v>129.69999999999999</v>
      </c>
      <c r="I101" s="65">
        <v>128.80000000000001</v>
      </c>
      <c r="J101" s="65">
        <v>128.80000000000001</v>
      </c>
      <c r="K101" s="65">
        <v>127.6</v>
      </c>
      <c r="L101" s="65">
        <v>128.30000000000001</v>
      </c>
      <c r="M101" s="65">
        <v>128.19999999999999</v>
      </c>
      <c r="N101" s="65">
        <v>128.19999999999999</v>
      </c>
      <c r="O101" s="65">
        <v>126.7</v>
      </c>
      <c r="P101" s="65">
        <v>126.1</v>
      </c>
      <c r="Q101" s="65">
        <v>124.7</v>
      </c>
      <c r="R101" s="65">
        <v>127.3</v>
      </c>
      <c r="S101" s="65">
        <v>126.9</v>
      </c>
      <c r="T101" s="65">
        <v>127</v>
      </c>
      <c r="U101" s="65">
        <v>127.5</v>
      </c>
      <c r="V101" s="65">
        <v>127.2</v>
      </c>
      <c r="W101" s="65">
        <v>127.8</v>
      </c>
      <c r="X101" s="65">
        <v>129</v>
      </c>
      <c r="Y101" s="65">
        <v>128.4</v>
      </c>
      <c r="Z101" s="65">
        <v>128.69999999999999</v>
      </c>
      <c r="AA101" s="65"/>
      <c r="AB101" s="65"/>
      <c r="AC101" s="65"/>
      <c r="AD101" s="65">
        <v>129.4</v>
      </c>
      <c r="AE101" s="65">
        <v>129.69999999999999</v>
      </c>
      <c r="AF101" s="65">
        <v>128.80000000000001</v>
      </c>
      <c r="AG101" s="104"/>
      <c r="AH101" s="47">
        <f t="shared" si="8"/>
        <v>131.9</v>
      </c>
      <c r="AI101" s="48">
        <f t="shared" si="9"/>
        <v>124.7</v>
      </c>
    </row>
    <row r="102" spans="1:37" x14ac:dyDescent="0.25">
      <c r="A102" s="103" t="s">
        <v>110</v>
      </c>
      <c r="B102" s="65">
        <v>125.4</v>
      </c>
      <c r="C102" s="65">
        <v>128.5</v>
      </c>
      <c r="D102" s="65">
        <v>129</v>
      </c>
      <c r="E102" s="65">
        <v>125.6</v>
      </c>
      <c r="F102" s="65">
        <v>126.3</v>
      </c>
      <c r="G102" s="65">
        <v>130.80000000000001</v>
      </c>
      <c r="H102" s="65">
        <v>126.6</v>
      </c>
      <c r="I102" s="65">
        <v>127.8</v>
      </c>
      <c r="J102" s="65">
        <v>129.4</v>
      </c>
      <c r="K102" s="65">
        <v>126.5</v>
      </c>
      <c r="L102" s="65">
        <v>129</v>
      </c>
      <c r="M102" s="65">
        <v>128.4</v>
      </c>
      <c r="N102" s="65">
        <v>128.4</v>
      </c>
      <c r="O102" s="65">
        <v>126.4</v>
      </c>
      <c r="P102" s="65">
        <v>128.1</v>
      </c>
      <c r="Q102" s="65">
        <v>127.2</v>
      </c>
      <c r="R102" s="65">
        <v>127.2</v>
      </c>
      <c r="S102" s="65">
        <v>127.2</v>
      </c>
      <c r="T102" s="65">
        <v>127.3</v>
      </c>
      <c r="U102" s="65">
        <v>122.1</v>
      </c>
      <c r="V102" s="65">
        <v>127.9</v>
      </c>
      <c r="W102" s="65">
        <v>129.19999999999999</v>
      </c>
      <c r="X102" s="65">
        <v>129.30000000000001</v>
      </c>
      <c r="Y102" s="65">
        <v>130.19999999999999</v>
      </c>
      <c r="Z102" s="65">
        <v>129.80000000000001</v>
      </c>
      <c r="AA102" s="65"/>
      <c r="AB102" s="65"/>
      <c r="AC102" s="65"/>
      <c r="AD102" s="65">
        <v>128.9</v>
      </c>
      <c r="AE102" s="65">
        <v>127.7</v>
      </c>
      <c r="AF102" s="65">
        <v>127.9</v>
      </c>
      <c r="AG102" s="104"/>
      <c r="AH102" s="47">
        <f t="shared" si="8"/>
        <v>130.80000000000001</v>
      </c>
      <c r="AI102" s="48">
        <f t="shared" si="9"/>
        <v>122.1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>
        <v>132.9</v>
      </c>
      <c r="C104" s="106">
        <v>130.19999999999999</v>
      </c>
      <c r="D104" s="106">
        <v>129.5</v>
      </c>
      <c r="E104" s="106">
        <v>132</v>
      </c>
      <c r="F104" s="106">
        <v>131.19999999999999</v>
      </c>
      <c r="G104" s="106">
        <v>127.1</v>
      </c>
      <c r="H104" s="106">
        <v>127.8</v>
      </c>
      <c r="I104" s="106">
        <v>126.7</v>
      </c>
      <c r="J104" s="106">
        <v>131.1</v>
      </c>
      <c r="K104" s="106">
        <v>129.69999999999999</v>
      </c>
      <c r="L104" s="106">
        <v>131.9</v>
      </c>
      <c r="M104" s="106">
        <v>132.80000000000001</v>
      </c>
      <c r="N104" s="106">
        <v>132.80000000000001</v>
      </c>
      <c r="O104" s="106">
        <v>1130.2</v>
      </c>
      <c r="P104" s="106">
        <v>128.6</v>
      </c>
      <c r="Q104" s="106">
        <v>133.1</v>
      </c>
      <c r="R104" s="106">
        <v>133.1</v>
      </c>
      <c r="S104" s="106">
        <v>133.1</v>
      </c>
      <c r="T104" s="106">
        <v>131.6</v>
      </c>
      <c r="U104" s="106">
        <v>131.9</v>
      </c>
      <c r="V104" s="106">
        <v>127.1</v>
      </c>
      <c r="W104" s="106">
        <v>130.21</v>
      </c>
      <c r="X104" s="106">
        <v>132.30000000000001</v>
      </c>
      <c r="Y104" s="106">
        <v>132.1</v>
      </c>
      <c r="Z104" s="106">
        <v>133.5</v>
      </c>
      <c r="AA104" s="106"/>
      <c r="AB104" s="106"/>
      <c r="AC104" s="106"/>
      <c r="AD104" s="106">
        <v>130.19999999999999</v>
      </c>
      <c r="AE104" s="106">
        <v>133.4</v>
      </c>
      <c r="AF104" s="106">
        <v>133.19999999999999</v>
      </c>
      <c r="AG104" s="107"/>
      <c r="AH104" s="47">
        <f t="shared" si="8"/>
        <v>1130.2</v>
      </c>
      <c r="AI104" s="48">
        <f t="shared" si="9"/>
        <v>126.7</v>
      </c>
    </row>
    <row r="105" spans="1:37" x14ac:dyDescent="0.25">
      <c r="A105" s="103" t="s">
        <v>113</v>
      </c>
      <c r="B105" s="65">
        <v>128.80000000000001</v>
      </c>
      <c r="C105" s="65">
        <v>129.69999999999999</v>
      </c>
      <c r="D105" s="65">
        <v>133.30000000000001</v>
      </c>
      <c r="E105" s="65">
        <v>132.6</v>
      </c>
      <c r="F105" s="65">
        <v>139</v>
      </c>
      <c r="G105" s="65">
        <v>134.69999999999999</v>
      </c>
      <c r="H105" s="65">
        <v>132.6</v>
      </c>
      <c r="I105" s="65">
        <v>131.69999999999999</v>
      </c>
      <c r="J105" s="65">
        <v>130.9</v>
      </c>
      <c r="K105" s="65">
        <v>128.19999999999999</v>
      </c>
      <c r="L105" s="65">
        <v>132.9</v>
      </c>
      <c r="M105" s="65">
        <v>132</v>
      </c>
      <c r="N105" s="65">
        <v>132</v>
      </c>
      <c r="O105" s="65"/>
      <c r="P105" s="65">
        <v>133.19999999999999</v>
      </c>
      <c r="Q105" s="65">
        <v>128.9</v>
      </c>
      <c r="R105" s="65">
        <v>128.9</v>
      </c>
      <c r="S105" s="65">
        <v>128.9</v>
      </c>
      <c r="T105" s="65">
        <v>124.8</v>
      </c>
      <c r="U105" s="65">
        <v>124.9</v>
      </c>
      <c r="V105" s="65">
        <v>136</v>
      </c>
      <c r="W105" s="65">
        <v>132.80000000000001</v>
      </c>
      <c r="X105" s="65">
        <v>134.6</v>
      </c>
      <c r="Y105" s="65">
        <v>133.6</v>
      </c>
      <c r="Z105" s="65">
        <v>133.6</v>
      </c>
      <c r="AA105" s="65"/>
      <c r="AB105" s="65"/>
      <c r="AC105" s="65"/>
      <c r="AD105" s="65">
        <v>129</v>
      </c>
      <c r="AE105" s="65">
        <v>131.6</v>
      </c>
      <c r="AF105" s="65">
        <v>132.30000000000001</v>
      </c>
      <c r="AG105" s="104"/>
      <c r="AH105" s="47">
        <f t="shared" si="8"/>
        <v>139</v>
      </c>
      <c r="AI105" s="48">
        <f t="shared" si="9"/>
        <v>124.8</v>
      </c>
    </row>
    <row r="106" spans="1:37" ht="15.75" thickBot="1" x14ac:dyDescent="0.3">
      <c r="A106" s="103" t="s">
        <v>114</v>
      </c>
      <c r="B106" s="92">
        <v>65.5</v>
      </c>
      <c r="C106" s="92">
        <v>65.3</v>
      </c>
      <c r="D106" s="92">
        <v>65.400000000000006</v>
      </c>
      <c r="E106" s="92">
        <v>66.099999999999994</v>
      </c>
      <c r="F106" s="92">
        <v>65.599999999999994</v>
      </c>
      <c r="G106" s="92">
        <v>65</v>
      </c>
      <c r="H106" s="92">
        <v>64.599999999999994</v>
      </c>
      <c r="I106" s="92">
        <v>64.5</v>
      </c>
      <c r="J106" s="92">
        <v>64.900000000000006</v>
      </c>
      <c r="K106" s="92">
        <v>64.3</v>
      </c>
      <c r="L106" s="92">
        <v>64.3</v>
      </c>
      <c r="M106" s="92">
        <v>64.2</v>
      </c>
      <c r="N106" s="92">
        <v>64.2</v>
      </c>
      <c r="O106" s="92"/>
      <c r="P106" s="92">
        <v>63.3</v>
      </c>
      <c r="Q106" s="92">
        <v>63.5</v>
      </c>
      <c r="R106" s="92">
        <v>63.5</v>
      </c>
      <c r="S106" s="92">
        <v>63.5</v>
      </c>
      <c r="T106" s="92">
        <v>63.5</v>
      </c>
      <c r="U106" s="92">
        <v>63.6</v>
      </c>
      <c r="V106" s="92">
        <v>63.8</v>
      </c>
      <c r="W106" s="92">
        <v>63.7</v>
      </c>
      <c r="X106" s="92">
        <v>64.5</v>
      </c>
      <c r="Y106" s="92">
        <v>63.9</v>
      </c>
      <c r="Z106" s="92">
        <v>64.099999999999994</v>
      </c>
      <c r="AA106" s="92"/>
      <c r="AB106" s="92"/>
      <c r="AC106" s="92"/>
      <c r="AD106" s="92">
        <v>64.7</v>
      </c>
      <c r="AE106" s="92">
        <v>65</v>
      </c>
      <c r="AF106" s="92">
        <v>64.599999999999994</v>
      </c>
      <c r="AG106" s="108"/>
      <c r="AH106" s="47">
        <f t="shared" si="8"/>
        <v>66.099999999999994</v>
      </c>
      <c r="AI106" s="48">
        <f t="shared" si="9"/>
        <v>63.3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f>SUM(B18,B24,B27:B28,B56,B58:B59,B61,B63,B109:B113,B135,B141,B147,B156,B158,B170,B177,B180:B181,B188,B190,B192,B196:B198,B200:B202,B207,B213:B214,B216:B218,B226,B231)</f>
        <v>90.199999999999989</v>
      </c>
      <c r="C108" s="111">
        <f>SUM(C18,C24,C27:C28,C56,C58:C59,C61,C63,C109:C113,C135,C141,C147,C156,C158,C170,C177,C180:C181,C188,C190,C192,C196:C198,C200:C202,C207,C213:C214,C216:C218,C226,C231)</f>
        <v>73.14</v>
      </c>
      <c r="D108" s="111">
        <f>SUM(D18,D24,D27:D28,D56,D58:D59,D61,D63,D109:D113,D135,D141,D147,D156,D158,D170,D177,D180:D181,D188,D190,D192,D196:D198,D200:D202,D207,D213:D214,D216:D218,D226,D231)</f>
        <v>66.84</v>
      </c>
      <c r="E108" s="111">
        <f t="shared" ref="E108:AF108" si="15">SUM(E18,E24,E27:E28,E56,E58:E59,E61,E63,E109:E113,E135,E141,E147,E156,E158,E170,E177,E180:E181,E188,E190,E192,E196:E198,E200:E202,E207,E213:E214,E216:E218,E226,E231)</f>
        <v>64.339999999999989</v>
      </c>
      <c r="F108" s="111">
        <f t="shared" si="15"/>
        <v>66.14</v>
      </c>
      <c r="G108" s="111">
        <f t="shared" si="15"/>
        <v>109.74000000000001</v>
      </c>
      <c r="H108" s="111">
        <f t="shared" si="15"/>
        <v>139.14000000000001</v>
      </c>
      <c r="I108" s="111">
        <f t="shared" si="15"/>
        <v>170.44</v>
      </c>
      <c r="J108" s="111">
        <f t="shared" si="15"/>
        <v>207.44</v>
      </c>
      <c r="K108" s="111">
        <f t="shared" si="15"/>
        <v>258.94</v>
      </c>
      <c r="L108" s="111">
        <f t="shared" si="15"/>
        <v>243.44</v>
      </c>
      <c r="M108" s="111">
        <f t="shared" si="15"/>
        <v>250.83999999999997</v>
      </c>
      <c r="N108" s="111">
        <f t="shared" si="15"/>
        <v>250.83999999999997</v>
      </c>
      <c r="O108" s="111">
        <f t="shared" si="15"/>
        <v>244.04000000000002</v>
      </c>
      <c r="P108" s="111">
        <v>42</v>
      </c>
      <c r="Q108" s="111">
        <f t="shared" si="15"/>
        <v>239.89999999999998</v>
      </c>
      <c r="R108" s="111">
        <f t="shared" si="15"/>
        <v>286.5</v>
      </c>
      <c r="S108" s="111">
        <f t="shared" si="15"/>
        <v>247.89999999999998</v>
      </c>
      <c r="T108" s="111">
        <f t="shared" si="15"/>
        <v>255.8</v>
      </c>
      <c r="U108" s="111">
        <f t="shared" si="15"/>
        <v>246.6</v>
      </c>
      <c r="V108" s="111">
        <f t="shared" si="15"/>
        <v>250.10000000000002</v>
      </c>
      <c r="W108" s="111">
        <f t="shared" si="15"/>
        <v>241.72</v>
      </c>
      <c r="X108" s="111">
        <f t="shared" si="15"/>
        <v>256.20000000000005</v>
      </c>
      <c r="Y108" s="111">
        <f t="shared" si="15"/>
        <v>276.60000000000002</v>
      </c>
      <c r="Z108" s="111">
        <f t="shared" si="15"/>
        <v>307.39999999999998</v>
      </c>
      <c r="AA108" s="111">
        <f t="shared" si="15"/>
        <v>0</v>
      </c>
      <c r="AB108" s="111">
        <f t="shared" si="15"/>
        <v>0</v>
      </c>
      <c r="AC108" s="111">
        <f t="shared" si="15"/>
        <v>0</v>
      </c>
      <c r="AD108" s="111">
        <f t="shared" si="15"/>
        <v>196.89999999999998</v>
      </c>
      <c r="AE108" s="111">
        <f t="shared" si="15"/>
        <v>154.80000000000001</v>
      </c>
      <c r="AF108" s="111">
        <f t="shared" si="15"/>
        <v>113.69999999999997</v>
      </c>
      <c r="AG108" s="112"/>
      <c r="AH108" s="47">
        <f t="shared" si="8"/>
        <v>307.39999999999998</v>
      </c>
      <c r="AI108" s="48">
        <f t="shared" si="9"/>
        <v>0</v>
      </c>
    </row>
    <row r="109" spans="1:37" x14ac:dyDescent="0.25">
      <c r="A109" s="100" t="s">
        <v>117</v>
      </c>
      <c r="B109" s="113">
        <v>-6.8</v>
      </c>
      <c r="C109" s="113">
        <v>-6.5</v>
      </c>
      <c r="D109" s="113">
        <v>-9.1999999999999993</v>
      </c>
      <c r="E109" s="113">
        <v>-1.7</v>
      </c>
      <c r="F109" s="113">
        <v>1.2</v>
      </c>
      <c r="G109" s="113">
        <v>-5.4</v>
      </c>
      <c r="H109" s="113">
        <v>-2</v>
      </c>
      <c r="I109" s="113">
        <v>4.0999999999999996</v>
      </c>
      <c r="J109" s="113">
        <v>6.5</v>
      </c>
      <c r="K109" s="113">
        <v>13.7</v>
      </c>
      <c r="L109" s="113">
        <v>14.6</v>
      </c>
      <c r="M109" s="113">
        <v>13.3</v>
      </c>
      <c r="N109" s="113">
        <v>13.3</v>
      </c>
      <c r="O109" s="113">
        <v>22.7</v>
      </c>
      <c r="P109" s="113">
        <v>11.5</v>
      </c>
      <c r="Q109" s="113">
        <v>13.2</v>
      </c>
      <c r="R109" s="113">
        <v>35.4</v>
      </c>
      <c r="S109" s="113">
        <v>17.399999999999999</v>
      </c>
      <c r="T109" s="113">
        <v>14.3</v>
      </c>
      <c r="U109" s="113">
        <v>7.7</v>
      </c>
      <c r="V109" s="113">
        <v>7.8</v>
      </c>
      <c r="W109" s="113">
        <v>7.7</v>
      </c>
      <c r="X109" s="113">
        <v>12.4</v>
      </c>
      <c r="Y109" s="113">
        <v>28.3</v>
      </c>
      <c r="Z109" s="113">
        <v>34.299999999999997</v>
      </c>
      <c r="AA109" s="113"/>
      <c r="AB109" s="113"/>
      <c r="AC109" s="113"/>
      <c r="AD109" s="113">
        <v>34.799999999999997</v>
      </c>
      <c r="AE109" s="113">
        <v>26</v>
      </c>
      <c r="AF109" s="113">
        <v>19</v>
      </c>
      <c r="AG109" s="114">
        <v>75</v>
      </c>
      <c r="AH109" s="47">
        <f t="shared" si="8"/>
        <v>35.4</v>
      </c>
      <c r="AI109" s="48">
        <f t="shared" si="9"/>
        <v>-9.1999999999999993</v>
      </c>
    </row>
    <row r="110" spans="1:37" x14ac:dyDescent="0.25">
      <c r="A110" s="103" t="s">
        <v>118</v>
      </c>
      <c r="B110" s="115">
        <v>0.6</v>
      </c>
      <c r="C110" s="115">
        <v>0.7</v>
      </c>
      <c r="D110" s="115">
        <v>-4.0999999999999996</v>
      </c>
      <c r="E110" s="115">
        <v>6.6</v>
      </c>
      <c r="F110" s="115">
        <v>9.1999999999999993</v>
      </c>
      <c r="G110" s="115">
        <v>1.2</v>
      </c>
      <c r="H110" s="115">
        <v>-2.6</v>
      </c>
      <c r="I110" s="115">
        <v>4.7</v>
      </c>
      <c r="J110" s="115">
        <v>8</v>
      </c>
      <c r="K110" s="115">
        <v>17.2</v>
      </c>
      <c r="L110" s="115">
        <v>18.7</v>
      </c>
      <c r="M110" s="115">
        <v>20.6</v>
      </c>
      <c r="N110" s="115">
        <v>20.6</v>
      </c>
      <c r="O110" s="115">
        <v>35.5</v>
      </c>
      <c r="P110" s="115">
        <v>21.6</v>
      </c>
      <c r="Q110" s="115">
        <v>24.6</v>
      </c>
      <c r="R110" s="115">
        <v>58.1</v>
      </c>
      <c r="S110" s="115">
        <v>33.299999999999997</v>
      </c>
      <c r="T110" s="115">
        <v>28.8</v>
      </c>
      <c r="U110" s="115">
        <v>19.5</v>
      </c>
      <c r="V110" s="115">
        <v>21.7</v>
      </c>
      <c r="W110" s="115">
        <v>20.9</v>
      </c>
      <c r="X110" s="115">
        <v>23.2</v>
      </c>
      <c r="Y110" s="115">
        <v>40.700000000000003</v>
      </c>
      <c r="Z110" s="115">
        <v>49.1</v>
      </c>
      <c r="AA110" s="115"/>
      <c r="AB110" s="115"/>
      <c r="AC110" s="115"/>
      <c r="AD110" s="115">
        <v>54.1</v>
      </c>
      <c r="AE110" s="115">
        <v>43</v>
      </c>
      <c r="AF110" s="115">
        <v>37.200000000000003</v>
      </c>
      <c r="AG110" s="114">
        <v>240</v>
      </c>
      <c r="AH110" s="47">
        <f t="shared" si="8"/>
        <v>58.1</v>
      </c>
      <c r="AI110" s="48">
        <f t="shared" si="9"/>
        <v>-4.0999999999999996</v>
      </c>
    </row>
    <row r="111" spans="1:37" x14ac:dyDescent="0.25">
      <c r="A111" s="103" t="s">
        <v>119</v>
      </c>
      <c r="B111" s="115">
        <f>-38.1-40.6</f>
        <v>-78.7</v>
      </c>
      <c r="C111" s="115">
        <f>-40.7-44.7</f>
        <v>-85.4</v>
      </c>
      <c r="D111" s="115">
        <f>-42-46.5</f>
        <v>-88.5</v>
      </c>
      <c r="E111" s="115">
        <v>-95</v>
      </c>
      <c r="F111" s="115">
        <v>-93</v>
      </c>
      <c r="G111" s="115">
        <v>-75</v>
      </c>
      <c r="H111" s="115">
        <v>-55</v>
      </c>
      <c r="I111" s="115">
        <v>-45</v>
      </c>
      <c r="J111" s="115">
        <v>-23</v>
      </c>
      <c r="K111" s="115">
        <v>-16</v>
      </c>
      <c r="L111" s="115">
        <v>-16.5</v>
      </c>
      <c r="M111" s="115">
        <v>-10.4</v>
      </c>
      <c r="N111" s="115">
        <v>-10.4</v>
      </c>
      <c r="O111" s="115">
        <v>-32</v>
      </c>
      <c r="P111" s="115">
        <v>-30.6</v>
      </c>
      <c r="Q111" s="115">
        <v>-32.700000000000003</v>
      </c>
      <c r="R111" s="115">
        <v>-36.700000000000003</v>
      </c>
      <c r="S111" s="115">
        <f>-16.8-17.4</f>
        <v>-34.200000000000003</v>
      </c>
      <c r="T111" s="115">
        <f>-13.6-13.9</f>
        <v>-27.5</v>
      </c>
      <c r="U111" s="115">
        <f>-5.7-6.1</f>
        <v>-11.8</v>
      </c>
      <c r="V111" s="115">
        <f>-2.3-2.8</f>
        <v>-5.0999999999999996</v>
      </c>
      <c r="W111" s="115">
        <f>-3-3</f>
        <v>-6</v>
      </c>
      <c r="X111" s="115">
        <f>5.8+6</f>
        <v>11.8</v>
      </c>
      <c r="Y111" s="115">
        <f>0.7+0</f>
        <v>0.7</v>
      </c>
      <c r="Z111" s="115">
        <f>-1.3-0.8</f>
        <v>-2.1</v>
      </c>
      <c r="AA111" s="115"/>
      <c r="AB111" s="115"/>
      <c r="AC111" s="115"/>
      <c r="AD111" s="115">
        <v>-64</v>
      </c>
      <c r="AE111" s="115">
        <v>-85</v>
      </c>
      <c r="AF111" s="115">
        <v>-97</v>
      </c>
      <c r="AG111" s="114">
        <v>240</v>
      </c>
      <c r="AH111" s="47">
        <f t="shared" si="8"/>
        <v>11.8</v>
      </c>
      <c r="AI111" s="48">
        <f t="shared" si="9"/>
        <v>-97</v>
      </c>
    </row>
    <row r="112" spans="1:37" x14ac:dyDescent="0.25">
      <c r="A112" s="103" t="s">
        <v>120</v>
      </c>
      <c r="B112" s="115">
        <v>-11.3</v>
      </c>
      <c r="C112" s="115">
        <v>-13.6</v>
      </c>
      <c r="D112" s="115">
        <v>-12.1</v>
      </c>
      <c r="E112" s="115">
        <v>-10.3</v>
      </c>
      <c r="F112" s="115">
        <v>-8.3000000000000007</v>
      </c>
      <c r="G112" s="115">
        <v>-3.1</v>
      </c>
      <c r="H112" s="115">
        <v>4.5999999999999996</v>
      </c>
      <c r="I112" s="115">
        <v>2.5</v>
      </c>
      <c r="J112" s="115">
        <v>9</v>
      </c>
      <c r="K112" s="115">
        <v>11</v>
      </c>
      <c r="L112" s="115">
        <v>11.4</v>
      </c>
      <c r="M112" s="115">
        <v>10.1</v>
      </c>
      <c r="N112" s="115">
        <v>10.1</v>
      </c>
      <c r="O112" s="115">
        <v>8.1</v>
      </c>
      <c r="P112" s="115">
        <v>7.3</v>
      </c>
      <c r="Q112" s="115">
        <v>5.2</v>
      </c>
      <c r="R112" s="115">
        <v>14.2</v>
      </c>
      <c r="S112" s="115">
        <v>2.6</v>
      </c>
      <c r="T112" s="115">
        <v>6.1</v>
      </c>
      <c r="U112" s="115">
        <v>4.5</v>
      </c>
      <c r="V112" s="115">
        <v>4.5</v>
      </c>
      <c r="W112" s="115">
        <v>5.0999999999999996</v>
      </c>
      <c r="X112" s="115">
        <v>12.3</v>
      </c>
      <c r="Y112" s="115">
        <v>13.2</v>
      </c>
      <c r="Z112" s="115">
        <v>15</v>
      </c>
      <c r="AA112" s="115"/>
      <c r="AB112" s="115"/>
      <c r="AC112" s="115"/>
      <c r="AD112" s="115">
        <v>11</v>
      </c>
      <c r="AE112" s="115">
        <v>-2.6</v>
      </c>
      <c r="AF112" s="115">
        <v>-11</v>
      </c>
      <c r="AG112" s="114">
        <v>60</v>
      </c>
      <c r="AH112" s="47">
        <f t="shared" si="8"/>
        <v>15</v>
      </c>
      <c r="AI112" s="48">
        <f t="shared" si="9"/>
        <v>-13.6</v>
      </c>
    </row>
    <row r="113" spans="1:37" x14ac:dyDescent="0.25">
      <c r="A113" s="116" t="s">
        <v>121</v>
      </c>
      <c r="B113" s="117">
        <v>86.5</v>
      </c>
      <c r="C113" s="117">
        <v>75.5</v>
      </c>
      <c r="D113" s="117">
        <v>73.599999999999994</v>
      </c>
      <c r="E113" s="117">
        <v>57.1</v>
      </c>
      <c r="F113" s="117">
        <v>49.4</v>
      </c>
      <c r="G113" s="117">
        <v>79.400000000000006</v>
      </c>
      <c r="H113" s="117">
        <v>81.5</v>
      </c>
      <c r="I113" s="117">
        <v>91.5</v>
      </c>
      <c r="J113" s="117">
        <v>105.9</v>
      </c>
      <c r="K113" s="117">
        <v>116</v>
      </c>
      <c r="L113" s="117">
        <v>98.2</v>
      </c>
      <c r="M113" s="117">
        <v>100.2</v>
      </c>
      <c r="N113" s="117">
        <v>100.2</v>
      </c>
      <c r="O113" s="117">
        <v>92.7</v>
      </c>
      <c r="P113" s="117">
        <v>106.4</v>
      </c>
      <c r="Q113" s="117">
        <v>102.3</v>
      </c>
      <c r="R113" s="117">
        <v>88.2</v>
      </c>
      <c r="S113" s="117">
        <v>103.3</v>
      </c>
      <c r="T113" s="117">
        <v>108.6</v>
      </c>
      <c r="U113" s="117">
        <v>118.6</v>
      </c>
      <c r="V113" s="117">
        <v>113.3</v>
      </c>
      <c r="W113" s="117">
        <v>108.12</v>
      </c>
      <c r="X113" s="117">
        <v>88.7</v>
      </c>
      <c r="Y113" s="117">
        <v>85.9</v>
      </c>
      <c r="Z113" s="117">
        <v>103.3</v>
      </c>
      <c r="AA113" s="117"/>
      <c r="AB113" s="117"/>
      <c r="AC113" s="117"/>
      <c r="AD113" s="117">
        <v>53.2</v>
      </c>
      <c r="AE113" s="117">
        <v>58</v>
      </c>
      <c r="AF113" s="117">
        <v>56.3</v>
      </c>
      <c r="AG113" s="118">
        <v>120</v>
      </c>
      <c r="AH113" s="47">
        <f t="shared" si="8"/>
        <v>118.6</v>
      </c>
      <c r="AI113" s="48">
        <f t="shared" si="9"/>
        <v>49.4</v>
      </c>
    </row>
    <row r="114" spans="1:37" x14ac:dyDescent="0.25">
      <c r="A114" s="116" t="s">
        <v>122</v>
      </c>
      <c r="B114" s="117">
        <v>99.7</v>
      </c>
      <c r="C114" s="117">
        <v>97.8</v>
      </c>
      <c r="D114" s="117">
        <v>94.8</v>
      </c>
      <c r="E114" s="117">
        <v>85.6</v>
      </c>
      <c r="F114" s="117">
        <v>80.2</v>
      </c>
      <c r="G114" s="117">
        <v>92.1</v>
      </c>
      <c r="H114" s="117">
        <v>88.4</v>
      </c>
      <c r="I114" s="117">
        <v>89.4</v>
      </c>
      <c r="J114" s="117">
        <v>97.1</v>
      </c>
      <c r="K114" s="117">
        <v>103</v>
      </c>
      <c r="L114" s="117">
        <v>88.2</v>
      </c>
      <c r="M114" s="117">
        <v>84</v>
      </c>
      <c r="N114" s="117">
        <v>84</v>
      </c>
      <c r="O114" s="117">
        <v>87.1</v>
      </c>
      <c r="P114" s="117">
        <v>102.3</v>
      </c>
      <c r="Q114" s="117">
        <v>102.9</v>
      </c>
      <c r="R114" s="117">
        <v>89.8</v>
      </c>
      <c r="S114" s="117">
        <v>98.22</v>
      </c>
      <c r="T114" s="117">
        <v>100</v>
      </c>
      <c r="U114" s="117">
        <v>117</v>
      </c>
      <c r="V114" s="117">
        <v>90</v>
      </c>
      <c r="W114" s="117">
        <v>89.4</v>
      </c>
      <c r="X114" s="117">
        <v>105</v>
      </c>
      <c r="Y114" s="117">
        <v>82.1</v>
      </c>
      <c r="Z114" s="117">
        <v>87.9</v>
      </c>
      <c r="AA114" s="117"/>
      <c r="AB114" s="117"/>
      <c r="AC114" s="117"/>
      <c r="AD114" s="117">
        <v>53</v>
      </c>
      <c r="AE114" s="117">
        <v>75</v>
      </c>
      <c r="AF114" s="117">
        <v>83</v>
      </c>
      <c r="AG114" s="118"/>
      <c r="AH114" s="47">
        <f t="shared" si="8"/>
        <v>117</v>
      </c>
      <c r="AI114" s="48">
        <f t="shared" si="9"/>
        <v>53</v>
      </c>
    </row>
    <row r="115" spans="1:37" x14ac:dyDescent="0.25">
      <c r="A115" s="116" t="s">
        <v>123</v>
      </c>
      <c r="B115" s="117"/>
      <c r="C115" s="117"/>
      <c r="D115" s="117"/>
      <c r="E115" s="117"/>
      <c r="F115" s="117"/>
      <c r="G115" s="117"/>
      <c r="H115" s="117"/>
      <c r="I115" s="117"/>
      <c r="J115" s="117">
        <v>82</v>
      </c>
      <c r="K115" s="117"/>
      <c r="L115" s="117"/>
      <c r="M115" s="117">
        <v>73.8</v>
      </c>
      <c r="N115" s="117">
        <v>73.8</v>
      </c>
      <c r="O115" s="117"/>
      <c r="P115" s="117">
        <v>74.099999999999994</v>
      </c>
      <c r="Q115" s="117">
        <v>73</v>
      </c>
      <c r="R115" s="117">
        <v>33.5</v>
      </c>
      <c r="S115" s="117">
        <v>45.5</v>
      </c>
      <c r="T115" s="117">
        <v>62.2</v>
      </c>
      <c r="U115" s="117">
        <v>66.400000000000006</v>
      </c>
      <c r="V115" s="117">
        <v>79</v>
      </c>
      <c r="W115" s="117">
        <v>72.3</v>
      </c>
      <c r="X115" s="117">
        <v>37.9</v>
      </c>
      <c r="Y115" s="117">
        <v>27.2</v>
      </c>
      <c r="Z115" s="117">
        <v>87.9</v>
      </c>
      <c r="AA115" s="117"/>
      <c r="AB115" s="117"/>
      <c r="AC115" s="117"/>
      <c r="AD115" s="117">
        <v>30</v>
      </c>
      <c r="AE115" s="117"/>
      <c r="AF115" s="117">
        <v>72</v>
      </c>
      <c r="AG115" s="119"/>
      <c r="AH115" s="47">
        <f t="shared" si="8"/>
        <v>87.9</v>
      </c>
      <c r="AI115" s="48">
        <f t="shared" si="9"/>
        <v>27.2</v>
      </c>
    </row>
    <row r="116" spans="1:37" x14ac:dyDescent="0.25">
      <c r="A116" s="120" t="s">
        <v>124</v>
      </c>
      <c r="B116" s="106">
        <v>-15.4</v>
      </c>
      <c r="C116" s="106">
        <v>-15.6</v>
      </c>
      <c r="D116" s="106">
        <v>-13.1</v>
      </c>
      <c r="E116" s="106">
        <v>-10</v>
      </c>
      <c r="F116" s="106">
        <v>-7.9</v>
      </c>
      <c r="G116" s="106">
        <v>-6.9</v>
      </c>
      <c r="H116" s="106">
        <v>-11.7</v>
      </c>
      <c r="I116" s="106">
        <v>-13.8</v>
      </c>
      <c r="J116" s="106">
        <v>-19.600000000000001</v>
      </c>
      <c r="K116" s="106">
        <v>-22.5</v>
      </c>
      <c r="L116" s="106">
        <v>-27.5</v>
      </c>
      <c r="M116" s="106">
        <v>-26.5</v>
      </c>
      <c r="N116" s="106">
        <v>-26.5</v>
      </c>
      <c r="O116" s="106">
        <v>-31.7</v>
      </c>
      <c r="P116" s="106">
        <v>-19.2</v>
      </c>
      <c r="Q116" s="106">
        <v>-20.399999999999999</v>
      </c>
      <c r="R116" s="106">
        <v>-19.8</v>
      </c>
      <c r="S116" s="106">
        <v>-25.4</v>
      </c>
      <c r="T116" s="106">
        <v>-26.7</v>
      </c>
      <c r="U116" s="106">
        <v>-7.6</v>
      </c>
      <c r="V116" s="106">
        <v>-20</v>
      </c>
      <c r="W116" s="106">
        <v>13.5</v>
      </c>
      <c r="X116" s="106">
        <v>-14.8</v>
      </c>
      <c r="Y116" s="106">
        <v>-40.700000000000003</v>
      </c>
      <c r="Z116" s="106">
        <v>-29.6</v>
      </c>
      <c r="AA116" s="106"/>
      <c r="AB116" s="106"/>
      <c r="AC116" s="106"/>
      <c r="AD116" s="106">
        <v>22.5</v>
      </c>
      <c r="AE116" s="106">
        <v>21</v>
      </c>
      <c r="AF116" s="106">
        <v>26</v>
      </c>
      <c r="AG116" s="119"/>
      <c r="AH116" s="47">
        <f t="shared" si="8"/>
        <v>26</v>
      </c>
      <c r="AI116" s="48">
        <f t="shared" si="9"/>
        <v>-40.700000000000003</v>
      </c>
    </row>
    <row r="117" spans="1:37" ht="15.75" thickBot="1" x14ac:dyDescent="0.3">
      <c r="A117" s="120" t="s">
        <v>125</v>
      </c>
      <c r="B117" s="106">
        <v>121.6</v>
      </c>
      <c r="C117" s="106">
        <v>112.1</v>
      </c>
      <c r="D117" s="106">
        <v>113.9</v>
      </c>
      <c r="E117" s="106">
        <v>110.5</v>
      </c>
      <c r="F117" s="106">
        <v>105.7</v>
      </c>
      <c r="G117" s="106">
        <v>98</v>
      </c>
      <c r="H117" s="106">
        <v>96.2</v>
      </c>
      <c r="I117" s="106">
        <v>95</v>
      </c>
      <c r="J117" s="106">
        <v>95.1</v>
      </c>
      <c r="K117" s="106">
        <v>98</v>
      </c>
      <c r="L117" s="106">
        <v>103.2</v>
      </c>
      <c r="M117" s="106">
        <v>100.2</v>
      </c>
      <c r="N117" s="106">
        <v>100.2</v>
      </c>
      <c r="O117" s="106">
        <v>105.2</v>
      </c>
      <c r="P117" s="106">
        <v>94.2</v>
      </c>
      <c r="Q117" s="106">
        <v>88</v>
      </c>
      <c r="R117" s="106">
        <v>92.5</v>
      </c>
      <c r="S117" s="106">
        <v>110.7</v>
      </c>
      <c r="T117" s="106">
        <v>112</v>
      </c>
      <c r="U117" s="106">
        <v>86.9</v>
      </c>
      <c r="V117" s="106">
        <v>90.7</v>
      </c>
      <c r="W117" s="106">
        <v>77.3</v>
      </c>
      <c r="X117" s="106">
        <v>40.4</v>
      </c>
      <c r="Y117" s="106">
        <v>31.4</v>
      </c>
      <c r="Z117" s="106">
        <v>43.6</v>
      </c>
      <c r="AA117" s="106"/>
      <c r="AB117" s="106"/>
      <c r="AC117" s="106"/>
      <c r="AD117" s="106">
        <v>73</v>
      </c>
      <c r="AE117" s="106">
        <v>79</v>
      </c>
      <c r="AF117" s="106">
        <v>73</v>
      </c>
      <c r="AG117" s="119"/>
      <c r="AH117" s="47">
        <f t="shared" si="8"/>
        <v>121.6</v>
      </c>
      <c r="AI117" s="48">
        <f t="shared" si="9"/>
        <v>31.4</v>
      </c>
    </row>
    <row r="118" spans="1:37" ht="15.75" thickBot="1" x14ac:dyDescent="0.3">
      <c r="A118" s="121" t="s">
        <v>126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230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231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232</v>
      </c>
      <c r="B224" s="135">
        <f t="shared" ref="B224:AG224" si="16">SUM(B119:B223)</f>
        <v>0</v>
      </c>
      <c r="C224" s="136">
        <f t="shared" si="16"/>
        <v>0</v>
      </c>
      <c r="D224" s="136">
        <f t="shared" si="16"/>
        <v>0</v>
      </c>
      <c r="E224" s="136">
        <f t="shared" si="16"/>
        <v>0</v>
      </c>
      <c r="F224" s="136">
        <f t="shared" si="16"/>
        <v>0</v>
      </c>
      <c r="G224" s="136">
        <f t="shared" si="16"/>
        <v>0</v>
      </c>
      <c r="H224" s="136">
        <f t="shared" si="16"/>
        <v>0</v>
      </c>
      <c r="I224" s="136">
        <f t="shared" si="16"/>
        <v>0</v>
      </c>
      <c r="J224" s="136">
        <f t="shared" si="16"/>
        <v>0</v>
      </c>
      <c r="K224" s="136">
        <f t="shared" si="16"/>
        <v>0</v>
      </c>
      <c r="L224" s="136">
        <f t="shared" si="16"/>
        <v>0</v>
      </c>
      <c r="M224" s="136">
        <f t="shared" si="16"/>
        <v>0</v>
      </c>
      <c r="N224" s="136">
        <f t="shared" si="16"/>
        <v>0</v>
      </c>
      <c r="O224" s="136">
        <f t="shared" si="16"/>
        <v>0</v>
      </c>
      <c r="P224" s="136">
        <f t="shared" si="16"/>
        <v>0</v>
      </c>
      <c r="Q224" s="136">
        <f t="shared" si="16"/>
        <v>0</v>
      </c>
      <c r="R224" s="136">
        <f t="shared" si="16"/>
        <v>0</v>
      </c>
      <c r="S224" s="136">
        <f t="shared" si="16"/>
        <v>0</v>
      </c>
      <c r="T224" s="136">
        <f t="shared" si="16"/>
        <v>0</v>
      </c>
      <c r="U224" s="136">
        <f t="shared" si="16"/>
        <v>0</v>
      </c>
      <c r="V224" s="136">
        <f t="shared" si="16"/>
        <v>0</v>
      </c>
      <c r="W224" s="136">
        <f t="shared" si="16"/>
        <v>0</v>
      </c>
      <c r="X224" s="136">
        <f t="shared" si="16"/>
        <v>0</v>
      </c>
      <c r="Y224" s="136">
        <f t="shared" si="16"/>
        <v>0</v>
      </c>
      <c r="Z224" s="136">
        <f t="shared" si="16"/>
        <v>0</v>
      </c>
      <c r="AA224" s="136">
        <f t="shared" si="16"/>
        <v>0</v>
      </c>
      <c r="AB224" s="136">
        <f t="shared" si="16"/>
        <v>0</v>
      </c>
      <c r="AC224" s="136">
        <f t="shared" si="16"/>
        <v>0</v>
      </c>
      <c r="AD224" s="136">
        <f t="shared" si="16"/>
        <v>0</v>
      </c>
      <c r="AE224" s="136">
        <f t="shared" si="16"/>
        <v>0</v>
      </c>
      <c r="AF224" s="137">
        <f t="shared" si="16"/>
        <v>0</v>
      </c>
      <c r="AG224" s="138">
        <f t="shared" si="16"/>
        <v>412.72299999999984</v>
      </c>
      <c r="AH224" s="47"/>
      <c r="AI224" s="48"/>
      <c r="AK224" s="49"/>
    </row>
    <row r="225" spans="1:37" ht="15.75" thickBot="1" x14ac:dyDescent="0.3">
      <c r="A225" s="26" t="s">
        <v>73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233</v>
      </c>
      <c r="B226" s="140">
        <f t="shared" ref="B226:B231" si="17">AF226</f>
        <v>0</v>
      </c>
      <c r="C226" s="140">
        <v>0.3</v>
      </c>
      <c r="D226" s="140">
        <f t="shared" ref="D226:P231" si="18">C226</f>
        <v>0.3</v>
      </c>
      <c r="E226" s="140">
        <f t="shared" si="18"/>
        <v>0.3</v>
      </c>
      <c r="F226" s="140">
        <f t="shared" si="18"/>
        <v>0.3</v>
      </c>
      <c r="G226" s="140">
        <f t="shared" si="18"/>
        <v>0.3</v>
      </c>
      <c r="H226" s="140">
        <f t="shared" si="18"/>
        <v>0.3</v>
      </c>
      <c r="I226" s="140">
        <f t="shared" si="18"/>
        <v>0.3</v>
      </c>
      <c r="J226" s="140">
        <f t="shared" si="18"/>
        <v>0.3</v>
      </c>
      <c r="K226" s="140">
        <f t="shared" si="18"/>
        <v>0.3</v>
      </c>
      <c r="L226" s="140">
        <f t="shared" si="18"/>
        <v>0.3</v>
      </c>
      <c r="M226" s="140">
        <f t="shared" si="18"/>
        <v>0.3</v>
      </c>
      <c r="N226" s="140">
        <f t="shared" si="18"/>
        <v>0.3</v>
      </c>
      <c r="O226" s="140">
        <f t="shared" si="18"/>
        <v>0.3</v>
      </c>
      <c r="P226" s="140">
        <f t="shared" si="18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234</v>
      </c>
      <c r="B227" s="128">
        <f t="shared" si="17"/>
        <v>0</v>
      </c>
      <c r="C227" s="128">
        <v>0.4</v>
      </c>
      <c r="D227" s="128">
        <f t="shared" si="18"/>
        <v>0.4</v>
      </c>
      <c r="E227" s="128">
        <f t="shared" si="18"/>
        <v>0.4</v>
      </c>
      <c r="F227" s="128">
        <f t="shared" si="18"/>
        <v>0.4</v>
      </c>
      <c r="G227" s="128">
        <f t="shared" si="18"/>
        <v>0.4</v>
      </c>
      <c r="H227" s="128">
        <f t="shared" si="18"/>
        <v>0.4</v>
      </c>
      <c r="I227" s="128">
        <f t="shared" si="18"/>
        <v>0.4</v>
      </c>
      <c r="J227" s="128">
        <f t="shared" si="18"/>
        <v>0.4</v>
      </c>
      <c r="K227" s="128">
        <f t="shared" si="18"/>
        <v>0.4</v>
      </c>
      <c r="L227" s="128">
        <f t="shared" si="18"/>
        <v>0.4</v>
      </c>
      <c r="M227" s="128">
        <f t="shared" si="18"/>
        <v>0.4</v>
      </c>
      <c r="N227" s="128">
        <f t="shared" si="18"/>
        <v>0.4</v>
      </c>
      <c r="O227" s="128">
        <f t="shared" si="18"/>
        <v>0.4</v>
      </c>
      <c r="P227" s="128">
        <f t="shared" si="18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235</v>
      </c>
      <c r="B228" s="128">
        <f t="shared" si="17"/>
        <v>0</v>
      </c>
      <c r="C228" s="128">
        <v>1.5</v>
      </c>
      <c r="D228" s="128">
        <f t="shared" si="18"/>
        <v>1.5</v>
      </c>
      <c r="E228" s="128">
        <f t="shared" si="18"/>
        <v>1.5</v>
      </c>
      <c r="F228" s="128">
        <f t="shared" si="18"/>
        <v>1.5</v>
      </c>
      <c r="G228" s="128">
        <f t="shared" si="18"/>
        <v>1.5</v>
      </c>
      <c r="H228" s="128">
        <f t="shared" si="18"/>
        <v>1.5</v>
      </c>
      <c r="I228" s="111">
        <f ca="1">SUM(I140,I146,I149:I150,I176,I178:I179,I181,I183,I229:I233,I255,I261,I267,I276,I278,I290,I297,I300:I301,I308,I310,I312,I316:I318,I320:I322,I327,I333:I334,I336:I338,I346,I351)</f>
        <v>123.21900000000009</v>
      </c>
      <c r="J228" s="128">
        <f t="shared" ca="1" si="18"/>
        <v>123.21900000000009</v>
      </c>
      <c r="K228" s="128">
        <f t="shared" ca="1" si="18"/>
        <v>123.21900000000009</v>
      </c>
      <c r="L228" s="128">
        <f t="shared" ca="1" si="18"/>
        <v>123.21900000000009</v>
      </c>
      <c r="M228" s="128">
        <f t="shared" ca="1" si="18"/>
        <v>115.17900000000007</v>
      </c>
      <c r="N228" s="128">
        <f t="shared" ca="1" si="18"/>
        <v>115.17900000000007</v>
      </c>
      <c r="O228" s="128">
        <f t="shared" ca="1" si="18"/>
        <v>115.17900000000007</v>
      </c>
      <c r="P228" s="128">
        <f t="shared" ca="1" si="18"/>
        <v>115.17900000000007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236</v>
      </c>
      <c r="B229" s="128">
        <f t="shared" si="17"/>
        <v>0</v>
      </c>
      <c r="C229" s="128">
        <v>0.3</v>
      </c>
      <c r="D229" s="128">
        <f t="shared" si="18"/>
        <v>0.3</v>
      </c>
      <c r="E229" s="128">
        <f t="shared" si="18"/>
        <v>0.3</v>
      </c>
      <c r="F229" s="128">
        <f t="shared" si="18"/>
        <v>0.3</v>
      </c>
      <c r="G229" s="128">
        <f t="shared" si="18"/>
        <v>0.3</v>
      </c>
      <c r="H229" s="128">
        <f t="shared" si="18"/>
        <v>0.3</v>
      </c>
      <c r="I229" s="128">
        <f t="shared" si="18"/>
        <v>0.3</v>
      </c>
      <c r="J229" s="128">
        <f t="shared" si="18"/>
        <v>0.3</v>
      </c>
      <c r="K229" s="128">
        <f t="shared" si="18"/>
        <v>0.3</v>
      </c>
      <c r="L229" s="128">
        <f t="shared" si="18"/>
        <v>0.3</v>
      </c>
      <c r="M229" s="128">
        <f t="shared" si="18"/>
        <v>0.3</v>
      </c>
      <c r="N229" s="128">
        <f t="shared" si="18"/>
        <v>0.3</v>
      </c>
      <c r="O229" s="128">
        <f t="shared" si="18"/>
        <v>0.3</v>
      </c>
      <c r="P229" s="128">
        <f t="shared" si="18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237</v>
      </c>
      <c r="B230" s="128">
        <f t="shared" si="17"/>
        <v>0</v>
      </c>
      <c r="C230" s="128">
        <v>0.4</v>
      </c>
      <c r="D230" s="128">
        <f t="shared" si="18"/>
        <v>0.4</v>
      </c>
      <c r="E230" s="128">
        <f t="shared" si="18"/>
        <v>0.4</v>
      </c>
      <c r="F230" s="128">
        <f t="shared" si="18"/>
        <v>0.4</v>
      </c>
      <c r="G230" s="128">
        <f t="shared" si="18"/>
        <v>0.4</v>
      </c>
      <c r="H230" s="128">
        <f t="shared" si="18"/>
        <v>0.4</v>
      </c>
      <c r="I230" s="128">
        <f t="shared" si="18"/>
        <v>0.4</v>
      </c>
      <c r="J230" s="128">
        <f t="shared" si="18"/>
        <v>0.4</v>
      </c>
      <c r="K230" s="128">
        <f t="shared" si="18"/>
        <v>0.4</v>
      </c>
      <c r="L230" s="128">
        <f t="shared" si="18"/>
        <v>0.4</v>
      </c>
      <c r="M230" s="128">
        <f t="shared" si="18"/>
        <v>0.4</v>
      </c>
      <c r="N230" s="128">
        <f t="shared" si="18"/>
        <v>0.4</v>
      </c>
      <c r="O230" s="128">
        <f t="shared" si="18"/>
        <v>0.4</v>
      </c>
      <c r="P230" s="128">
        <f t="shared" si="1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238</v>
      </c>
      <c r="B231" s="132">
        <f t="shared" si="17"/>
        <v>0</v>
      </c>
      <c r="C231" s="132">
        <v>0.64</v>
      </c>
      <c r="D231" s="132">
        <f t="shared" si="18"/>
        <v>0.64</v>
      </c>
      <c r="E231" s="132">
        <f t="shared" si="18"/>
        <v>0.64</v>
      </c>
      <c r="F231" s="132">
        <f t="shared" si="18"/>
        <v>0.64</v>
      </c>
      <c r="G231" s="132">
        <f t="shared" si="18"/>
        <v>0.64</v>
      </c>
      <c r="H231" s="132">
        <f t="shared" si="18"/>
        <v>0.64</v>
      </c>
      <c r="I231" s="132">
        <f t="shared" si="18"/>
        <v>0.64</v>
      </c>
      <c r="J231" s="132">
        <f t="shared" si="18"/>
        <v>0.64</v>
      </c>
      <c r="K231" s="132">
        <f t="shared" si="18"/>
        <v>0.64</v>
      </c>
      <c r="L231" s="132">
        <f t="shared" si="18"/>
        <v>0.64</v>
      </c>
      <c r="M231" s="132">
        <f t="shared" si="18"/>
        <v>0.64</v>
      </c>
      <c r="N231" s="132">
        <f t="shared" si="18"/>
        <v>0.64</v>
      </c>
      <c r="O231" s="132">
        <f t="shared" si="18"/>
        <v>0.64</v>
      </c>
      <c r="P231" s="132">
        <f t="shared" si="18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73</v>
      </c>
      <c r="B232" s="136">
        <f t="shared" ref="B232:AG232" si="19">SUM(B226:B231)</f>
        <v>0</v>
      </c>
      <c r="C232" s="136">
        <f t="shared" si="19"/>
        <v>3.54</v>
      </c>
      <c r="D232" s="136">
        <f t="shared" si="19"/>
        <v>3.54</v>
      </c>
      <c r="E232" s="136">
        <f t="shared" si="19"/>
        <v>3.54</v>
      </c>
      <c r="F232" s="136">
        <f t="shared" si="19"/>
        <v>3.54</v>
      </c>
      <c r="G232" s="136">
        <f t="shared" si="19"/>
        <v>3.54</v>
      </c>
      <c r="H232" s="136">
        <f t="shared" si="19"/>
        <v>3.54</v>
      </c>
      <c r="I232" s="136">
        <f t="shared" ca="1" si="19"/>
        <v>121.23900000000009</v>
      </c>
      <c r="J232" s="136">
        <f t="shared" ca="1" si="19"/>
        <v>121.23900000000009</v>
      </c>
      <c r="K232" s="136">
        <f t="shared" ca="1" si="19"/>
        <v>117.21900000000008</v>
      </c>
      <c r="L232" s="136">
        <f t="shared" ca="1" si="19"/>
        <v>125.2590000000001</v>
      </c>
      <c r="M232" s="136">
        <f t="shared" ca="1" si="19"/>
        <v>117.21900000000008</v>
      </c>
      <c r="N232" s="136">
        <f t="shared" ca="1" si="19"/>
        <v>117.21900000000008</v>
      </c>
      <c r="O232" s="136">
        <f t="shared" ca="1" si="19"/>
        <v>117.21900000000008</v>
      </c>
      <c r="P232" s="136">
        <f t="shared" ca="1" si="19"/>
        <v>117.21900000000008</v>
      </c>
      <c r="Q232" s="136">
        <f t="shared" si="19"/>
        <v>0</v>
      </c>
      <c r="R232" s="136">
        <f t="shared" si="19"/>
        <v>0</v>
      </c>
      <c r="S232" s="136">
        <f t="shared" si="19"/>
        <v>0</v>
      </c>
      <c r="T232" s="136">
        <f t="shared" si="19"/>
        <v>0</v>
      </c>
      <c r="U232" s="136">
        <f t="shared" si="19"/>
        <v>0</v>
      </c>
      <c r="V232" s="136">
        <f t="shared" si="19"/>
        <v>0</v>
      </c>
      <c r="W232" s="136">
        <f t="shared" si="19"/>
        <v>0</v>
      </c>
      <c r="X232" s="136">
        <f t="shared" si="19"/>
        <v>0</v>
      </c>
      <c r="Y232" s="136">
        <f t="shared" si="19"/>
        <v>0</v>
      </c>
      <c r="Z232" s="136">
        <f t="shared" si="19"/>
        <v>0</v>
      </c>
      <c r="AA232" s="136">
        <f t="shared" si="19"/>
        <v>0</v>
      </c>
      <c r="AB232" s="136">
        <f t="shared" si="19"/>
        <v>0</v>
      </c>
      <c r="AC232" s="136">
        <f t="shared" si="19"/>
        <v>0</v>
      </c>
      <c r="AD232" s="136">
        <f t="shared" si="19"/>
        <v>0</v>
      </c>
      <c r="AE232" s="136">
        <f t="shared" si="19"/>
        <v>0</v>
      </c>
      <c r="AF232" s="136">
        <f t="shared" si="19"/>
        <v>0</v>
      </c>
      <c r="AG232" s="145">
        <f t="shared" si="19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239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240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241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242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243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244</v>
      </c>
      <c r="B241" s="160">
        <f>MAX(G89:N89)</f>
        <v>1436.24</v>
      </c>
      <c r="C241" s="161">
        <f>INDEX(G9:N9,1,MATCH(MAX(G89:N89),G89:N89,0))</f>
        <v>0.29166666666666669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2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78" t="s">
        <v>245</v>
      </c>
      <c r="B243" s="178"/>
      <c r="C243" s="43"/>
      <c r="D243" s="162" t="str">
        <f ca="1">"Pie Chart of Daily Peak Demand(Inclusive of Export) of Nepal ("&amp;A4&amp;" "&amp;B4&amp;")"</f>
        <v>Pie Chart of Daily Peak Demand(Inclusive of Export) of Nepal (Nepali Date: 2080/02/2)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2080/02/2)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246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247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248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249</v>
      </c>
      <c r="T246" s="170">
        <f t="shared" ref="T246:AX246" si="20">B89</f>
        <v>1374.1399999999999</v>
      </c>
      <c r="U246" s="170">
        <f t="shared" si="20"/>
        <v>1351.24</v>
      </c>
      <c r="V246" s="170">
        <f t="shared" si="20"/>
        <v>1386.54</v>
      </c>
      <c r="W246" s="170">
        <f t="shared" si="20"/>
        <v>1330.04</v>
      </c>
      <c r="X246" s="170">
        <f t="shared" si="20"/>
        <v>1283.44</v>
      </c>
      <c r="Y246" s="170">
        <f t="shared" si="20"/>
        <v>1350.44</v>
      </c>
      <c r="Z246" s="170">
        <f t="shared" si="20"/>
        <v>1292.24</v>
      </c>
      <c r="AA246" s="170">
        <f t="shared" si="20"/>
        <v>1303.8399999999999</v>
      </c>
      <c r="AB246" s="170">
        <f t="shared" si="20"/>
        <v>1369.94</v>
      </c>
      <c r="AC246" s="170">
        <f t="shared" si="20"/>
        <v>1436.24</v>
      </c>
      <c r="AD246" s="170">
        <f t="shared" si="20"/>
        <v>1386.1399999999999</v>
      </c>
      <c r="AE246" s="170">
        <f t="shared" si="20"/>
        <v>1388.94</v>
      </c>
      <c r="AF246" s="170">
        <f t="shared" si="20"/>
        <v>1387.94</v>
      </c>
      <c r="AG246" s="170">
        <f t="shared" si="20"/>
        <v>1449.54</v>
      </c>
      <c r="AH246" s="170">
        <f t="shared" si="20"/>
        <v>1444.1399999999999</v>
      </c>
      <c r="AI246" s="170">
        <f t="shared" si="20"/>
        <v>1525.1399999999999</v>
      </c>
      <c r="AJ246" s="170">
        <f t="shared" si="20"/>
        <v>1627.1399999999999</v>
      </c>
      <c r="AK246" s="170">
        <f t="shared" si="20"/>
        <v>1518.34</v>
      </c>
      <c r="AL246" s="170">
        <f t="shared" si="20"/>
        <v>1543.4399999999998</v>
      </c>
      <c r="AM246" s="170">
        <f t="shared" si="20"/>
        <v>1449.1399999999999</v>
      </c>
      <c r="AN246" s="170">
        <f t="shared" si="20"/>
        <v>1411.74</v>
      </c>
      <c r="AO246" s="170">
        <f t="shared" si="20"/>
        <v>1415.44</v>
      </c>
      <c r="AP246" s="170">
        <f t="shared" si="20"/>
        <v>1332.04</v>
      </c>
      <c r="AQ246" s="170">
        <f t="shared" si="20"/>
        <v>1304.4399999999998</v>
      </c>
      <c r="AR246" s="170">
        <f t="shared" si="20"/>
        <v>1349.54</v>
      </c>
      <c r="AS246" s="170">
        <f t="shared" si="20"/>
        <v>3.54</v>
      </c>
      <c r="AT246" s="170">
        <f t="shared" si="20"/>
        <v>3.54</v>
      </c>
      <c r="AU246" s="170">
        <f t="shared" si="20"/>
        <v>3.54</v>
      </c>
      <c r="AV246" s="170">
        <f t="shared" si="20"/>
        <v>1237.7399999999998</v>
      </c>
      <c r="AW246" s="170">
        <f t="shared" si="20"/>
        <v>1301.74</v>
      </c>
      <c r="AX246" s="170">
        <f t="shared" si="20"/>
        <v>1313.74</v>
      </c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251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252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253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239</v>
      </c>
      <c r="B267" s="173">
        <f t="shared" ref="B267:AE267" si="21">C231</f>
        <v>0.64</v>
      </c>
      <c r="C267" s="173">
        <f t="shared" si="21"/>
        <v>0.64</v>
      </c>
      <c r="D267" s="173">
        <f t="shared" si="21"/>
        <v>0.64</v>
      </c>
      <c r="E267" s="173">
        <f t="shared" si="21"/>
        <v>0.64</v>
      </c>
      <c r="F267" s="173">
        <f t="shared" si="21"/>
        <v>0.64</v>
      </c>
      <c r="G267" s="173">
        <f t="shared" si="21"/>
        <v>0.64</v>
      </c>
      <c r="H267" s="173">
        <f t="shared" si="21"/>
        <v>0.64</v>
      </c>
      <c r="I267" s="173">
        <f t="shared" si="21"/>
        <v>0.64</v>
      </c>
      <c r="J267" s="173">
        <f t="shared" si="21"/>
        <v>0.64</v>
      </c>
      <c r="K267" s="173">
        <f t="shared" si="21"/>
        <v>0.64</v>
      </c>
      <c r="L267" s="173">
        <f t="shared" si="21"/>
        <v>0.64</v>
      </c>
      <c r="M267" s="173">
        <f t="shared" si="21"/>
        <v>0.64</v>
      </c>
      <c r="N267" s="173">
        <f t="shared" si="21"/>
        <v>0.64</v>
      </c>
      <c r="O267" s="173">
        <f t="shared" si="21"/>
        <v>0.64</v>
      </c>
      <c r="P267" s="173">
        <f t="shared" si="21"/>
        <v>0</v>
      </c>
      <c r="Q267" s="173">
        <f t="shared" si="21"/>
        <v>0</v>
      </c>
      <c r="R267" s="173">
        <f t="shared" si="21"/>
        <v>0</v>
      </c>
      <c r="S267" s="173">
        <f t="shared" si="21"/>
        <v>0</v>
      </c>
      <c r="T267" s="173">
        <f t="shared" si="21"/>
        <v>0</v>
      </c>
      <c r="U267" s="173">
        <f t="shared" si="21"/>
        <v>0</v>
      </c>
      <c r="V267" s="173">
        <f t="shared" si="21"/>
        <v>0</v>
      </c>
      <c r="W267" s="173">
        <f t="shared" si="21"/>
        <v>0</v>
      </c>
      <c r="X267" s="173">
        <f t="shared" si="21"/>
        <v>0</v>
      </c>
      <c r="Y267" s="173">
        <f t="shared" si="21"/>
        <v>0</v>
      </c>
      <c r="Z267" s="173">
        <f t="shared" si="21"/>
        <v>0</v>
      </c>
      <c r="AA267" s="173">
        <f t="shared" si="21"/>
        <v>0</v>
      </c>
      <c r="AB267" s="173">
        <f t="shared" si="21"/>
        <v>0</v>
      </c>
      <c r="AC267" s="173">
        <f t="shared" si="21"/>
        <v>0</v>
      </c>
      <c r="AD267" s="173">
        <f t="shared" si="21"/>
        <v>0</v>
      </c>
      <c r="AE267" s="173">
        <f t="shared" si="21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2">IF(B235&lt;100,"",B235-520)</f>
        <v/>
      </c>
      <c r="C268" s="174" t="str">
        <f t="shared" si="22"/>
        <v/>
      </c>
      <c r="D268" s="174" t="str">
        <f t="shared" si="22"/>
        <v/>
      </c>
      <c r="E268" s="174" t="str">
        <f t="shared" si="22"/>
        <v/>
      </c>
      <c r="F268" s="174" t="str">
        <f t="shared" si="22"/>
        <v/>
      </c>
      <c r="G268" s="174" t="str">
        <f t="shared" si="22"/>
        <v/>
      </c>
      <c r="H268" s="174" t="str">
        <f t="shared" si="22"/>
        <v/>
      </c>
      <c r="I268" s="174" t="str">
        <f t="shared" si="22"/>
        <v/>
      </c>
      <c r="J268" s="174" t="str">
        <f t="shared" si="22"/>
        <v/>
      </c>
      <c r="K268" s="174" t="str">
        <f t="shared" si="22"/>
        <v/>
      </c>
      <c r="L268" s="174" t="str">
        <f t="shared" si="22"/>
        <v/>
      </c>
      <c r="M268" s="174" t="str">
        <f t="shared" si="22"/>
        <v/>
      </c>
      <c r="N268" s="174" t="str">
        <f t="shared" si="22"/>
        <v/>
      </c>
      <c r="O268" s="174" t="str">
        <f t="shared" si="22"/>
        <v/>
      </c>
      <c r="P268" s="174" t="str">
        <f t="shared" si="22"/>
        <v/>
      </c>
      <c r="Q268" s="174" t="str">
        <f t="shared" si="22"/>
        <v/>
      </c>
      <c r="R268" s="174" t="str">
        <f t="shared" si="22"/>
        <v/>
      </c>
      <c r="S268" s="174" t="str">
        <f t="shared" si="22"/>
        <v/>
      </c>
      <c r="T268" s="174" t="str">
        <f t="shared" si="22"/>
        <v/>
      </c>
      <c r="U268" s="174" t="str">
        <f t="shared" si="22"/>
        <v/>
      </c>
      <c r="V268" s="174" t="str">
        <f t="shared" si="22"/>
        <v/>
      </c>
      <c r="W268" s="174" t="str">
        <f t="shared" si="22"/>
        <v/>
      </c>
      <c r="X268" s="174" t="str">
        <f t="shared" si="22"/>
        <v/>
      </c>
      <c r="Y268" s="174" t="str">
        <f t="shared" si="22"/>
        <v/>
      </c>
      <c r="Z268" s="174" t="str">
        <f t="shared" si="22"/>
        <v/>
      </c>
      <c r="AA268" s="174" t="str">
        <f t="shared" si="22"/>
        <v/>
      </c>
      <c r="AB268" s="174" t="str">
        <f t="shared" si="22"/>
        <v/>
      </c>
      <c r="AC268" s="174" t="str">
        <f t="shared" si="22"/>
        <v/>
      </c>
      <c r="AD268" s="174" t="str">
        <f t="shared" si="22"/>
        <v/>
      </c>
      <c r="AE268" s="174" t="str">
        <f t="shared" si="22"/>
        <v/>
      </c>
      <c r="AF268" s="174" t="str">
        <f t="shared" si="22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3">IF(B236&lt;100,"",B236-620)</f>
        <v/>
      </c>
      <c r="C269" s="174" t="str">
        <f t="shared" si="23"/>
        <v/>
      </c>
      <c r="D269" s="174" t="str">
        <f t="shared" si="23"/>
        <v/>
      </c>
      <c r="E269" s="174" t="str">
        <f t="shared" si="23"/>
        <v/>
      </c>
      <c r="F269" s="174" t="str">
        <f t="shared" si="23"/>
        <v/>
      </c>
      <c r="G269" s="174" t="str">
        <f t="shared" si="23"/>
        <v/>
      </c>
      <c r="H269" s="174" t="str">
        <f t="shared" si="23"/>
        <v/>
      </c>
      <c r="I269" s="174" t="str">
        <f t="shared" si="23"/>
        <v/>
      </c>
      <c r="J269" s="174" t="str">
        <f t="shared" si="23"/>
        <v/>
      </c>
      <c r="K269" s="174" t="str">
        <f t="shared" si="23"/>
        <v/>
      </c>
      <c r="L269" s="174" t="str">
        <f t="shared" si="23"/>
        <v/>
      </c>
      <c r="M269" s="174" t="str">
        <f t="shared" si="23"/>
        <v/>
      </c>
      <c r="N269" s="174" t="str">
        <f t="shared" si="23"/>
        <v/>
      </c>
      <c r="O269" s="174" t="str">
        <f t="shared" si="23"/>
        <v/>
      </c>
      <c r="P269" s="174" t="str">
        <f t="shared" si="23"/>
        <v/>
      </c>
      <c r="Q269" s="174" t="str">
        <f t="shared" si="23"/>
        <v/>
      </c>
      <c r="R269" s="174" t="str">
        <f t="shared" si="23"/>
        <v/>
      </c>
      <c r="S269" s="174" t="str">
        <f t="shared" si="23"/>
        <v/>
      </c>
      <c r="T269" s="174" t="str">
        <f t="shared" si="23"/>
        <v/>
      </c>
      <c r="U269" s="174" t="str">
        <f t="shared" si="23"/>
        <v/>
      </c>
      <c r="V269" s="174" t="str">
        <f t="shared" si="23"/>
        <v/>
      </c>
      <c r="W269" s="174" t="str">
        <f t="shared" si="23"/>
        <v/>
      </c>
      <c r="X269" s="174" t="str">
        <f t="shared" si="23"/>
        <v/>
      </c>
      <c r="Y269" s="174" t="str">
        <f t="shared" si="23"/>
        <v/>
      </c>
      <c r="Z269" s="174" t="str">
        <f t="shared" si="23"/>
        <v/>
      </c>
      <c r="AA269" s="174" t="str">
        <f t="shared" si="23"/>
        <v/>
      </c>
      <c r="AB269" s="174" t="str">
        <f t="shared" si="23"/>
        <v/>
      </c>
      <c r="AC269" s="174" t="str">
        <f t="shared" si="23"/>
        <v/>
      </c>
      <c r="AD269" s="174" t="str">
        <f t="shared" si="23"/>
        <v/>
      </c>
      <c r="AE269" s="174" t="str">
        <f t="shared" si="23"/>
        <v/>
      </c>
      <c r="AF269" s="174" t="str">
        <f t="shared" si="23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4">IF(B237&lt;100,"",B237-330)</f>
        <v/>
      </c>
      <c r="C270" s="174" t="str">
        <f t="shared" si="24"/>
        <v/>
      </c>
      <c r="D270" s="174" t="str">
        <f t="shared" si="24"/>
        <v/>
      </c>
      <c r="E270" s="174" t="str">
        <f t="shared" si="24"/>
        <v/>
      </c>
      <c r="F270" s="174" t="str">
        <f t="shared" si="24"/>
        <v/>
      </c>
      <c r="G270" s="174" t="str">
        <f t="shared" si="24"/>
        <v/>
      </c>
      <c r="H270" s="174" t="str">
        <f t="shared" si="24"/>
        <v/>
      </c>
      <c r="I270" s="174" t="str">
        <f t="shared" si="24"/>
        <v/>
      </c>
      <c r="J270" s="174" t="str">
        <f t="shared" si="24"/>
        <v/>
      </c>
      <c r="K270" s="174" t="str">
        <f t="shared" si="24"/>
        <v/>
      </c>
      <c r="L270" s="174" t="str">
        <f t="shared" si="24"/>
        <v/>
      </c>
      <c r="M270" s="174" t="str">
        <f t="shared" si="24"/>
        <v/>
      </c>
      <c r="N270" s="174" t="str">
        <f t="shared" si="24"/>
        <v/>
      </c>
      <c r="O270" s="174" t="str">
        <f t="shared" si="24"/>
        <v/>
      </c>
      <c r="P270" s="174" t="str">
        <f t="shared" si="24"/>
        <v/>
      </c>
      <c r="Q270" s="174" t="str">
        <f t="shared" si="24"/>
        <v/>
      </c>
      <c r="R270" s="174" t="str">
        <f t="shared" si="24"/>
        <v/>
      </c>
      <c r="S270" s="174" t="str">
        <f t="shared" si="24"/>
        <v/>
      </c>
      <c r="T270" s="174" t="str">
        <f t="shared" si="24"/>
        <v/>
      </c>
      <c r="U270" s="174" t="str">
        <f t="shared" si="24"/>
        <v/>
      </c>
      <c r="V270" s="174" t="str">
        <f t="shared" si="24"/>
        <v/>
      </c>
      <c r="W270" s="174" t="str">
        <f t="shared" si="24"/>
        <v/>
      </c>
      <c r="X270" s="174" t="str">
        <f t="shared" si="24"/>
        <v/>
      </c>
      <c r="Y270" s="174" t="str">
        <f t="shared" si="24"/>
        <v/>
      </c>
      <c r="Z270" s="174" t="str">
        <f t="shared" si="24"/>
        <v/>
      </c>
      <c r="AA270" s="174" t="str">
        <f t="shared" si="24"/>
        <v/>
      </c>
      <c r="AB270" s="174" t="str">
        <f t="shared" si="24"/>
        <v/>
      </c>
      <c r="AC270" s="174" t="str">
        <f t="shared" si="24"/>
        <v/>
      </c>
      <c r="AD270" s="174" t="str">
        <f t="shared" si="24"/>
        <v/>
      </c>
      <c r="AE270" s="174" t="str">
        <f t="shared" si="24"/>
        <v/>
      </c>
      <c r="AF270" s="174" t="str">
        <f t="shared" si="24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5">IF(B238&lt;100,"",B238-1500)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8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87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E109:AF109 E111:AF116">
    <cfRule type="expression" dxfId="13387" priority="483">
      <formula>B$9&gt;=20/24</formula>
    </cfRule>
    <cfRule type="expression" dxfId="13386" priority="484">
      <formula>AND(B$9&gt;=14/24,B$9&lt;20/24)</formula>
    </cfRule>
    <cfRule type="expression" dxfId="13385" priority="485">
      <formula>AND(B$9&gt;=8/24,B$9&lt;14/24)</formula>
    </cfRule>
    <cfRule type="expression" dxfId="13384" priority="486">
      <formula>B$9&lt;8/24</formula>
    </cfRule>
  </conditionalFormatting>
  <conditionalFormatting sqref="AL4:AL6">
    <cfRule type="iconSet" priority="482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3383" priority="481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3382" priority="480">
      <formula>$AH12=0</formula>
    </cfRule>
  </conditionalFormatting>
  <conditionalFormatting sqref="A114">
    <cfRule type="expression" dxfId="13381" priority="479">
      <formula>$AH114=0</formula>
    </cfRule>
  </conditionalFormatting>
  <conditionalFormatting sqref="AL42">
    <cfRule type="iconSet" priority="478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3380" priority="477">
      <formula>$AH45=0</formula>
    </cfRule>
  </conditionalFormatting>
  <conditionalFormatting sqref="A98">
    <cfRule type="expression" dxfId="13379" priority="476">
      <formula>$AH98=0</formula>
    </cfRule>
  </conditionalFormatting>
  <conditionalFormatting sqref="A18">
    <cfRule type="expression" dxfId="13378" priority="475">
      <formula>$AH18=0</formula>
    </cfRule>
  </conditionalFormatting>
  <conditionalFormatting sqref="A196:A201">
    <cfRule type="expression" dxfId="13377" priority="474">
      <formula>$AH196=0</formula>
    </cfRule>
  </conditionalFormatting>
  <conditionalFormatting sqref="A190:A195">
    <cfRule type="expression" dxfId="13376" priority="473">
      <formula>$AH190=0</formula>
    </cfRule>
  </conditionalFormatting>
  <conditionalFormatting sqref="A58">
    <cfRule type="expression" dxfId="13375" priority="472">
      <formula>$AH58=0</formula>
    </cfRule>
  </conditionalFormatting>
  <conditionalFormatting sqref="A94">
    <cfRule type="expression" dxfId="13374" priority="471">
      <formula>$AH94=0</formula>
    </cfRule>
  </conditionalFormatting>
  <conditionalFormatting sqref="AD99:AF99 E99:X99">
    <cfRule type="expression" dxfId="13373" priority="467">
      <formula>E$9&gt;=20/24</formula>
    </cfRule>
    <cfRule type="expression" dxfId="13372" priority="468">
      <formula>AND(E$9&gt;=14/24,E$9&lt;20/24)</formula>
    </cfRule>
    <cfRule type="expression" dxfId="13371" priority="469">
      <formula>AND(E$9&gt;=8/24,E$9&lt;14/24)</formula>
    </cfRule>
    <cfRule type="expression" dxfId="13370" priority="470">
      <formula>E$9&lt;8/24</formula>
    </cfRule>
  </conditionalFormatting>
  <conditionalFormatting sqref="AL43">
    <cfRule type="iconSet" priority="46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3369" priority="489">
      <formula>C$9&gt;=20/24</formula>
    </cfRule>
    <cfRule type="expression" dxfId="13368" priority="490">
      <formula>AND(C$9&gt;=14/24,C$9&lt;20/24)</formula>
    </cfRule>
    <cfRule type="expression" dxfId="13367" priority="491">
      <formula>AND(C$9&gt;=8/24,C$9&lt;14/24)</formula>
    </cfRule>
    <cfRule type="expression" dxfId="13366" priority="492">
      <formula>C$9&lt;8/24</formula>
    </cfRule>
  </conditionalFormatting>
  <conditionalFormatting sqref="A233">
    <cfRule type="expression" dxfId="13365" priority="493">
      <formula>$AH233=0</formula>
    </cfRule>
  </conditionalFormatting>
  <conditionalFormatting sqref="AG245">
    <cfRule type="expression" dxfId="13364" priority="494">
      <formula>B$9&gt;=20/24</formula>
    </cfRule>
    <cfRule type="expression" dxfId="13363" priority="495">
      <formula>AND(B$9&gt;=14/24,B$9&lt;20/24)</formula>
    </cfRule>
    <cfRule type="expression" dxfId="13362" priority="496">
      <formula>AND(B$9&gt;=8/24,B$9&lt;14/24)</formula>
    </cfRule>
    <cfRule type="expression" dxfId="13361" priority="497">
      <formula>B$9&lt;8/24</formula>
    </cfRule>
  </conditionalFormatting>
  <conditionalFormatting sqref="S8">
    <cfRule type="expression" dxfId="13360" priority="462">
      <formula>U$9&gt;=20/24</formula>
    </cfRule>
    <cfRule type="expression" dxfId="13359" priority="463">
      <formula>AND(U$9&gt;=14/24,U$9&lt;20/24)</formula>
    </cfRule>
    <cfRule type="expression" dxfId="13358" priority="464">
      <formula>AND(U$9&gt;=8/24,U$9&lt;14/24)</formula>
    </cfRule>
    <cfRule type="expression" dxfId="13357" priority="465">
      <formula>U$9&lt;8/24</formula>
    </cfRule>
  </conditionalFormatting>
  <conditionalFormatting sqref="AB8">
    <cfRule type="expression" dxfId="13356" priority="458">
      <formula>AD$9&gt;=20/24</formula>
    </cfRule>
    <cfRule type="expression" dxfId="13355" priority="459">
      <formula>AND(AD$9&gt;=14/24,AD$9&lt;20/24)</formula>
    </cfRule>
    <cfRule type="expression" dxfId="13354" priority="460">
      <formula>AND(AD$9&gt;=8/24,AD$9&lt;14/24)</formula>
    </cfRule>
    <cfRule type="expression" dxfId="13353" priority="461">
      <formula>AD$9&lt;8/24</formula>
    </cfRule>
  </conditionalFormatting>
  <conditionalFormatting sqref="AH245:AX245">
    <cfRule type="expression" dxfId="13352" priority="498">
      <formula>AG$9&gt;=20/24</formula>
    </cfRule>
    <cfRule type="expression" dxfId="13351" priority="499">
      <formula>AND(AG$9&gt;=14/24,AG$9&lt;20/24)</formula>
    </cfRule>
    <cfRule type="expression" dxfId="13350" priority="500">
      <formula>AND(AG$9&gt;=8/24,AG$9&lt;14/24)</formula>
    </cfRule>
    <cfRule type="expression" dxfId="13349" priority="501">
      <formula>AG$9&lt;8/24</formula>
    </cfRule>
  </conditionalFormatting>
  <conditionalFormatting sqref="T245">
    <cfRule type="expression" dxfId="13348" priority="502">
      <formula>AX$9&gt;=20/24</formula>
    </cfRule>
    <cfRule type="expression" dxfId="13347" priority="503">
      <formula>AND(AX$9&gt;=14/24,AX$9&lt;20/24)</formula>
    </cfRule>
    <cfRule type="expression" dxfId="13346" priority="504">
      <formula>AND(AX$9&gt;=8/24,AX$9&lt;14/24)</formula>
    </cfRule>
    <cfRule type="expression" dxfId="13345" priority="505">
      <formula>AX$9&lt;8/24</formula>
    </cfRule>
  </conditionalFormatting>
  <conditionalFormatting sqref="A115:A116">
    <cfRule type="expression" dxfId="13344" priority="457">
      <formula>$AH115=0</formula>
    </cfRule>
  </conditionalFormatting>
  <conditionalFormatting sqref="P54:Q55 Q56:R58 S57:T58 E71:AC71 AB54:AF57">
    <cfRule type="expression" dxfId="13343" priority="453">
      <formula>E$9&gt;=20/24</formula>
    </cfRule>
    <cfRule type="expression" dxfId="13342" priority="454">
      <formula>AND(E$9&gt;=14/24,E$9&lt;20/24)</formula>
    </cfRule>
    <cfRule type="expression" dxfId="13341" priority="455">
      <formula>AND(E$9&gt;=8/24,E$9&lt;14/24)</formula>
    </cfRule>
    <cfRule type="expression" dxfId="13340" priority="456">
      <formula>E$9&lt;8/24</formula>
    </cfRule>
  </conditionalFormatting>
  <conditionalFormatting sqref="P53:Q53 AB53:AF53">
    <cfRule type="expression" dxfId="13339" priority="449">
      <formula>P$9&gt;=20/24</formula>
    </cfRule>
    <cfRule type="expression" dxfId="13338" priority="450">
      <formula>AND(P$9&gt;=14/24,P$9&lt;20/24)</formula>
    </cfRule>
    <cfRule type="expression" dxfId="13337" priority="451">
      <formula>AND(P$9&gt;=8/24,P$9&lt;14/24)</formula>
    </cfRule>
    <cfRule type="expression" dxfId="13336" priority="452">
      <formula>P$9&lt;8/24</formula>
    </cfRule>
  </conditionalFormatting>
  <conditionalFormatting sqref="P53:Q55 Q56:R58 S57:T58 AB53:AF57">
    <cfRule type="expression" dxfId="13335" priority="448">
      <formula>P53&gt;$AG53</formula>
    </cfRule>
  </conditionalFormatting>
  <conditionalFormatting sqref="E86:AF86 X96:AF96 AD100:AF106 X47:AF47 Y67:AF69 M100:X106 E72:X73 Y72:AC74">
    <cfRule type="expression" dxfId="13334" priority="444">
      <formula>E$9&gt;=20/24</formula>
    </cfRule>
    <cfRule type="expression" dxfId="13333" priority="445">
      <formula>AND(E$9&gt;=14/24,E$9&lt;20/24)</formula>
    </cfRule>
    <cfRule type="expression" dxfId="13332" priority="446">
      <formula>AND(E$9&gt;=8/24,E$9&lt;14/24)</formula>
    </cfRule>
    <cfRule type="expression" dxfId="13331" priority="447">
      <formula>E$9&lt;8/24</formula>
    </cfRule>
  </conditionalFormatting>
  <conditionalFormatting sqref="X47:AF47 Y67:AF69">
    <cfRule type="expression" dxfId="13330" priority="443">
      <formula>X47&gt;$AG47</formula>
    </cfRule>
  </conditionalFormatting>
  <conditionalFormatting sqref="R53:S55 S56 T53:V56 U57:V58 W53:AA58">
    <cfRule type="expression" dxfId="13329" priority="439">
      <formula>R$9&gt;=20/24</formula>
    </cfRule>
    <cfRule type="expression" dxfId="13328" priority="440">
      <formula>AND(R$9&gt;=14/24,R$9&lt;20/24)</formula>
    </cfRule>
    <cfRule type="expression" dxfId="13327" priority="441">
      <formula>AND(R$9&gt;=8/24,R$9&lt;14/24)</formula>
    </cfRule>
    <cfRule type="expression" dxfId="13326" priority="442">
      <formula>R$9&lt;8/24</formula>
    </cfRule>
  </conditionalFormatting>
  <conditionalFormatting sqref="R53:S55 S56 T53:V56 U57:V58 W53:AA58">
    <cfRule type="expression" dxfId="13325" priority="438">
      <formula>R53&gt;$AG53</formula>
    </cfRule>
  </conditionalFormatting>
  <conditionalFormatting sqref="E97:AF97 E88:AF88">
    <cfRule type="expression" dxfId="13324" priority="434">
      <formula>E$9&gt;=20/24</formula>
    </cfRule>
    <cfRule type="expression" dxfId="13323" priority="435">
      <formula>AND(E$9&gt;=14/24,E$9&lt;20/24)</formula>
    </cfRule>
    <cfRule type="expression" dxfId="13322" priority="436">
      <formula>AND(E$9&gt;=8/24,E$9&lt;14/24)</formula>
    </cfRule>
    <cfRule type="expression" dxfId="13321" priority="437">
      <formula>E$9&lt;8/24</formula>
    </cfRule>
  </conditionalFormatting>
  <conditionalFormatting sqref="T47:W47">
    <cfRule type="expression" dxfId="13320" priority="430">
      <formula>T$9&gt;=20/24</formula>
    </cfRule>
    <cfRule type="expression" dxfId="13319" priority="431">
      <formula>AND(T$9&gt;=14/24,T$9&lt;20/24)</formula>
    </cfRule>
    <cfRule type="expression" dxfId="13318" priority="432">
      <formula>AND(T$9&gt;=8/24,T$9&lt;14/24)</formula>
    </cfRule>
    <cfRule type="expression" dxfId="13317" priority="433">
      <formula>T$9&lt;8/24</formula>
    </cfRule>
  </conditionalFormatting>
  <conditionalFormatting sqref="T47:W47">
    <cfRule type="expression" dxfId="13316" priority="429">
      <formula>T47&gt;$AG47</formula>
    </cfRule>
  </conditionalFormatting>
  <conditionalFormatting sqref="H54:O55">
    <cfRule type="expression" dxfId="13315" priority="425">
      <formula>H$9&gt;=20/24</formula>
    </cfRule>
    <cfRule type="expression" dxfId="13314" priority="426">
      <formula>AND(H$9&gt;=14/24,H$9&lt;20/24)</formula>
    </cfRule>
    <cfRule type="expression" dxfId="13313" priority="427">
      <formula>AND(H$9&gt;=8/24,H$9&lt;14/24)</formula>
    </cfRule>
    <cfRule type="expression" dxfId="13312" priority="428">
      <formula>H$9&lt;8/24</formula>
    </cfRule>
  </conditionalFormatting>
  <conditionalFormatting sqref="H53:O53">
    <cfRule type="expression" dxfId="13311" priority="421">
      <formula>H$9&gt;=20/24</formula>
    </cfRule>
    <cfRule type="expression" dxfId="13310" priority="422">
      <formula>AND(H$9&gt;=14/24,H$9&lt;20/24)</formula>
    </cfRule>
    <cfRule type="expression" dxfId="13309" priority="423">
      <formula>AND(H$9&gt;=8/24,H$9&lt;14/24)</formula>
    </cfRule>
    <cfRule type="expression" dxfId="13308" priority="424">
      <formula>H$9&lt;8/24</formula>
    </cfRule>
  </conditionalFormatting>
  <conditionalFormatting sqref="H53:O55">
    <cfRule type="expression" dxfId="13307" priority="420">
      <formula>H53&gt;$AG53</formula>
    </cfRule>
  </conditionalFormatting>
  <conditionalFormatting sqref="AG70 AG87 E100:L106 S67:X69">
    <cfRule type="expression" dxfId="13306" priority="416">
      <formula>E$9&gt;=20/24</formula>
    </cfRule>
    <cfRule type="expression" dxfId="13305" priority="417">
      <formula>AND(E$9&gt;=14/24,E$9&lt;20/24)</formula>
    </cfRule>
    <cfRule type="expression" dxfId="13304" priority="418">
      <formula>AND(E$9&gt;=8/24,E$9&lt;14/24)</formula>
    </cfRule>
    <cfRule type="expression" dxfId="13303" priority="419">
      <formula>E$9&lt;8/24</formula>
    </cfRule>
  </conditionalFormatting>
  <conditionalFormatting sqref="AG48 AG66 AG70 S67:X69">
    <cfRule type="expression" dxfId="13302" priority="415">
      <formula>S48&gt;$AG48</formula>
    </cfRule>
  </conditionalFormatting>
  <conditionalFormatting sqref="AB58:AF58">
    <cfRule type="expression" dxfId="13301" priority="411">
      <formula>AB$9&gt;=20/24</formula>
    </cfRule>
    <cfRule type="expression" dxfId="13300" priority="412">
      <formula>AND(AB$9&gt;=14/24,AB$9&lt;20/24)</formula>
    </cfRule>
    <cfRule type="expression" dxfId="13299" priority="413">
      <formula>AND(AB$9&gt;=8/24,AB$9&lt;14/24)</formula>
    </cfRule>
    <cfRule type="expression" dxfId="13298" priority="414">
      <formula>AB$9&lt;8/24</formula>
    </cfRule>
  </conditionalFormatting>
  <conditionalFormatting sqref="AB58:AF58">
    <cfRule type="expression" dxfId="13297" priority="410">
      <formula>AB58&gt;$AG58</formula>
    </cfRule>
  </conditionalFormatting>
  <conditionalFormatting sqref="A43">
    <cfRule type="expression" dxfId="13296" priority="409">
      <formula>$AH43=0</formula>
    </cfRule>
  </conditionalFormatting>
  <conditionalFormatting sqref="X91:AF95">
    <cfRule type="expression" dxfId="13295" priority="405">
      <formula>X$9&gt;=20/24</formula>
    </cfRule>
    <cfRule type="expression" dxfId="13294" priority="406">
      <formula>AND(X$9&gt;=14/24,X$9&lt;20/24)</formula>
    </cfRule>
    <cfRule type="expression" dxfId="13293" priority="407">
      <formula>AND(X$9&gt;=8/24,X$9&lt;14/24)</formula>
    </cfRule>
    <cfRule type="expression" dxfId="13292" priority="408">
      <formula>X$9&lt;8/24</formula>
    </cfRule>
  </conditionalFormatting>
  <conditionalFormatting sqref="AL45 AL41 AL22:AL32 AL38:AL39 AL7:AL15 AL17:AL20 AL34:AL36">
    <cfRule type="iconSet" priority="506">
      <iconSet iconSet="3TrafficLights2" reverse="1">
        <cfvo type="percent" val="0"/>
        <cfvo type="num" val="1"/>
        <cfvo type="num" val="1"/>
      </iconSet>
    </cfRule>
  </conditionalFormatting>
  <conditionalFormatting sqref="E49:L49 E51:L51 L50 M49:AF51">
    <cfRule type="expression" dxfId="13291" priority="401">
      <formula>E$9&gt;=20/24</formula>
    </cfRule>
    <cfRule type="expression" dxfId="13290" priority="402">
      <formula>AND(E$9&gt;=14/24,E$9&lt;20/24)</formula>
    </cfRule>
    <cfRule type="expression" dxfId="13289" priority="403">
      <formula>AND(E$9&gt;=8/24,E$9&lt;14/24)</formula>
    </cfRule>
    <cfRule type="expression" dxfId="13288" priority="404">
      <formula>E$9&lt;8/24</formula>
    </cfRule>
  </conditionalFormatting>
  <conditionalFormatting sqref="E49:L49 E51:L51 L50 M49:AF51">
    <cfRule type="expression" dxfId="13287" priority="400">
      <formula>E49&gt;$AG49</formula>
    </cfRule>
  </conditionalFormatting>
  <conditionalFormatting sqref="AG52">
    <cfRule type="expression" dxfId="13286" priority="396">
      <formula>AG$9&gt;=20/24</formula>
    </cfRule>
    <cfRule type="expression" dxfId="13285" priority="397">
      <formula>AND(AG$9&gt;=14/24,AG$9&lt;20/24)</formula>
    </cfRule>
    <cfRule type="expression" dxfId="13284" priority="398">
      <formula>AND(AG$9&gt;=8/24,AG$9&lt;14/24)</formula>
    </cfRule>
    <cfRule type="expression" dxfId="13283" priority="399">
      <formula>AG$9&lt;8/24</formula>
    </cfRule>
  </conditionalFormatting>
  <conditionalFormatting sqref="AG52">
    <cfRule type="expression" dxfId="13282" priority="395">
      <formula>AG52&gt;$AG52</formula>
    </cfRule>
  </conditionalFormatting>
  <conditionalFormatting sqref="E107:AF107">
    <cfRule type="expression" dxfId="13281" priority="391">
      <formula>E$9&gt;=20/24</formula>
    </cfRule>
    <cfRule type="expression" dxfId="13280" priority="392">
      <formula>AND(E$9&gt;=14/24,E$9&lt;20/24)</formula>
    </cfRule>
    <cfRule type="expression" dxfId="13279" priority="393">
      <formula>AND(E$9&gt;=8/24,E$9&lt;14/24)</formula>
    </cfRule>
    <cfRule type="expression" dxfId="13278" priority="394">
      <formula>E$9&lt;8/24</formula>
    </cfRule>
  </conditionalFormatting>
  <conditionalFormatting sqref="AL40">
    <cfRule type="iconSet" priority="390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3277" priority="389">
      <formula>$AH40=0</formula>
    </cfRule>
  </conditionalFormatting>
  <conditionalFormatting sqref="A90">
    <cfRule type="expression" dxfId="13276" priority="387">
      <formula>$AH90=0</formula>
    </cfRule>
  </conditionalFormatting>
  <conditionalFormatting sqref="A87">
    <cfRule type="expression" dxfId="13275" priority="388">
      <formula>$AH87=0</formula>
    </cfRule>
  </conditionalFormatting>
  <conditionalFormatting sqref="E110:AF110">
    <cfRule type="expression" dxfId="13274" priority="383">
      <formula>E$9&gt;=20/24</formula>
    </cfRule>
    <cfRule type="expression" dxfId="13273" priority="384">
      <formula>AND(E$9&gt;=14/24,E$9&lt;20/24)</formula>
    </cfRule>
    <cfRule type="expression" dxfId="13272" priority="385">
      <formula>AND(E$9&gt;=8/24,E$9&lt;14/24)</formula>
    </cfRule>
    <cfRule type="expression" dxfId="13271" priority="386">
      <formula>E$9&lt;8/24</formula>
    </cfRule>
  </conditionalFormatting>
  <conditionalFormatting sqref="A110">
    <cfRule type="expression" dxfId="13270" priority="382">
      <formula>$AH110=0</formula>
    </cfRule>
  </conditionalFormatting>
  <conditionalFormatting sqref="A21">
    <cfRule type="expression" dxfId="13269" priority="380">
      <formula>$AH21=0</formula>
    </cfRule>
  </conditionalFormatting>
  <conditionalFormatting sqref="AL21">
    <cfRule type="iconSet" priority="38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3268" priority="378">
      <formula>$AH37=0</formula>
    </cfRule>
  </conditionalFormatting>
  <conditionalFormatting sqref="AL37">
    <cfRule type="iconSet" priority="379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3267" priority="374">
      <formula>Y$9&gt;=20/24</formula>
    </cfRule>
    <cfRule type="expression" dxfId="13266" priority="375">
      <formula>AND(Y$9&gt;=14/24,Y$9&lt;20/24)</formula>
    </cfRule>
    <cfRule type="expression" dxfId="13265" priority="376">
      <formula>AND(Y$9&gt;=8/24,Y$9&lt;14/24)</formula>
    </cfRule>
    <cfRule type="expression" dxfId="13264" priority="377">
      <formula>Y$9&lt;8/24</formula>
    </cfRule>
  </conditionalFormatting>
  <conditionalFormatting sqref="Y100:AC106">
    <cfRule type="expression" dxfId="13263" priority="370">
      <formula>Y$9&gt;=20/24</formula>
    </cfRule>
    <cfRule type="expression" dxfId="13262" priority="371">
      <formula>AND(Y$9&gt;=14/24,Y$9&lt;20/24)</formula>
    </cfRule>
    <cfRule type="expression" dxfId="13261" priority="372">
      <formula>AND(Y$9&gt;=8/24,Y$9&lt;14/24)</formula>
    </cfRule>
    <cfRule type="expression" dxfId="13260" priority="373">
      <formula>Y$9&lt;8/24</formula>
    </cfRule>
  </conditionalFormatting>
  <conditionalFormatting sqref="M17:Z18 AA34:AF43 AA17:AF32">
    <cfRule type="expression" dxfId="13259" priority="366">
      <formula>M$9&gt;=20/24</formula>
    </cfRule>
    <cfRule type="expression" dxfId="13258" priority="367">
      <formula>AND(M$9&gt;=14/24,M$9&lt;20/24)</formula>
    </cfRule>
    <cfRule type="expression" dxfId="13257" priority="368">
      <formula>AND(M$9&gt;=8/24,M$9&lt;14/24)</formula>
    </cfRule>
    <cfRule type="expression" dxfId="13256" priority="369">
      <formula>M$9&lt;8/24</formula>
    </cfRule>
  </conditionalFormatting>
  <conditionalFormatting sqref="E47:S47">
    <cfRule type="expression" dxfId="13255" priority="362">
      <formula>E$9&gt;=20/24</formula>
    </cfRule>
    <cfRule type="expression" dxfId="13254" priority="363">
      <formula>AND(E$9&gt;=14/24,E$9&lt;20/24)</formula>
    </cfRule>
    <cfRule type="expression" dxfId="13253" priority="364">
      <formula>AND(E$9&gt;=8/24,E$9&lt;14/24)</formula>
    </cfRule>
    <cfRule type="expression" dxfId="13252" priority="365">
      <formula>E$9&lt;8/24</formula>
    </cfRule>
  </conditionalFormatting>
  <conditionalFormatting sqref="E47:S47 M17:Z18 AA34:AF43 AA17:AF32">
    <cfRule type="expression" dxfId="13251" priority="361">
      <formula>E17&gt;$AG17</formula>
    </cfRule>
  </conditionalFormatting>
  <conditionalFormatting sqref="E96:W96 E83:AF85 J67:R69 E74:X76 Y75:AC76">
    <cfRule type="expression" dxfId="13250" priority="353">
      <formula>E$9&gt;=20/24</formula>
    </cfRule>
    <cfRule type="expression" dxfId="13249" priority="354">
      <formula>AND(E$9&gt;=14/24,E$9&lt;20/24)</formula>
    </cfRule>
    <cfRule type="expression" dxfId="13248" priority="355">
      <formula>AND(E$9&gt;=8/24,E$9&lt;14/24)</formula>
    </cfRule>
    <cfRule type="expression" dxfId="13247" priority="356">
      <formula>E$9&lt;8/24</formula>
    </cfRule>
  </conditionalFormatting>
  <conditionalFormatting sqref="H56:P57 J67:R69">
    <cfRule type="expression" dxfId="13246" priority="352">
      <formula>H56&gt;$AG56</formula>
    </cfRule>
  </conditionalFormatting>
  <conditionalFormatting sqref="H58:P58">
    <cfRule type="expression" dxfId="13245" priority="348">
      <formula>H$9&gt;=20/24</formula>
    </cfRule>
    <cfRule type="expression" dxfId="13244" priority="349">
      <formula>AND(H$9&gt;=14/24,H$9&lt;20/24)</formula>
    </cfRule>
    <cfRule type="expression" dxfId="13243" priority="350">
      <formula>AND(H$9&gt;=8/24,H$9&lt;14/24)</formula>
    </cfRule>
    <cfRule type="expression" dxfId="13242" priority="351">
      <formula>H$9&lt;8/24</formula>
    </cfRule>
  </conditionalFormatting>
  <conditionalFormatting sqref="H58:P58">
    <cfRule type="expression" dxfId="13241" priority="347">
      <formula>H58&gt;$AG58</formula>
    </cfRule>
  </conditionalFormatting>
  <conditionalFormatting sqref="E87:AF87 E89:AF89 E98:AF98 E70:AF70">
    <cfRule type="expression" dxfId="13240" priority="343">
      <formula>E$9&gt;=20/24</formula>
    </cfRule>
    <cfRule type="expression" dxfId="13239" priority="344">
      <formula>AND(E$9&gt;=14/24,E$9&lt;20/24)</formula>
    </cfRule>
    <cfRule type="expression" dxfId="13238" priority="345">
      <formula>AND(E$9&gt;=8/24,E$9&lt;14/24)</formula>
    </cfRule>
    <cfRule type="expression" dxfId="13237" priority="346">
      <formula>E$9&lt;8/24</formula>
    </cfRule>
  </conditionalFormatting>
  <conditionalFormatting sqref="E70:AF70 E65:AF66">
    <cfRule type="expression" dxfId="13236" priority="342">
      <formula>E65&gt;$AG65</formula>
    </cfRule>
  </conditionalFormatting>
  <conditionalFormatting sqref="E82:AF82">
    <cfRule type="expression" dxfId="13235" priority="338">
      <formula>E$9&gt;=20/24</formula>
    </cfRule>
    <cfRule type="expression" dxfId="13234" priority="339">
      <formula>AND(E$9&gt;=14/24,E$9&lt;20/24)</formula>
    </cfRule>
    <cfRule type="expression" dxfId="13233" priority="340">
      <formula>AND(E$9&gt;=8/24,E$9&lt;14/24)</formula>
    </cfRule>
    <cfRule type="expression" dxfId="13232" priority="341">
      <formula>E$9&lt;8/24</formula>
    </cfRule>
  </conditionalFormatting>
  <conditionalFormatting sqref="E91:W95">
    <cfRule type="expression" dxfId="13231" priority="334">
      <formula>E$9&gt;=20/24</formula>
    </cfRule>
    <cfRule type="expression" dxfId="13230" priority="335">
      <formula>AND(E$9&gt;=14/24,E$9&lt;20/24)</formula>
    </cfRule>
    <cfRule type="expression" dxfId="13229" priority="336">
      <formula>AND(E$9&gt;=8/24,E$9&lt;14/24)</formula>
    </cfRule>
    <cfRule type="expression" dxfId="13228" priority="337">
      <formula>E$9&lt;8/24</formula>
    </cfRule>
  </conditionalFormatting>
  <conditionalFormatting sqref="E52:AF52">
    <cfRule type="expression" dxfId="13227" priority="330">
      <formula>E$9&gt;=20/24</formula>
    </cfRule>
    <cfRule type="expression" dxfId="13226" priority="331">
      <formula>AND(E$9&gt;=14/24,E$9&lt;20/24)</formula>
    </cfRule>
    <cfRule type="expression" dxfId="13225" priority="332">
      <formula>AND(E$9&gt;=8/24,E$9&lt;14/24)</formula>
    </cfRule>
    <cfRule type="expression" dxfId="13224" priority="333">
      <formula>E$9&lt;8/24</formula>
    </cfRule>
  </conditionalFormatting>
  <conditionalFormatting sqref="E52:AF52">
    <cfRule type="expression" dxfId="13223" priority="329">
      <formula>E52&gt;$AG52</formula>
    </cfRule>
  </conditionalFormatting>
  <conditionalFormatting sqref="J59:AF64">
    <cfRule type="expression" dxfId="13222" priority="317">
      <formula>J$9&gt;=20/24</formula>
    </cfRule>
    <cfRule type="expression" dxfId="13221" priority="318">
      <formula>AND(J$9&gt;=14/24,J$9&lt;20/24)</formula>
    </cfRule>
    <cfRule type="expression" dxfId="13220" priority="319">
      <formula>AND(J$9&gt;=8/24,J$9&lt;14/24)</formula>
    </cfRule>
    <cfRule type="expression" dxfId="13219" priority="320">
      <formula>J$9&lt;8/24</formula>
    </cfRule>
  </conditionalFormatting>
  <conditionalFormatting sqref="J59:AF64">
    <cfRule type="expression" dxfId="13218" priority="316">
      <formula>J59&gt;$AG59</formula>
    </cfRule>
  </conditionalFormatting>
  <conditionalFormatting sqref="AA45:AF45 M13:AF15">
    <cfRule type="expression" dxfId="13217" priority="315">
      <formula>M13&gt;$AG13</formula>
    </cfRule>
  </conditionalFormatting>
  <conditionalFormatting sqref="M12:AF12">
    <cfRule type="expression" dxfId="13216" priority="311">
      <formula>M$9&gt;=20/24</formula>
    </cfRule>
    <cfRule type="expression" dxfId="13215" priority="312">
      <formula>AND(M$9&gt;=14/24,M$9&lt;20/24)</formula>
    </cfRule>
    <cfRule type="expression" dxfId="13214" priority="313">
      <formula>AND(M$9&gt;=8/24,M$9&lt;14/24)</formula>
    </cfRule>
    <cfRule type="expression" dxfId="13213" priority="314">
      <formula>M$9&lt;8/24</formula>
    </cfRule>
  </conditionalFormatting>
  <conditionalFormatting sqref="M12:AF12">
    <cfRule type="expression" dxfId="13212" priority="310">
      <formula>M12&gt;$AG12</formula>
    </cfRule>
  </conditionalFormatting>
  <conditionalFormatting sqref="M13:AF15">
    <cfRule type="expression" dxfId="13211" priority="306">
      <formula>M$9&gt;=20/24</formula>
    </cfRule>
    <cfRule type="expression" dxfId="13210" priority="307">
      <formula>AND(M$9&gt;=14/24,M$9&lt;20/24)</formula>
    </cfRule>
    <cfRule type="expression" dxfId="13209" priority="308">
      <formula>AND(M$9&gt;=8/24,M$9&lt;14/24)</formula>
    </cfRule>
    <cfRule type="expression" dxfId="13208" priority="309">
      <formula>M$9&lt;8/24</formula>
    </cfRule>
  </conditionalFormatting>
  <conditionalFormatting sqref="AA45:AF45">
    <cfRule type="expression" dxfId="13207" priority="302">
      <formula>AA$9&gt;=20/24</formula>
    </cfRule>
    <cfRule type="expression" dxfId="13206" priority="303">
      <formula>AND(AA$9&gt;=14/24,AA$9&lt;20/24)</formula>
    </cfRule>
    <cfRule type="expression" dxfId="13205" priority="304">
      <formula>AND(AA$9&gt;=8/24,AA$9&lt;14/24)</formula>
    </cfRule>
    <cfRule type="expression" dxfId="13204" priority="305">
      <formula>AA$9&lt;8/24</formula>
    </cfRule>
  </conditionalFormatting>
  <conditionalFormatting sqref="E77:M77 H78:M78 N77:P78 E79:P81 Q77:AC81 AE79:AF81">
    <cfRule type="expression" dxfId="13203" priority="298">
      <formula>E$9&gt;=20/24</formula>
    </cfRule>
    <cfRule type="expression" dxfId="13202" priority="299">
      <formula>AND(E$9&gt;=14/24,E$9&lt;20/24)</formula>
    </cfRule>
    <cfRule type="expression" dxfId="13201" priority="300">
      <formula>AND(E$9&gt;=8/24,E$9&lt;14/24)</formula>
    </cfRule>
    <cfRule type="expression" dxfId="13200" priority="301">
      <formula>E$9&lt;8/24</formula>
    </cfRule>
  </conditionalFormatting>
  <conditionalFormatting sqref="AL78:AN78 AL84:AN84 AN79:AN80">
    <cfRule type="expression" dxfId="13199" priority="294">
      <formula>AL$9&gt;=20/24</formula>
    </cfRule>
    <cfRule type="expression" dxfId="13198" priority="295">
      <formula>AND(AL$9&gt;=14/24,AL$9&lt;20/24)</formula>
    </cfRule>
    <cfRule type="expression" dxfId="13197" priority="296">
      <formula>AND(AL$9&gt;=8/24,AL$9&lt;14/24)</formula>
    </cfRule>
    <cfRule type="expression" dxfId="13196" priority="297">
      <formula>AL$9&lt;8/24</formula>
    </cfRule>
  </conditionalFormatting>
  <conditionalFormatting sqref="AN81:AN82">
    <cfRule type="expression" dxfId="13195" priority="290">
      <formula>AN$9&gt;=20/24</formula>
    </cfRule>
    <cfRule type="expression" dxfId="13194" priority="291">
      <formula>AND(AN$9&gt;=14/24,AN$9&lt;20/24)</formula>
    </cfRule>
    <cfRule type="expression" dxfId="13193" priority="292">
      <formula>AND(AN$9&gt;=8/24,AN$9&lt;14/24)</formula>
    </cfRule>
    <cfRule type="expression" dxfId="13192" priority="293">
      <formula>AN$9&lt;8/24</formula>
    </cfRule>
  </conditionalFormatting>
  <conditionalFormatting sqref="AL79:AM83">
    <cfRule type="expression" dxfId="13191" priority="507">
      <formula>AJ$9&gt;=20/24</formula>
    </cfRule>
    <cfRule type="expression" dxfId="13190" priority="508">
      <formula>AND(AJ$9&gt;=14/24,AJ$9&lt;20/24)</formula>
    </cfRule>
    <cfRule type="expression" dxfId="13189" priority="509">
      <formula>AND(AJ$9&gt;=8/24,AJ$9&lt;14/24)</formula>
    </cfRule>
    <cfRule type="expression" dxfId="13188" priority="510">
      <formula>AJ$9&lt;8/24</formula>
    </cfRule>
  </conditionalFormatting>
  <conditionalFormatting sqref="A117">
    <cfRule type="expression" dxfId="13187" priority="289">
      <formula>$AH117=0</formula>
    </cfRule>
  </conditionalFormatting>
  <conditionalFormatting sqref="AA46:AF46">
    <cfRule type="expression" dxfId="13186" priority="258">
      <formula>AA$9&gt;=20/24</formula>
    </cfRule>
    <cfRule type="expression" dxfId="13185" priority="259">
      <formula>AND(AA$9&gt;=14/24,AA$9&lt;20/24)</formula>
    </cfRule>
    <cfRule type="expression" dxfId="13184" priority="260">
      <formula>AND(AA$9&gt;=8/24,AA$9&lt;14/24)</formula>
    </cfRule>
    <cfRule type="expression" dxfId="13183" priority="261">
      <formula>AA$9&lt;8/24</formula>
    </cfRule>
  </conditionalFormatting>
  <conditionalFormatting sqref="AA46:AF46">
    <cfRule type="expression" dxfId="13182" priority="257">
      <formula>AA46&gt;$AG46</formula>
    </cfRule>
  </conditionalFormatting>
  <conditionalFormatting sqref="E48:AF48">
    <cfRule type="expression" dxfId="13181" priority="226">
      <formula>E48&gt;$AG48</formula>
    </cfRule>
  </conditionalFormatting>
  <conditionalFormatting sqref="A11">
    <cfRule type="expression" dxfId="13180" priority="203">
      <formula>$AH11=0</formula>
    </cfRule>
  </conditionalFormatting>
  <conditionalFormatting sqref="M11:AF11">
    <cfRule type="expression" dxfId="13179" priority="199">
      <formula>M$9&gt;=20/24</formula>
    </cfRule>
    <cfRule type="expression" dxfId="13178" priority="200">
      <formula>AND(M$9&gt;=14/24,M$9&lt;20/24)</formula>
    </cfRule>
    <cfRule type="expression" dxfId="13177" priority="201">
      <formula>AND(M$9&gt;=8/24,M$9&lt;14/24)</formula>
    </cfRule>
    <cfRule type="expression" dxfId="13176" priority="202">
      <formula>M$9&lt;8/24</formula>
    </cfRule>
  </conditionalFormatting>
  <conditionalFormatting sqref="M11:AF11">
    <cfRule type="expression" dxfId="13175" priority="198">
      <formula>M11&gt;$AG11</formula>
    </cfRule>
  </conditionalFormatting>
  <conditionalFormatting sqref="A16">
    <cfRule type="expression" dxfId="13174" priority="191">
      <formula>$AH16=0</formula>
    </cfRule>
  </conditionalFormatting>
  <conditionalFormatting sqref="AL16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M16:AF16">
    <cfRule type="expression" dxfId="13173" priority="187">
      <formula>M$9&gt;=20/24</formula>
    </cfRule>
    <cfRule type="expression" dxfId="13172" priority="188">
      <formula>AND(M$9&gt;=14/24,M$9&lt;20/24)</formula>
    </cfRule>
    <cfRule type="expression" dxfId="13171" priority="189">
      <formula>AND(M$9&gt;=8/24,M$9&lt;14/24)</formula>
    </cfRule>
    <cfRule type="expression" dxfId="13170" priority="190">
      <formula>M$9&lt;8/24</formula>
    </cfRule>
  </conditionalFormatting>
  <conditionalFormatting sqref="M16:AF16">
    <cfRule type="expression" dxfId="13169" priority="186">
      <formula>M16&gt;$AG16</formula>
    </cfRule>
  </conditionalFormatting>
  <conditionalFormatting sqref="A33">
    <cfRule type="expression" dxfId="13168" priority="179">
      <formula>$AH33=0</formula>
    </cfRule>
  </conditionalFormatting>
  <conditionalFormatting sqref="AL3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A33:AF33">
    <cfRule type="expression" dxfId="13167" priority="175">
      <formula>AA$9&gt;=20/24</formula>
    </cfRule>
    <cfRule type="expression" dxfId="13166" priority="176">
      <formula>AND(AA$9&gt;=14/24,AA$9&lt;20/24)</formula>
    </cfRule>
    <cfRule type="expression" dxfId="13165" priority="177">
      <formula>AND(AA$9&gt;=8/24,AA$9&lt;14/24)</formula>
    </cfRule>
    <cfRule type="expression" dxfId="13164" priority="178">
      <formula>AA$9&lt;8/24</formula>
    </cfRule>
  </conditionalFormatting>
  <conditionalFormatting sqref="AA33:AF33">
    <cfRule type="expression" dxfId="13163" priority="174">
      <formula>AA33&gt;$AG33</formula>
    </cfRule>
  </conditionalFormatting>
  <conditionalFormatting sqref="A44">
    <cfRule type="expression" dxfId="13162" priority="167">
      <formula>$AH44=0</formula>
    </cfRule>
  </conditionalFormatting>
  <conditionalFormatting sqref="AL44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13161" priority="166">
      <formula>AA44&gt;$AG44</formula>
    </cfRule>
  </conditionalFormatting>
  <conditionalFormatting sqref="AA44:AF44">
    <cfRule type="expression" dxfId="13160" priority="162">
      <formula>AA$9&gt;=20/24</formula>
    </cfRule>
    <cfRule type="expression" dxfId="13159" priority="163">
      <formula>AND(AA$9&gt;=14/24,AA$9&lt;20/24)</formula>
    </cfRule>
    <cfRule type="expression" dxfId="13158" priority="164">
      <formula>AND(AA$9&gt;=8/24,AA$9&lt;14/24)</formula>
    </cfRule>
    <cfRule type="expression" dxfId="13157" priority="165">
      <formula>AA$9&lt;8/24</formula>
    </cfRule>
  </conditionalFormatting>
  <conditionalFormatting sqref="E117:AF117">
    <cfRule type="expression" dxfId="13156" priority="153">
      <formula>E$9&gt;=20/24</formula>
    </cfRule>
    <cfRule type="expression" dxfId="13155" priority="154">
      <formula>AND(E$9&gt;=14/24,E$9&lt;20/24)</formula>
    </cfRule>
    <cfRule type="expression" dxfId="13154" priority="155">
      <formula>AND(E$9&gt;=8/24,E$9&lt;14/24)</formula>
    </cfRule>
    <cfRule type="expression" dxfId="13153" priority="156">
      <formula>E$9&lt;8/24</formula>
    </cfRule>
  </conditionalFormatting>
  <conditionalFormatting sqref="B109:D109 B111:D116">
    <cfRule type="expression" dxfId="13152" priority="141">
      <formula>B$9&gt;=20/24</formula>
    </cfRule>
    <cfRule type="expression" dxfId="13151" priority="142">
      <formula>AND(B$9&gt;=14/24,B$9&lt;20/24)</formula>
    </cfRule>
    <cfRule type="expression" dxfId="13150" priority="143">
      <formula>AND(B$9&gt;=8/24,B$9&lt;14/24)</formula>
    </cfRule>
    <cfRule type="expression" dxfId="13149" priority="144">
      <formula>B$9&lt;8/24</formula>
    </cfRule>
  </conditionalFormatting>
  <conditionalFormatting sqref="B99:D99">
    <cfRule type="expression" dxfId="13148" priority="137">
      <formula>B$9&gt;=20/24</formula>
    </cfRule>
    <cfRule type="expression" dxfId="13147" priority="138">
      <formula>AND(B$9&gt;=14/24,B$9&lt;20/24)</formula>
    </cfRule>
    <cfRule type="expression" dxfId="13146" priority="139">
      <formula>AND(B$9&gt;=8/24,B$9&lt;14/24)</formula>
    </cfRule>
    <cfRule type="expression" dxfId="13145" priority="140">
      <formula>B$9&lt;8/24</formula>
    </cfRule>
  </conditionalFormatting>
  <conditionalFormatting sqref="B71:D71 B54:G57">
    <cfRule type="expression" dxfId="13144" priority="133">
      <formula>B$9&gt;=20/24</formula>
    </cfRule>
    <cfRule type="expression" dxfId="13143" priority="134">
      <formula>AND(B$9&gt;=14/24,B$9&lt;20/24)</formula>
    </cfRule>
    <cfRule type="expression" dxfId="13142" priority="135">
      <formula>AND(B$9&gt;=8/24,B$9&lt;14/24)</formula>
    </cfRule>
    <cfRule type="expression" dxfId="13141" priority="136">
      <formula>B$9&lt;8/24</formula>
    </cfRule>
  </conditionalFormatting>
  <conditionalFormatting sqref="B53:G53">
    <cfRule type="expression" dxfId="13140" priority="129">
      <formula>B$9&gt;=20/24</formula>
    </cfRule>
    <cfRule type="expression" dxfId="13139" priority="130">
      <formula>AND(B$9&gt;=14/24,B$9&lt;20/24)</formula>
    </cfRule>
    <cfRule type="expression" dxfId="13138" priority="131">
      <formula>AND(B$9&gt;=8/24,B$9&lt;14/24)</formula>
    </cfRule>
    <cfRule type="expression" dxfId="13137" priority="132">
      <formula>B$9&lt;8/24</formula>
    </cfRule>
  </conditionalFormatting>
  <conditionalFormatting sqref="B53:G57">
    <cfRule type="expression" dxfId="13136" priority="128">
      <formula>B53&gt;$AG53</formula>
    </cfRule>
  </conditionalFormatting>
  <conditionalFormatting sqref="B86:D86 B96:D96 B100:D106 B47:D47 B72:D74 B67:I69">
    <cfRule type="expression" dxfId="13135" priority="124">
      <formula>B$9&gt;=20/24</formula>
    </cfRule>
    <cfRule type="expression" dxfId="13134" priority="125">
      <formula>AND(B$9&gt;=14/24,B$9&lt;20/24)</formula>
    </cfRule>
    <cfRule type="expression" dxfId="13133" priority="126">
      <formula>AND(B$9&gt;=8/24,B$9&lt;14/24)</formula>
    </cfRule>
    <cfRule type="expression" dxfId="13132" priority="127">
      <formula>B$9&lt;8/24</formula>
    </cfRule>
  </conditionalFormatting>
  <conditionalFormatting sqref="B47:D47 B67:I69">
    <cfRule type="expression" dxfId="13131" priority="123">
      <formula>B47&gt;$AG47</formula>
    </cfRule>
  </conditionalFormatting>
  <conditionalFormatting sqref="B97:D97 B88:D88">
    <cfRule type="expression" dxfId="13130" priority="119">
      <formula>B$9&gt;=20/24</formula>
    </cfRule>
    <cfRule type="expression" dxfId="13129" priority="120">
      <formula>AND(B$9&gt;=14/24,B$9&lt;20/24)</formula>
    </cfRule>
    <cfRule type="expression" dxfId="13128" priority="121">
      <formula>AND(B$9&gt;=8/24,B$9&lt;14/24)</formula>
    </cfRule>
    <cfRule type="expression" dxfId="13127" priority="122">
      <formula>B$9&lt;8/24</formula>
    </cfRule>
  </conditionalFormatting>
  <conditionalFormatting sqref="B58:G58">
    <cfRule type="expression" dxfId="13126" priority="115">
      <formula>B$9&gt;=20/24</formula>
    </cfRule>
    <cfRule type="expression" dxfId="13125" priority="116">
      <formula>AND(B$9&gt;=14/24,B$9&lt;20/24)</formula>
    </cfRule>
    <cfRule type="expression" dxfId="13124" priority="117">
      <formula>AND(B$9&gt;=8/24,B$9&lt;14/24)</formula>
    </cfRule>
    <cfRule type="expression" dxfId="13123" priority="118">
      <formula>B$9&lt;8/24</formula>
    </cfRule>
  </conditionalFormatting>
  <conditionalFormatting sqref="B58:G58">
    <cfRule type="expression" dxfId="13122" priority="114">
      <formula>B58&gt;$AG58</formula>
    </cfRule>
  </conditionalFormatting>
  <conditionalFormatting sqref="B91:D95">
    <cfRule type="expression" dxfId="13121" priority="110">
      <formula>B$9&gt;=20/24</formula>
    </cfRule>
    <cfRule type="expression" dxfId="13120" priority="111">
      <formula>AND(B$9&gt;=14/24,B$9&lt;20/24)</formula>
    </cfRule>
    <cfRule type="expression" dxfId="13119" priority="112">
      <formula>AND(B$9&gt;=8/24,B$9&lt;14/24)</formula>
    </cfRule>
    <cfRule type="expression" dxfId="13118" priority="113">
      <formula>B$9&lt;8/24</formula>
    </cfRule>
  </conditionalFormatting>
  <conditionalFormatting sqref="B49:D51 E50:K50">
    <cfRule type="expression" dxfId="13117" priority="106">
      <formula>B$9&gt;=20/24</formula>
    </cfRule>
    <cfRule type="expression" dxfId="13116" priority="107">
      <formula>AND(B$9&gt;=14/24,B$9&lt;20/24)</formula>
    </cfRule>
    <cfRule type="expression" dxfId="13115" priority="108">
      <formula>AND(B$9&gt;=8/24,B$9&lt;14/24)</formula>
    </cfRule>
    <cfRule type="expression" dxfId="13114" priority="109">
      <formula>B$9&lt;8/24</formula>
    </cfRule>
  </conditionalFormatting>
  <conditionalFormatting sqref="B49:D51 E50:K50">
    <cfRule type="expression" dxfId="13113" priority="105">
      <formula>B49&gt;$AG49</formula>
    </cfRule>
  </conditionalFormatting>
  <conditionalFormatting sqref="B107:D107">
    <cfRule type="expression" dxfId="13112" priority="101">
      <formula>B$9&gt;=20/24</formula>
    </cfRule>
    <cfRule type="expression" dxfId="13111" priority="102">
      <formula>AND(B$9&gt;=14/24,B$9&lt;20/24)</formula>
    </cfRule>
    <cfRule type="expression" dxfId="13110" priority="103">
      <formula>AND(B$9&gt;=8/24,B$9&lt;14/24)</formula>
    </cfRule>
    <cfRule type="expression" dxfId="13109" priority="104">
      <formula>B$9&lt;8/24</formula>
    </cfRule>
  </conditionalFormatting>
  <conditionalFormatting sqref="B110:D110">
    <cfRule type="expression" dxfId="13108" priority="97">
      <formula>B$9&gt;=20/24</formula>
    </cfRule>
    <cfRule type="expression" dxfId="13107" priority="98">
      <formula>AND(B$9&gt;=14/24,B$9&lt;20/24)</formula>
    </cfRule>
    <cfRule type="expression" dxfId="13106" priority="99">
      <formula>AND(B$9&gt;=8/24,B$9&lt;14/24)</formula>
    </cfRule>
    <cfRule type="expression" dxfId="13105" priority="100">
      <formula>B$9&lt;8/24</formula>
    </cfRule>
  </conditionalFormatting>
  <conditionalFormatting sqref="B17:L32 B34:Z43 M19:Z32">
    <cfRule type="expression" dxfId="13104" priority="93">
      <formula>B$9&gt;=20/24</formula>
    </cfRule>
    <cfRule type="expression" dxfId="13103" priority="94">
      <formula>AND(B$9&gt;=14/24,B$9&lt;20/24)</formula>
    </cfRule>
    <cfRule type="expression" dxfId="13102" priority="95">
      <formula>AND(B$9&gt;=8/24,B$9&lt;14/24)</formula>
    </cfRule>
    <cfRule type="expression" dxfId="13101" priority="96">
      <formula>B$9&lt;8/24</formula>
    </cfRule>
  </conditionalFormatting>
  <conditionalFormatting sqref="B17:L32 B34:Z43 M19:Z32">
    <cfRule type="expression" dxfId="13100" priority="92">
      <formula>B17&gt;$AG17</formula>
    </cfRule>
  </conditionalFormatting>
  <conditionalFormatting sqref="B83:D85 B75:D76">
    <cfRule type="expression" dxfId="13099" priority="88">
      <formula>B$9&gt;=20/24</formula>
    </cfRule>
    <cfRule type="expression" dxfId="13098" priority="89">
      <formula>AND(B$9&gt;=14/24,B$9&lt;20/24)</formula>
    </cfRule>
    <cfRule type="expression" dxfId="13097" priority="90">
      <formula>AND(B$9&gt;=8/24,B$9&lt;14/24)</formula>
    </cfRule>
    <cfRule type="expression" dxfId="13096" priority="91">
      <formula>B$9&lt;8/24</formula>
    </cfRule>
  </conditionalFormatting>
  <conditionalFormatting sqref="B87:D87 B89:D89 B70:D70 B98:D98">
    <cfRule type="expression" dxfId="13095" priority="84">
      <formula>B$9&gt;=20/24</formula>
    </cfRule>
    <cfRule type="expression" dxfId="13094" priority="85">
      <formula>AND(B$9&gt;=14/24,B$9&lt;20/24)</formula>
    </cfRule>
    <cfRule type="expression" dxfId="13093" priority="86">
      <formula>AND(B$9&gt;=8/24,B$9&lt;14/24)</formula>
    </cfRule>
    <cfRule type="expression" dxfId="13092" priority="87">
      <formula>B$9&lt;8/24</formula>
    </cfRule>
  </conditionalFormatting>
  <conditionalFormatting sqref="B70:D70 B65:D66">
    <cfRule type="expression" dxfId="13091" priority="83">
      <formula>B65&gt;$AG65</formula>
    </cfRule>
  </conditionalFormatting>
  <conditionalFormatting sqref="B82:D82">
    <cfRule type="expression" dxfId="13090" priority="79">
      <formula>B$9&gt;=20/24</formula>
    </cfRule>
    <cfRule type="expression" dxfId="13089" priority="80">
      <formula>AND(B$9&gt;=14/24,B$9&lt;20/24)</formula>
    </cfRule>
    <cfRule type="expression" dxfId="13088" priority="81">
      <formula>AND(B$9&gt;=8/24,B$9&lt;14/24)</formula>
    </cfRule>
    <cfRule type="expression" dxfId="13087" priority="82">
      <formula>B$9&lt;8/24</formula>
    </cfRule>
  </conditionalFormatting>
  <conditionalFormatting sqref="B52:D52">
    <cfRule type="expression" dxfId="13086" priority="75">
      <formula>B$9&gt;=20/24</formula>
    </cfRule>
    <cfRule type="expression" dxfId="13085" priority="76">
      <formula>AND(B$9&gt;=14/24,B$9&lt;20/24)</formula>
    </cfRule>
    <cfRule type="expression" dxfId="13084" priority="77">
      <formula>AND(B$9&gt;=8/24,B$9&lt;14/24)</formula>
    </cfRule>
    <cfRule type="expression" dxfId="13083" priority="78">
      <formula>B$9&lt;8/24</formula>
    </cfRule>
  </conditionalFormatting>
  <conditionalFormatting sqref="B52:D52">
    <cfRule type="expression" dxfId="13082" priority="74">
      <formula>B52&gt;$AG52</formula>
    </cfRule>
  </conditionalFormatting>
  <conditionalFormatting sqref="B59:I64">
    <cfRule type="expression" dxfId="13081" priority="66">
      <formula>B$9&gt;=20/24</formula>
    </cfRule>
    <cfRule type="expression" dxfId="13080" priority="67">
      <formula>AND(B$9&gt;=14/24,B$9&lt;20/24)</formula>
    </cfRule>
    <cfRule type="expression" dxfId="13079" priority="68">
      <formula>AND(B$9&gt;=8/24,B$9&lt;14/24)</formula>
    </cfRule>
    <cfRule type="expression" dxfId="13078" priority="69">
      <formula>B$9&lt;8/24</formula>
    </cfRule>
  </conditionalFormatting>
  <conditionalFormatting sqref="B59:I64">
    <cfRule type="expression" dxfId="13077" priority="65">
      <formula>B59&gt;$AG59</formula>
    </cfRule>
  </conditionalFormatting>
  <conditionalFormatting sqref="B13:L15 B45:Z45">
    <cfRule type="expression" dxfId="13076" priority="64">
      <formula>B13&gt;$AG13</formula>
    </cfRule>
  </conditionalFormatting>
  <conditionalFormatting sqref="B12:L12">
    <cfRule type="expression" dxfId="13075" priority="60">
      <formula>B$9&gt;=20/24</formula>
    </cfRule>
    <cfRule type="expression" dxfId="13074" priority="61">
      <formula>AND(B$9&gt;=14/24,B$9&lt;20/24)</formula>
    </cfRule>
    <cfRule type="expression" dxfId="13073" priority="62">
      <formula>AND(B$9&gt;=8/24,B$9&lt;14/24)</formula>
    </cfRule>
    <cfRule type="expression" dxfId="13072" priority="63">
      <formula>B$9&lt;8/24</formula>
    </cfRule>
  </conditionalFormatting>
  <conditionalFormatting sqref="B12:L12">
    <cfRule type="expression" dxfId="13071" priority="59">
      <formula>B12&gt;$AG12</formula>
    </cfRule>
  </conditionalFormatting>
  <conditionalFormatting sqref="B13:L15">
    <cfRule type="expression" dxfId="13070" priority="55">
      <formula>B$9&gt;=20/24</formula>
    </cfRule>
    <cfRule type="expression" dxfId="13069" priority="56">
      <formula>AND(B$9&gt;=14/24,B$9&lt;20/24)</formula>
    </cfRule>
    <cfRule type="expression" dxfId="13068" priority="57">
      <formula>AND(B$9&gt;=8/24,B$9&lt;14/24)</formula>
    </cfRule>
    <cfRule type="expression" dxfId="13067" priority="58">
      <formula>B$9&lt;8/24</formula>
    </cfRule>
  </conditionalFormatting>
  <conditionalFormatting sqref="B45:Z45">
    <cfRule type="expression" dxfId="13066" priority="51">
      <formula>B$9&gt;=20/24</formula>
    </cfRule>
    <cfRule type="expression" dxfId="13065" priority="52">
      <formula>AND(B$9&gt;=14/24,B$9&lt;20/24)</formula>
    </cfRule>
    <cfRule type="expression" dxfId="13064" priority="53">
      <formula>AND(B$9&gt;=8/24,B$9&lt;14/24)</formula>
    </cfRule>
    <cfRule type="expression" dxfId="13063" priority="54">
      <formula>B$9&lt;8/24</formula>
    </cfRule>
  </conditionalFormatting>
  <conditionalFormatting sqref="B77:D77 B79:D81 B78:G78">
    <cfRule type="expression" dxfId="13062" priority="47">
      <formula>B$9&gt;=20/24</formula>
    </cfRule>
    <cfRule type="expression" dxfId="13061" priority="48">
      <formula>AND(B$9&gt;=14/24,B$9&lt;20/24)</formula>
    </cfRule>
    <cfRule type="expression" dxfId="13060" priority="49">
      <formula>AND(B$9&gt;=8/24,B$9&lt;14/24)</formula>
    </cfRule>
    <cfRule type="expression" dxfId="13059" priority="50">
      <formula>B$9&lt;8/24</formula>
    </cfRule>
  </conditionalFormatting>
  <conditionalFormatting sqref="B46:Z46">
    <cfRule type="expression" dxfId="13058" priority="43">
      <formula>B$9&gt;=20/24</formula>
    </cfRule>
    <cfRule type="expression" dxfId="13057" priority="44">
      <formula>AND(B$9&gt;=14/24,B$9&lt;20/24)</formula>
    </cfRule>
    <cfRule type="expression" dxfId="13056" priority="45">
      <formula>AND(B$9&gt;=8/24,B$9&lt;14/24)</formula>
    </cfRule>
    <cfRule type="expression" dxfId="13055" priority="46">
      <formula>B$9&lt;8/24</formula>
    </cfRule>
  </conditionalFormatting>
  <conditionalFormatting sqref="B46:Z46">
    <cfRule type="expression" dxfId="13054" priority="42">
      <formula>B46&gt;$AG46</formula>
    </cfRule>
  </conditionalFormatting>
  <conditionalFormatting sqref="B48:D48">
    <cfRule type="expression" dxfId="13053" priority="41">
      <formula>B48&gt;$AG48</formula>
    </cfRule>
  </conditionalFormatting>
  <conditionalFormatting sqref="B11:L11">
    <cfRule type="expression" dxfId="13052" priority="37">
      <formula>B$9&gt;=20/24</formula>
    </cfRule>
    <cfRule type="expression" dxfId="13051" priority="38">
      <formula>AND(B$9&gt;=14/24,B$9&lt;20/24)</formula>
    </cfRule>
    <cfRule type="expression" dxfId="13050" priority="39">
      <formula>AND(B$9&gt;=8/24,B$9&lt;14/24)</formula>
    </cfRule>
    <cfRule type="expression" dxfId="13049" priority="40">
      <formula>B$9&lt;8/24</formula>
    </cfRule>
  </conditionalFormatting>
  <conditionalFormatting sqref="B11:L11">
    <cfRule type="expression" dxfId="13048" priority="36">
      <formula>B11&gt;$AG11</formula>
    </cfRule>
  </conditionalFormatting>
  <conditionalFormatting sqref="B16:L16">
    <cfRule type="expression" dxfId="13047" priority="32">
      <formula>B$9&gt;=20/24</formula>
    </cfRule>
    <cfRule type="expression" dxfId="13046" priority="33">
      <formula>AND(B$9&gt;=14/24,B$9&lt;20/24)</formula>
    </cfRule>
    <cfRule type="expression" dxfId="13045" priority="34">
      <formula>AND(B$9&gt;=8/24,B$9&lt;14/24)</formula>
    </cfRule>
    <cfRule type="expression" dxfId="13044" priority="35">
      <formula>B$9&lt;8/24</formula>
    </cfRule>
  </conditionalFormatting>
  <conditionalFormatting sqref="B16:L16">
    <cfRule type="expression" dxfId="13043" priority="31">
      <formula>B16&gt;$AG16</formula>
    </cfRule>
  </conditionalFormatting>
  <conditionalFormatting sqref="B33:Z33">
    <cfRule type="expression" dxfId="13042" priority="27">
      <formula>B$9&gt;=20/24</formula>
    </cfRule>
    <cfRule type="expression" dxfId="13041" priority="28">
      <formula>AND(B$9&gt;=14/24,B$9&lt;20/24)</formula>
    </cfRule>
    <cfRule type="expression" dxfId="13040" priority="29">
      <formula>AND(B$9&gt;=8/24,B$9&lt;14/24)</formula>
    </cfRule>
    <cfRule type="expression" dxfId="13039" priority="30">
      <formula>B$9&lt;8/24</formula>
    </cfRule>
  </conditionalFormatting>
  <conditionalFormatting sqref="B33:Z33">
    <cfRule type="expression" dxfId="13038" priority="26">
      <formula>B33&gt;$AG33</formula>
    </cfRule>
  </conditionalFormatting>
  <conditionalFormatting sqref="B44:Z44">
    <cfRule type="expression" dxfId="13037" priority="25">
      <formula>B44&gt;$AG44</formula>
    </cfRule>
  </conditionalFormatting>
  <conditionalFormatting sqref="B44:Z44">
    <cfRule type="expression" dxfId="13036" priority="21">
      <formula>B$9&gt;=20/24</formula>
    </cfRule>
    <cfRule type="expression" dxfId="13035" priority="22">
      <formula>AND(B$9&gt;=14/24,B$9&lt;20/24)</formula>
    </cfRule>
    <cfRule type="expression" dxfId="13034" priority="23">
      <formula>AND(B$9&gt;=8/24,B$9&lt;14/24)</formula>
    </cfRule>
    <cfRule type="expression" dxfId="13033" priority="24">
      <formula>B$9&lt;8/24</formula>
    </cfRule>
  </conditionalFormatting>
  <conditionalFormatting sqref="B117:D117">
    <cfRule type="expression" dxfId="13032" priority="17">
      <formula>B$9&gt;=20/24</formula>
    </cfRule>
    <cfRule type="expression" dxfId="13031" priority="18">
      <formula>AND(B$9&gt;=14/24,B$9&lt;20/24)</formula>
    </cfRule>
    <cfRule type="expression" dxfId="13030" priority="19">
      <formula>AND(B$9&gt;=8/24,B$9&lt;14/24)</formula>
    </cfRule>
    <cfRule type="expression" dxfId="13029" priority="20">
      <formula>B$9&lt;8/24</formula>
    </cfRule>
  </conditionalFormatting>
  <conditionalFormatting sqref="AD71:AF71">
    <cfRule type="expression" dxfId="13028" priority="13">
      <formula>AD$9&gt;=20/24</formula>
    </cfRule>
    <cfRule type="expression" dxfId="13027" priority="14">
      <formula>AND(AD$9&gt;=14/24,AD$9&lt;20/24)</formula>
    </cfRule>
    <cfRule type="expression" dxfId="13026" priority="15">
      <formula>AND(AD$9&gt;=8/24,AD$9&lt;14/24)</formula>
    </cfRule>
    <cfRule type="expression" dxfId="13025" priority="16">
      <formula>AD$9&lt;8/24</formula>
    </cfRule>
  </conditionalFormatting>
  <conditionalFormatting sqref="AD72:AF74">
    <cfRule type="expression" dxfId="13024" priority="9">
      <formula>AD$9&gt;=20/24</formula>
    </cfRule>
    <cfRule type="expression" dxfId="13023" priority="10">
      <formula>AND(AD$9&gt;=14/24,AD$9&lt;20/24)</formula>
    </cfRule>
    <cfRule type="expression" dxfId="13022" priority="11">
      <formula>AND(AD$9&gt;=8/24,AD$9&lt;14/24)</formula>
    </cfRule>
    <cfRule type="expression" dxfId="13021" priority="12">
      <formula>AD$9&lt;8/24</formula>
    </cfRule>
  </conditionalFormatting>
  <conditionalFormatting sqref="AD75:AF76">
    <cfRule type="expression" dxfId="13020" priority="5">
      <formula>AD$9&gt;=20/24</formula>
    </cfRule>
    <cfRule type="expression" dxfId="13019" priority="6">
      <formula>AND(AD$9&gt;=14/24,AD$9&lt;20/24)</formula>
    </cfRule>
    <cfRule type="expression" dxfId="13018" priority="7">
      <formula>AND(AD$9&gt;=8/24,AD$9&lt;14/24)</formula>
    </cfRule>
    <cfRule type="expression" dxfId="13017" priority="8">
      <formula>AD$9&lt;8/24</formula>
    </cfRule>
  </conditionalFormatting>
  <conditionalFormatting sqref="AD77:AD81 AE77:AF78">
    <cfRule type="expression" dxfId="13016" priority="1">
      <formula>AD$9&gt;=20/24</formula>
    </cfRule>
    <cfRule type="expression" dxfId="13015" priority="2">
      <formula>AND(AD$9&gt;=14/24,AD$9&lt;20/24)</formula>
    </cfRule>
    <cfRule type="expression" dxfId="13014" priority="3">
      <formula>AND(AD$9&gt;=8/24,AD$9&lt;14/24)</formula>
    </cfRule>
    <cfRule type="expression" dxfId="13013" priority="4">
      <formula>AD$9&lt;8/24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5" id="{FA200AA0-C553-45F7-A002-C551284369A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26" id="{0AE575A0-278E-486B-B710-8E396BDEB79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27" id="{D471FB6A-EAF8-4B6D-B944-9889185E2E8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28" id="{B694A1F0-4F89-4E8A-8217-6BD1FC15DA5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E90:AF90</xm:sqref>
        </x14:conditionalFormatting>
        <x14:conditionalFormatting xmlns:xm="http://schemas.microsoft.com/office/excel/2006/main">
          <x14:cfRule type="expression" priority="70" id="{E7AABCEC-5697-411A-BFF4-E3FCC08BFC6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1" id="{D5FDD009-2618-4D78-B102-EE746F28A06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2" id="{8B8E38FB-23CB-46C3-96F0-87CD6DD8A4A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3" id="{7D19761C-7054-4ED8-801A-0A096E10942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B90:D90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CJ278"/>
  <sheetViews>
    <sheetView zoomScale="80" zoomScaleNormal="80" workbookViewId="0">
      <pane ySplit="10" topLeftCell="A16" activePane="bottomLeft" state="frozen"/>
      <selection activeCell="Z85" sqref="Z85"/>
      <selection pane="bottomLeft" activeCell="A57" sqref="A5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10.28515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2080/02/3</v>
      </c>
      <c r="C4" s="191"/>
      <c r="D4" s="191"/>
      <c r="E4" s="192" t="str">
        <f ca="1">"2079/"&amp;"12/"&amp;INT(MID(CELL("filename",G6),FIND("]",CELL("filename",G6))+1,200))</f>
        <v>2079/12/3</v>
      </c>
      <c r="F4" s="192"/>
      <c r="G4" s="192"/>
      <c r="H4" s="192" t="str">
        <f ca="1">TEXT(E4,"dddd")</f>
        <v>Sunday</v>
      </c>
      <c r="I4" s="192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291</v>
      </c>
      <c r="C5" s="30">
        <f t="shared" si="0"/>
        <v>261</v>
      </c>
      <c r="D5" s="30">
        <f t="shared" si="0"/>
        <v>280.3</v>
      </c>
      <c r="E5" s="30">
        <f t="shared" si="0"/>
        <v>291</v>
      </c>
      <c r="F5" s="30">
        <f t="shared" si="0"/>
        <v>295</v>
      </c>
      <c r="G5" s="30">
        <f t="shared" si="0"/>
        <v>254.29999999999998</v>
      </c>
      <c r="H5" s="30">
        <f t="shared" si="0"/>
        <v>256.39999999999998</v>
      </c>
      <c r="I5" s="30">
        <f t="shared" si="0"/>
        <v>277.40000000000003</v>
      </c>
      <c r="J5" s="30">
        <f t="shared" si="0"/>
        <v>277.40000000000003</v>
      </c>
      <c r="K5" s="30">
        <f t="shared" si="0"/>
        <v>336.79999999999995</v>
      </c>
      <c r="L5" s="30">
        <f t="shared" si="0"/>
        <v>351.30000000000007</v>
      </c>
      <c r="M5" s="30">
        <f t="shared" si="0"/>
        <v>396.6</v>
      </c>
      <c r="N5" s="30">
        <f t="shared" si="0"/>
        <v>433</v>
      </c>
      <c r="O5" s="30">
        <f t="shared" si="0"/>
        <v>453.90000000000003</v>
      </c>
      <c r="P5" s="30">
        <f t="shared" si="0"/>
        <v>452.8</v>
      </c>
      <c r="Q5" s="30">
        <f t="shared" si="0"/>
        <v>482.4</v>
      </c>
      <c r="R5" s="30">
        <f t="shared" si="0"/>
        <v>522.4</v>
      </c>
      <c r="S5" s="30">
        <f t="shared" si="0"/>
        <v>472.5</v>
      </c>
      <c r="T5" s="30">
        <f t="shared" si="0"/>
        <v>458</v>
      </c>
      <c r="U5" s="30">
        <f t="shared" si="0"/>
        <v>458.6</v>
      </c>
      <c r="V5" s="30">
        <f t="shared" si="0"/>
        <v>380.7</v>
      </c>
      <c r="W5" s="30">
        <f t="shared" si="0"/>
        <v>297.10000000000002</v>
      </c>
      <c r="X5" s="30">
        <f t="shared" si="0"/>
        <v>432.4</v>
      </c>
      <c r="Y5" s="30">
        <f t="shared" si="0"/>
        <v>403.9</v>
      </c>
      <c r="Z5" s="30">
        <f t="shared" si="0"/>
        <v>269.3</v>
      </c>
      <c r="AA5" s="30">
        <f t="shared" si="0"/>
        <v>269.3</v>
      </c>
      <c r="AB5" s="30">
        <f t="shared" si="0"/>
        <v>335</v>
      </c>
      <c r="AC5" s="30">
        <f t="shared" si="0"/>
        <v>354.20000000000005</v>
      </c>
      <c r="AD5" s="30">
        <f t="shared" si="0"/>
        <v>232.2</v>
      </c>
      <c r="AE5" s="30">
        <f t="shared" si="0"/>
        <v>247</v>
      </c>
      <c r="AF5" s="30">
        <f>B82</f>
        <v>316.2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1438MW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Load=1137</v>
      </c>
      <c r="B7" s="35">
        <f t="shared" ref="B7:AF7" si="1">B89</f>
        <v>1323.74</v>
      </c>
      <c r="C7" s="35">
        <f t="shared" si="1"/>
        <v>1271.7399999999998</v>
      </c>
      <c r="D7" s="35">
        <f t="shared" si="1"/>
        <v>1236.6399999999999</v>
      </c>
      <c r="E7" s="35">
        <f t="shared" si="1"/>
        <v>1242.24</v>
      </c>
      <c r="F7" s="35">
        <f t="shared" si="1"/>
        <v>1261.9399999999998</v>
      </c>
      <c r="G7" s="35">
        <f t="shared" si="1"/>
        <v>1262.3399999999999</v>
      </c>
      <c r="H7" s="35">
        <f t="shared" si="1"/>
        <v>1240.9399999999998</v>
      </c>
      <c r="I7" s="35">
        <f t="shared" si="1"/>
        <v>1263.44</v>
      </c>
      <c r="J7" s="35">
        <f t="shared" si="1"/>
        <v>1346.3400000000001</v>
      </c>
      <c r="K7" s="35">
        <f t="shared" si="1"/>
        <v>1356.3400000000001</v>
      </c>
      <c r="L7" s="35">
        <f t="shared" si="1"/>
        <v>1407.1399999999999</v>
      </c>
      <c r="M7" s="35">
        <f t="shared" si="1"/>
        <v>1414.3400000000001</v>
      </c>
      <c r="N7" s="35">
        <f>N89</f>
        <v>1438.2399999999998</v>
      </c>
      <c r="O7" s="35">
        <f t="shared" si="1"/>
        <v>1492.54</v>
      </c>
      <c r="P7" s="35">
        <f t="shared" si="1"/>
        <v>1463.74</v>
      </c>
      <c r="Q7" s="35">
        <f t="shared" si="1"/>
        <v>1510.9399999999998</v>
      </c>
      <c r="R7" s="35">
        <f t="shared" si="1"/>
        <v>1576.54</v>
      </c>
      <c r="S7" s="35">
        <f t="shared" si="1"/>
        <v>1622.94</v>
      </c>
      <c r="T7" s="35">
        <f t="shared" si="1"/>
        <v>1605.24</v>
      </c>
      <c r="U7" s="35">
        <f t="shared" si="1"/>
        <v>1588.1399999999999</v>
      </c>
      <c r="V7" s="35">
        <f t="shared" si="1"/>
        <v>1422.8400000000001</v>
      </c>
      <c r="W7" s="35">
        <f t="shared" si="1"/>
        <v>1253.54</v>
      </c>
      <c r="X7" s="35">
        <f t="shared" si="1"/>
        <v>1160.94</v>
      </c>
      <c r="Y7" s="35">
        <f t="shared" si="1"/>
        <v>1246.6399999999999</v>
      </c>
      <c r="Z7" s="35">
        <f t="shared" si="1"/>
        <v>1239.94</v>
      </c>
      <c r="AA7" s="35">
        <f t="shared" si="1"/>
        <v>1208.44</v>
      </c>
      <c r="AB7" s="35">
        <f t="shared" si="1"/>
        <v>1185.8399999999999</v>
      </c>
      <c r="AC7" s="35">
        <f t="shared" si="1"/>
        <v>1230.3399999999999</v>
      </c>
      <c r="AD7" s="35">
        <f t="shared" si="1"/>
        <v>1244.8400000000001</v>
      </c>
      <c r="AE7" s="35">
        <f t="shared" si="1"/>
        <v>1136.74</v>
      </c>
      <c r="AF7" s="35">
        <f t="shared" si="1"/>
        <v>1151.54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24</v>
      </c>
      <c r="C11" s="45">
        <v>24</v>
      </c>
      <c r="D11" s="45">
        <v>24</v>
      </c>
      <c r="E11" s="45">
        <v>24</v>
      </c>
      <c r="F11" s="45">
        <v>24</v>
      </c>
      <c r="G11" s="45">
        <v>24</v>
      </c>
      <c r="H11" s="45">
        <v>24</v>
      </c>
      <c r="I11" s="45">
        <v>24</v>
      </c>
      <c r="J11" s="45">
        <v>24</v>
      </c>
      <c r="K11" s="45">
        <v>24</v>
      </c>
      <c r="L11" s="45">
        <v>24</v>
      </c>
      <c r="M11" s="45">
        <v>24</v>
      </c>
      <c r="N11" s="45">
        <v>24</v>
      </c>
      <c r="O11" s="45">
        <v>24</v>
      </c>
      <c r="P11" s="45">
        <v>24</v>
      </c>
      <c r="Q11" s="45">
        <v>24</v>
      </c>
      <c r="R11" s="45">
        <v>24</v>
      </c>
      <c r="S11" s="45">
        <v>24</v>
      </c>
      <c r="T11" s="45">
        <v>24</v>
      </c>
      <c r="U11" s="45">
        <v>24</v>
      </c>
      <c r="V11" s="45">
        <v>24</v>
      </c>
      <c r="W11" s="45">
        <v>24</v>
      </c>
      <c r="X11" s="45">
        <v>24</v>
      </c>
      <c r="Y11" s="45">
        <v>24</v>
      </c>
      <c r="Z11" s="45">
        <v>24</v>
      </c>
      <c r="AA11" s="45">
        <v>24</v>
      </c>
      <c r="AB11" s="45">
        <v>24</v>
      </c>
      <c r="AC11" s="45">
        <v>24</v>
      </c>
      <c r="AD11" s="45">
        <v>26</v>
      </c>
      <c r="AE11" s="45">
        <v>26</v>
      </c>
      <c r="AF11" s="45">
        <v>26</v>
      </c>
      <c r="AG11" s="46">
        <v>86</v>
      </c>
      <c r="AH11" s="47">
        <f t="shared" ref="AH11:AH74" si="2">MAX(B11:AF11)</f>
        <v>26</v>
      </c>
      <c r="AI11" s="48">
        <f t="shared" ref="AI11:AI74" si="3">MIN(B11:AF11)</f>
        <v>24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19.5</v>
      </c>
      <c r="C12" s="45">
        <v>19.5</v>
      </c>
      <c r="D12" s="45">
        <v>19.5</v>
      </c>
      <c r="E12" s="45">
        <v>19.5</v>
      </c>
      <c r="F12" s="45">
        <v>19.5</v>
      </c>
      <c r="G12" s="45">
        <v>19.5</v>
      </c>
      <c r="H12" s="45">
        <v>19.5</v>
      </c>
      <c r="I12" s="45">
        <v>19.5</v>
      </c>
      <c r="J12" s="45">
        <v>19.5</v>
      </c>
      <c r="K12" s="45">
        <v>19.5</v>
      </c>
      <c r="L12" s="45">
        <v>19.5</v>
      </c>
      <c r="M12" s="45">
        <v>19.5</v>
      </c>
      <c r="N12" s="45">
        <v>19.5</v>
      </c>
      <c r="O12" s="45">
        <v>19.5</v>
      </c>
      <c r="P12" s="45">
        <v>19.5</v>
      </c>
      <c r="Q12" s="45">
        <v>19.5</v>
      </c>
      <c r="R12" s="45">
        <v>19.5</v>
      </c>
      <c r="S12" s="45">
        <v>19.5</v>
      </c>
      <c r="T12" s="45">
        <v>19.5</v>
      </c>
      <c r="U12" s="45">
        <v>19.5</v>
      </c>
      <c r="V12" s="45">
        <v>19.5</v>
      </c>
      <c r="W12" s="45">
        <v>19.5</v>
      </c>
      <c r="X12" s="45">
        <v>19.5</v>
      </c>
      <c r="Y12" s="45">
        <v>19.5</v>
      </c>
      <c r="Z12" s="45">
        <v>19.5</v>
      </c>
      <c r="AA12" s="45">
        <v>19.5</v>
      </c>
      <c r="AB12" s="45">
        <v>19.5</v>
      </c>
      <c r="AC12" s="45">
        <v>19.5</v>
      </c>
      <c r="AD12" s="45">
        <v>15.1</v>
      </c>
      <c r="AE12" s="45">
        <v>15.1</v>
      </c>
      <c r="AF12" s="45">
        <v>15.1</v>
      </c>
      <c r="AG12" s="46">
        <v>52.4</v>
      </c>
      <c r="AH12" s="47">
        <f t="shared" si="2"/>
        <v>19.5</v>
      </c>
      <c r="AI12" s="48">
        <f t="shared" si="3"/>
        <v>15.1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50</v>
      </c>
      <c r="C13" s="45">
        <v>50</v>
      </c>
      <c r="D13" s="45">
        <v>50</v>
      </c>
      <c r="E13" s="45">
        <v>50</v>
      </c>
      <c r="F13" s="45">
        <v>50</v>
      </c>
      <c r="G13" s="45">
        <v>50</v>
      </c>
      <c r="H13" s="45">
        <v>50</v>
      </c>
      <c r="I13" s="45">
        <v>50</v>
      </c>
      <c r="J13" s="45">
        <v>50</v>
      </c>
      <c r="K13" s="45">
        <v>50</v>
      </c>
      <c r="L13" s="45">
        <v>50</v>
      </c>
      <c r="M13" s="45">
        <v>50</v>
      </c>
      <c r="N13" s="45">
        <v>50</v>
      </c>
      <c r="O13" s="45">
        <v>50</v>
      </c>
      <c r="P13" s="45">
        <v>50</v>
      </c>
      <c r="Q13" s="45">
        <v>50</v>
      </c>
      <c r="R13" s="45">
        <v>50</v>
      </c>
      <c r="S13" s="45">
        <v>50</v>
      </c>
      <c r="T13" s="45">
        <v>50</v>
      </c>
      <c r="U13" s="45">
        <v>50</v>
      </c>
      <c r="V13" s="45">
        <v>50</v>
      </c>
      <c r="W13" s="45">
        <v>50</v>
      </c>
      <c r="X13" s="45">
        <v>50</v>
      </c>
      <c r="Y13" s="45">
        <v>50</v>
      </c>
      <c r="Z13" s="45">
        <v>50</v>
      </c>
      <c r="AA13" s="45">
        <v>50</v>
      </c>
      <c r="AB13" s="45">
        <v>50</v>
      </c>
      <c r="AC13" s="45">
        <v>50</v>
      </c>
      <c r="AD13" s="45">
        <v>50.2</v>
      </c>
      <c r="AE13" s="45">
        <v>50.2</v>
      </c>
      <c r="AF13" s="45">
        <v>50.2</v>
      </c>
      <c r="AG13" s="50">
        <v>50</v>
      </c>
      <c r="AH13" s="47">
        <f t="shared" si="2"/>
        <v>50.2</v>
      </c>
      <c r="AI13" s="48">
        <f t="shared" si="3"/>
        <v>50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23.5</v>
      </c>
      <c r="C14" s="45">
        <v>23.5</v>
      </c>
      <c r="D14" s="45">
        <v>23.5</v>
      </c>
      <c r="E14" s="45">
        <v>23.5</v>
      </c>
      <c r="F14" s="45">
        <v>23.5</v>
      </c>
      <c r="G14" s="45">
        <v>23.5</v>
      </c>
      <c r="H14" s="45">
        <v>23.5</v>
      </c>
      <c r="I14" s="45">
        <v>23.5</v>
      </c>
      <c r="J14" s="45">
        <v>23.5</v>
      </c>
      <c r="K14" s="45">
        <v>23.5</v>
      </c>
      <c r="L14" s="45">
        <v>23.5</v>
      </c>
      <c r="M14" s="45">
        <v>23.5</v>
      </c>
      <c r="N14" s="45">
        <v>23.5</v>
      </c>
      <c r="O14" s="45">
        <v>23.5</v>
      </c>
      <c r="P14" s="45">
        <v>23.5</v>
      </c>
      <c r="Q14" s="45">
        <v>23.5</v>
      </c>
      <c r="R14" s="45">
        <v>23.5</v>
      </c>
      <c r="S14" s="45">
        <v>23.5</v>
      </c>
      <c r="T14" s="45">
        <v>23.5</v>
      </c>
      <c r="U14" s="45">
        <v>23.5</v>
      </c>
      <c r="V14" s="45">
        <v>23.5</v>
      </c>
      <c r="W14" s="45">
        <v>23.5</v>
      </c>
      <c r="X14" s="45">
        <v>23.5</v>
      </c>
      <c r="Y14" s="45">
        <v>23.5</v>
      </c>
      <c r="Z14" s="45">
        <v>23.5</v>
      </c>
      <c r="AA14" s="45">
        <v>23.5</v>
      </c>
      <c r="AB14" s="45">
        <v>23.5</v>
      </c>
      <c r="AC14" s="45">
        <v>23.5</v>
      </c>
      <c r="AD14" s="45">
        <v>23.8</v>
      </c>
      <c r="AE14" s="45">
        <v>23.8</v>
      </c>
      <c r="AF14" s="45">
        <v>23.8</v>
      </c>
      <c r="AG14" s="50">
        <v>45</v>
      </c>
      <c r="AH14" s="47">
        <f t="shared" si="2"/>
        <v>23.8</v>
      </c>
      <c r="AI14" s="48">
        <f t="shared" si="3"/>
        <v>23.5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20</v>
      </c>
      <c r="C15" s="45">
        <v>20</v>
      </c>
      <c r="D15" s="45">
        <v>20</v>
      </c>
      <c r="E15" s="45">
        <v>20</v>
      </c>
      <c r="F15" s="45">
        <v>20</v>
      </c>
      <c r="G15" s="45">
        <v>20</v>
      </c>
      <c r="H15" s="45">
        <v>20</v>
      </c>
      <c r="I15" s="45">
        <v>20</v>
      </c>
      <c r="J15" s="45">
        <v>20</v>
      </c>
      <c r="K15" s="45">
        <v>20</v>
      </c>
      <c r="L15" s="45">
        <v>20</v>
      </c>
      <c r="M15" s="45">
        <v>20</v>
      </c>
      <c r="N15" s="45">
        <v>20</v>
      </c>
      <c r="O15" s="45">
        <v>20</v>
      </c>
      <c r="P15" s="45">
        <v>20</v>
      </c>
      <c r="Q15" s="45">
        <v>20</v>
      </c>
      <c r="R15" s="45">
        <v>20</v>
      </c>
      <c r="S15" s="45">
        <v>20</v>
      </c>
      <c r="T15" s="45">
        <v>20</v>
      </c>
      <c r="U15" s="45">
        <v>20</v>
      </c>
      <c r="V15" s="45">
        <v>20</v>
      </c>
      <c r="W15" s="45">
        <v>20</v>
      </c>
      <c r="X15" s="45">
        <v>20</v>
      </c>
      <c r="Y15" s="45">
        <v>20</v>
      </c>
      <c r="Z15" s="45">
        <v>20</v>
      </c>
      <c r="AA15" s="45">
        <v>20</v>
      </c>
      <c r="AB15" s="45">
        <v>20</v>
      </c>
      <c r="AC15" s="45">
        <v>20</v>
      </c>
      <c r="AD15" s="45">
        <v>22</v>
      </c>
      <c r="AE15" s="45">
        <v>22</v>
      </c>
      <c r="AF15" s="45">
        <v>22</v>
      </c>
      <c r="AG15" s="50">
        <v>42</v>
      </c>
      <c r="AH15" s="47">
        <f t="shared" si="2"/>
        <v>22</v>
      </c>
      <c r="AI15" s="48">
        <f t="shared" si="3"/>
        <v>20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20</v>
      </c>
      <c r="C16" s="45">
        <v>20</v>
      </c>
      <c r="D16" s="45">
        <v>20</v>
      </c>
      <c r="E16" s="45">
        <v>20</v>
      </c>
      <c r="F16" s="45">
        <v>20</v>
      </c>
      <c r="G16" s="45">
        <v>20</v>
      </c>
      <c r="H16" s="45">
        <v>20</v>
      </c>
      <c r="I16" s="45">
        <v>20</v>
      </c>
      <c r="J16" s="45">
        <v>20</v>
      </c>
      <c r="K16" s="45">
        <v>20</v>
      </c>
      <c r="L16" s="45">
        <v>20</v>
      </c>
      <c r="M16" s="45">
        <v>20</v>
      </c>
      <c r="N16" s="45">
        <v>20</v>
      </c>
      <c r="O16" s="45">
        <v>20</v>
      </c>
      <c r="P16" s="45">
        <v>20</v>
      </c>
      <c r="Q16" s="45">
        <v>20</v>
      </c>
      <c r="R16" s="45">
        <v>20</v>
      </c>
      <c r="S16" s="45">
        <v>20</v>
      </c>
      <c r="T16" s="45">
        <v>20</v>
      </c>
      <c r="U16" s="45">
        <v>20</v>
      </c>
      <c r="V16" s="45">
        <v>20</v>
      </c>
      <c r="W16" s="45">
        <v>20</v>
      </c>
      <c r="X16" s="45">
        <v>20</v>
      </c>
      <c r="Y16" s="45">
        <v>20</v>
      </c>
      <c r="Z16" s="45">
        <v>20</v>
      </c>
      <c r="AA16" s="45">
        <v>20</v>
      </c>
      <c r="AB16" s="45">
        <v>20</v>
      </c>
      <c r="AC16" s="45">
        <v>20</v>
      </c>
      <c r="AD16" s="45">
        <v>22</v>
      </c>
      <c r="AE16" s="45">
        <v>22</v>
      </c>
      <c r="AF16" s="45">
        <v>22</v>
      </c>
      <c r="AG16" s="50">
        <v>36</v>
      </c>
      <c r="AH16" s="47">
        <f t="shared" si="2"/>
        <v>22</v>
      </c>
      <c r="AI16" s="48">
        <f t="shared" si="3"/>
        <v>20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10</v>
      </c>
      <c r="C17" s="45">
        <v>10</v>
      </c>
      <c r="D17" s="45">
        <v>10</v>
      </c>
      <c r="E17" s="45">
        <v>10</v>
      </c>
      <c r="F17" s="45">
        <v>10</v>
      </c>
      <c r="G17" s="45">
        <v>10</v>
      </c>
      <c r="H17" s="45">
        <v>10</v>
      </c>
      <c r="I17" s="45">
        <v>10</v>
      </c>
      <c r="J17" s="45">
        <v>10</v>
      </c>
      <c r="K17" s="45">
        <v>10</v>
      </c>
      <c r="L17" s="45">
        <v>10</v>
      </c>
      <c r="M17" s="45">
        <v>10</v>
      </c>
      <c r="N17" s="45">
        <v>10</v>
      </c>
      <c r="O17" s="45">
        <v>10</v>
      </c>
      <c r="P17" s="45">
        <v>10</v>
      </c>
      <c r="Q17" s="45">
        <v>10</v>
      </c>
      <c r="R17" s="45">
        <v>10</v>
      </c>
      <c r="S17" s="45">
        <v>10</v>
      </c>
      <c r="T17" s="45">
        <v>10</v>
      </c>
      <c r="U17" s="45">
        <v>10</v>
      </c>
      <c r="V17" s="45">
        <v>10</v>
      </c>
      <c r="W17" s="45">
        <v>10</v>
      </c>
      <c r="X17" s="45">
        <v>10</v>
      </c>
      <c r="Y17" s="45">
        <v>10</v>
      </c>
      <c r="Z17" s="45">
        <v>10</v>
      </c>
      <c r="AA17" s="45">
        <v>10</v>
      </c>
      <c r="AB17" s="45">
        <v>10</v>
      </c>
      <c r="AC17" s="45">
        <v>10</v>
      </c>
      <c r="AD17" s="45">
        <v>10</v>
      </c>
      <c r="AE17" s="45">
        <v>10</v>
      </c>
      <c r="AF17" s="45">
        <v>10</v>
      </c>
      <c r="AG17" s="50">
        <v>36</v>
      </c>
      <c r="AH17" s="47">
        <f t="shared" si="2"/>
        <v>10</v>
      </c>
      <c r="AI17" s="48">
        <f t="shared" si="3"/>
        <v>10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30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8.6999999999999993</v>
      </c>
      <c r="C19" s="45">
        <v>8.6999999999999993</v>
      </c>
      <c r="D19" s="45">
        <v>8.6999999999999993</v>
      </c>
      <c r="E19" s="45">
        <v>8.6999999999999993</v>
      </c>
      <c r="F19" s="45">
        <v>8.6999999999999993</v>
      </c>
      <c r="G19" s="45">
        <v>8.6999999999999993</v>
      </c>
      <c r="H19" s="45">
        <v>8.6999999999999993</v>
      </c>
      <c r="I19" s="45">
        <v>8.6999999999999993</v>
      </c>
      <c r="J19" s="45">
        <v>8.6999999999999993</v>
      </c>
      <c r="K19" s="45">
        <v>8.6999999999999993</v>
      </c>
      <c r="L19" s="45">
        <v>8.6999999999999993</v>
      </c>
      <c r="M19" s="45">
        <v>8.6999999999999993</v>
      </c>
      <c r="N19" s="45">
        <v>8.6999999999999993</v>
      </c>
      <c r="O19" s="45">
        <v>8.6999999999999993</v>
      </c>
      <c r="P19" s="45">
        <v>8.6999999999999993</v>
      </c>
      <c r="Q19" s="45">
        <v>8.6999999999999993</v>
      </c>
      <c r="R19" s="45">
        <v>8.6999999999999993</v>
      </c>
      <c r="S19" s="45">
        <v>8.6999999999999993</v>
      </c>
      <c r="T19" s="45">
        <v>8.6999999999999993</v>
      </c>
      <c r="U19" s="45">
        <v>8.6999999999999993</v>
      </c>
      <c r="V19" s="45">
        <v>8.6999999999999993</v>
      </c>
      <c r="W19" s="45">
        <v>8.6999999999999993</v>
      </c>
      <c r="X19" s="45">
        <v>8.6999999999999993</v>
      </c>
      <c r="Y19" s="45">
        <v>8.6999999999999993</v>
      </c>
      <c r="Z19" s="45">
        <v>8.6999999999999993</v>
      </c>
      <c r="AA19" s="45">
        <v>8.6999999999999993</v>
      </c>
      <c r="AB19" s="45">
        <v>8.6999999999999993</v>
      </c>
      <c r="AC19" s="45">
        <v>8.6999999999999993</v>
      </c>
      <c r="AD19" s="45">
        <v>8.6999999999999993</v>
      </c>
      <c r="AE19" s="45">
        <v>8.6999999999999993</v>
      </c>
      <c r="AF19" s="45">
        <v>8.6999999999999993</v>
      </c>
      <c r="AG19" s="50">
        <v>24.2</v>
      </c>
      <c r="AH19" s="47">
        <f t="shared" si="2"/>
        <v>8.6999999999999993</v>
      </c>
      <c r="AI19" s="48">
        <f t="shared" si="3"/>
        <v>8.6999999999999993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</v>
      </c>
      <c r="C20" s="45">
        <v>9</v>
      </c>
      <c r="D20" s="45">
        <v>9</v>
      </c>
      <c r="E20" s="45">
        <v>9</v>
      </c>
      <c r="F20" s="45">
        <v>9</v>
      </c>
      <c r="G20" s="45">
        <v>9</v>
      </c>
      <c r="H20" s="45">
        <v>9</v>
      </c>
      <c r="I20" s="45">
        <v>9</v>
      </c>
      <c r="J20" s="45">
        <v>9</v>
      </c>
      <c r="K20" s="45">
        <v>9</v>
      </c>
      <c r="L20" s="45">
        <v>9</v>
      </c>
      <c r="M20" s="45">
        <v>9</v>
      </c>
      <c r="N20" s="45">
        <v>9</v>
      </c>
      <c r="O20" s="45">
        <v>9</v>
      </c>
      <c r="P20" s="45">
        <v>9</v>
      </c>
      <c r="Q20" s="45">
        <v>9</v>
      </c>
      <c r="R20" s="45">
        <v>9</v>
      </c>
      <c r="S20" s="45">
        <v>9</v>
      </c>
      <c r="T20" s="45">
        <v>9</v>
      </c>
      <c r="U20" s="45">
        <v>9</v>
      </c>
      <c r="V20" s="45">
        <v>9</v>
      </c>
      <c r="W20" s="45">
        <v>9</v>
      </c>
      <c r="X20" s="45">
        <v>9</v>
      </c>
      <c r="Y20" s="45">
        <v>9</v>
      </c>
      <c r="Z20" s="45">
        <v>9</v>
      </c>
      <c r="AA20" s="45">
        <v>9</v>
      </c>
      <c r="AB20" s="45">
        <v>9</v>
      </c>
      <c r="AC20" s="45">
        <v>9</v>
      </c>
      <c r="AD20" s="45">
        <v>9</v>
      </c>
      <c r="AE20" s="45">
        <v>9</v>
      </c>
      <c r="AF20" s="45">
        <v>9</v>
      </c>
      <c r="AG20" s="50">
        <v>28</v>
      </c>
      <c r="AH20" s="47">
        <f t="shared" si="2"/>
        <v>9</v>
      </c>
      <c r="AI20" s="48">
        <f t="shared" si="3"/>
        <v>9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30</v>
      </c>
      <c r="AH21" s="47">
        <f t="shared" si="2"/>
        <v>14</v>
      </c>
      <c r="AI21" s="48">
        <f t="shared" si="3"/>
        <v>14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13.1</v>
      </c>
      <c r="C22" s="45">
        <v>13.1</v>
      </c>
      <c r="D22" s="45">
        <v>13.1</v>
      </c>
      <c r="E22" s="45">
        <v>13.1</v>
      </c>
      <c r="F22" s="45">
        <v>13.1</v>
      </c>
      <c r="G22" s="45">
        <v>13.1</v>
      </c>
      <c r="H22" s="45">
        <v>13.1</v>
      </c>
      <c r="I22" s="45">
        <v>13.1</v>
      </c>
      <c r="J22" s="45">
        <v>13.1</v>
      </c>
      <c r="K22" s="45">
        <v>13.1</v>
      </c>
      <c r="L22" s="45">
        <v>13.1</v>
      </c>
      <c r="M22" s="45">
        <v>13.1</v>
      </c>
      <c r="N22" s="45">
        <v>13.1</v>
      </c>
      <c r="O22" s="45">
        <v>13.1</v>
      </c>
      <c r="P22" s="45">
        <v>13.1</v>
      </c>
      <c r="Q22" s="45">
        <v>13.1</v>
      </c>
      <c r="R22" s="45">
        <v>13.1</v>
      </c>
      <c r="S22" s="45">
        <v>13.1</v>
      </c>
      <c r="T22" s="45">
        <v>13.1</v>
      </c>
      <c r="U22" s="45">
        <v>13.1</v>
      </c>
      <c r="V22" s="45">
        <v>13.1</v>
      </c>
      <c r="W22" s="45">
        <v>13.1</v>
      </c>
      <c r="X22" s="45">
        <v>13.1</v>
      </c>
      <c r="Y22" s="45">
        <v>13.1</v>
      </c>
      <c r="Z22" s="45">
        <v>13.1</v>
      </c>
      <c r="AA22" s="45">
        <v>13.1</v>
      </c>
      <c r="AB22" s="45">
        <v>13.1</v>
      </c>
      <c r="AC22" s="45">
        <v>13.1</v>
      </c>
      <c r="AD22" s="45">
        <v>13.1</v>
      </c>
      <c r="AE22" s="45">
        <v>13.1</v>
      </c>
      <c r="AF22" s="45">
        <v>13.1</v>
      </c>
      <c r="AG22" s="50">
        <v>25</v>
      </c>
      <c r="AH22" s="47">
        <f t="shared" si="2"/>
        <v>13.1</v>
      </c>
      <c r="AI22" s="48">
        <f t="shared" si="3"/>
        <v>13.1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8.5</v>
      </c>
      <c r="C23" s="45">
        <v>8.5</v>
      </c>
      <c r="D23" s="45">
        <v>8.5</v>
      </c>
      <c r="E23" s="45">
        <v>8.5</v>
      </c>
      <c r="F23" s="45">
        <v>8.5</v>
      </c>
      <c r="G23" s="45">
        <v>8.5</v>
      </c>
      <c r="H23" s="45">
        <v>8.5</v>
      </c>
      <c r="I23" s="45">
        <v>8.5</v>
      </c>
      <c r="J23" s="45">
        <v>8.5</v>
      </c>
      <c r="K23" s="45">
        <v>8.5</v>
      </c>
      <c r="L23" s="45">
        <v>8.5</v>
      </c>
      <c r="M23" s="45">
        <v>8.5</v>
      </c>
      <c r="N23" s="45">
        <v>8.5</v>
      </c>
      <c r="O23" s="45">
        <v>8.5</v>
      </c>
      <c r="P23" s="45">
        <v>8.5</v>
      </c>
      <c r="Q23" s="45">
        <v>8.5</v>
      </c>
      <c r="R23" s="45">
        <v>0</v>
      </c>
      <c r="S23" s="45">
        <v>0</v>
      </c>
      <c r="T23" s="45">
        <v>8.5</v>
      </c>
      <c r="U23" s="45">
        <v>8.5</v>
      </c>
      <c r="V23" s="45">
        <v>8.5</v>
      </c>
      <c r="W23" s="45">
        <v>8.5</v>
      </c>
      <c r="X23" s="45">
        <v>8.5</v>
      </c>
      <c r="Y23" s="45">
        <v>8.5</v>
      </c>
      <c r="Z23" s="45">
        <v>8.5</v>
      </c>
      <c r="AA23" s="45">
        <v>8.5</v>
      </c>
      <c r="AB23" s="45">
        <v>8.5</v>
      </c>
      <c r="AC23" s="45">
        <v>8.5</v>
      </c>
      <c r="AD23" s="45">
        <v>8.5</v>
      </c>
      <c r="AE23" s="45">
        <v>8.5</v>
      </c>
      <c r="AF23" s="45">
        <v>8.5</v>
      </c>
      <c r="AG23" s="50">
        <v>25</v>
      </c>
      <c r="AH23" s="47">
        <f t="shared" si="2"/>
        <v>8.5</v>
      </c>
      <c r="AI23" s="48">
        <f t="shared" si="3"/>
        <v>0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12</v>
      </c>
      <c r="C25" s="45">
        <v>12</v>
      </c>
      <c r="D25" s="45">
        <v>12</v>
      </c>
      <c r="E25" s="45">
        <v>12</v>
      </c>
      <c r="F25" s="45">
        <v>12</v>
      </c>
      <c r="G25" s="45">
        <v>12</v>
      </c>
      <c r="H25" s="45">
        <v>12</v>
      </c>
      <c r="I25" s="45">
        <v>12</v>
      </c>
      <c r="J25" s="45">
        <v>12</v>
      </c>
      <c r="K25" s="45">
        <v>12</v>
      </c>
      <c r="L25" s="45">
        <v>12</v>
      </c>
      <c r="M25" s="45">
        <v>12</v>
      </c>
      <c r="N25" s="45">
        <v>12</v>
      </c>
      <c r="O25" s="45">
        <v>12</v>
      </c>
      <c r="P25" s="45">
        <v>12</v>
      </c>
      <c r="Q25" s="45">
        <v>12</v>
      </c>
      <c r="R25" s="45">
        <v>12</v>
      </c>
      <c r="S25" s="45">
        <v>12</v>
      </c>
      <c r="T25" s="45">
        <v>12</v>
      </c>
      <c r="U25" s="45">
        <v>12</v>
      </c>
      <c r="V25" s="45">
        <v>12</v>
      </c>
      <c r="W25" s="45">
        <v>12</v>
      </c>
      <c r="X25" s="45">
        <v>12</v>
      </c>
      <c r="Y25" s="45">
        <v>12</v>
      </c>
      <c r="Z25" s="45">
        <v>12</v>
      </c>
      <c r="AA25" s="45">
        <v>12</v>
      </c>
      <c r="AB25" s="45">
        <v>12</v>
      </c>
      <c r="AC25" s="45">
        <v>12</v>
      </c>
      <c r="AD25" s="45">
        <v>12</v>
      </c>
      <c r="AE25" s="45">
        <v>12</v>
      </c>
      <c r="AF25" s="45">
        <v>12</v>
      </c>
      <c r="AG25" s="50">
        <v>25</v>
      </c>
      <c r="AH25" s="47">
        <f t="shared" si="2"/>
        <v>12</v>
      </c>
      <c r="AI25" s="48">
        <f t="shared" si="3"/>
        <v>12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6</v>
      </c>
      <c r="C26" s="45">
        <v>6</v>
      </c>
      <c r="D26" s="45">
        <v>6</v>
      </c>
      <c r="E26" s="45">
        <v>6</v>
      </c>
      <c r="F26" s="45">
        <v>6</v>
      </c>
      <c r="G26" s="45">
        <v>6</v>
      </c>
      <c r="H26" s="45">
        <v>6</v>
      </c>
      <c r="I26" s="45">
        <v>6</v>
      </c>
      <c r="J26" s="45">
        <v>6</v>
      </c>
      <c r="K26" s="45">
        <v>6</v>
      </c>
      <c r="L26" s="45">
        <v>6</v>
      </c>
      <c r="M26" s="45">
        <v>6</v>
      </c>
      <c r="N26" s="45">
        <v>6</v>
      </c>
      <c r="O26" s="45">
        <v>6</v>
      </c>
      <c r="P26" s="45">
        <v>6</v>
      </c>
      <c r="Q26" s="45">
        <v>6</v>
      </c>
      <c r="R26" s="45">
        <v>6</v>
      </c>
      <c r="S26" s="45">
        <v>6</v>
      </c>
      <c r="T26" s="45">
        <v>6</v>
      </c>
      <c r="U26" s="45">
        <v>6</v>
      </c>
      <c r="V26" s="45">
        <v>6</v>
      </c>
      <c r="W26" s="45">
        <v>6</v>
      </c>
      <c r="X26" s="45">
        <v>6</v>
      </c>
      <c r="Y26" s="45">
        <v>6</v>
      </c>
      <c r="Z26" s="45">
        <v>6</v>
      </c>
      <c r="AA26" s="45">
        <v>6</v>
      </c>
      <c r="AB26" s="45">
        <v>6</v>
      </c>
      <c r="AC26" s="45">
        <v>6</v>
      </c>
      <c r="AD26" s="45">
        <v>6</v>
      </c>
      <c r="AE26" s="45">
        <v>6</v>
      </c>
      <c r="AF26" s="45">
        <v>6</v>
      </c>
      <c r="AG26" s="50">
        <v>23.5</v>
      </c>
      <c r="AH26" s="47">
        <f t="shared" si="2"/>
        <v>6</v>
      </c>
      <c r="AI26" s="48">
        <f t="shared" si="3"/>
        <v>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>
        <v>3</v>
      </c>
      <c r="Y27" s="45">
        <v>3</v>
      </c>
      <c r="Z27" s="45">
        <v>3</v>
      </c>
      <c r="AA27" s="45">
        <v>3</v>
      </c>
      <c r="AB27" s="45">
        <v>3</v>
      </c>
      <c r="AC27" s="45">
        <v>3</v>
      </c>
      <c r="AD27" s="45">
        <v>3</v>
      </c>
      <c r="AE27" s="45">
        <v>3</v>
      </c>
      <c r="AF27" s="45">
        <v>3</v>
      </c>
      <c r="AG27" s="50">
        <v>22.2</v>
      </c>
      <c r="AH27" s="47">
        <f t="shared" si="2"/>
        <v>3</v>
      </c>
      <c r="AI27" s="48">
        <f t="shared" si="3"/>
        <v>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0">
        <v>22.1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18</v>
      </c>
      <c r="C30" s="45">
        <v>18</v>
      </c>
      <c r="D30" s="45">
        <v>18</v>
      </c>
      <c r="E30" s="45">
        <v>18</v>
      </c>
      <c r="F30" s="45">
        <v>18</v>
      </c>
      <c r="G30" s="45">
        <v>18</v>
      </c>
      <c r="H30" s="45">
        <v>18</v>
      </c>
      <c r="I30" s="45">
        <v>18</v>
      </c>
      <c r="J30" s="45">
        <v>18</v>
      </c>
      <c r="K30" s="45">
        <v>18</v>
      </c>
      <c r="L30" s="45">
        <v>18</v>
      </c>
      <c r="M30" s="45">
        <v>18</v>
      </c>
      <c r="N30" s="45">
        <v>18</v>
      </c>
      <c r="O30" s="45">
        <v>18</v>
      </c>
      <c r="P30" s="45">
        <v>18</v>
      </c>
      <c r="Q30" s="45">
        <v>18</v>
      </c>
      <c r="R30" s="45">
        <v>18</v>
      </c>
      <c r="S30" s="45">
        <v>18</v>
      </c>
      <c r="T30" s="45">
        <v>18</v>
      </c>
      <c r="U30" s="45">
        <v>18</v>
      </c>
      <c r="V30" s="45">
        <v>18</v>
      </c>
      <c r="W30" s="45">
        <v>18</v>
      </c>
      <c r="X30" s="45">
        <v>18</v>
      </c>
      <c r="Y30" s="45">
        <v>18</v>
      </c>
      <c r="Z30" s="45">
        <v>18</v>
      </c>
      <c r="AA30" s="45">
        <v>18</v>
      </c>
      <c r="AB30" s="45">
        <v>18</v>
      </c>
      <c r="AC30" s="45">
        <v>18</v>
      </c>
      <c r="AD30" s="45">
        <v>18</v>
      </c>
      <c r="AE30" s="45">
        <v>18</v>
      </c>
      <c r="AF30" s="45">
        <v>18</v>
      </c>
      <c r="AG30" s="50">
        <v>22</v>
      </c>
      <c r="AH30" s="47">
        <f t="shared" si="2"/>
        <v>18</v>
      </c>
      <c r="AI30" s="48">
        <f t="shared" si="3"/>
        <v>18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50">
        <v>20</v>
      </c>
      <c r="AH31" s="47">
        <f t="shared" si="2"/>
        <v>10</v>
      </c>
      <c r="AI31" s="48">
        <f t="shared" si="3"/>
        <v>10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50">
        <v>18</v>
      </c>
      <c r="AH32" s="47">
        <f t="shared" si="2"/>
        <v>8</v>
      </c>
      <c r="AI32" s="48">
        <f t="shared" si="3"/>
        <v>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2</v>
      </c>
      <c r="C35" s="45">
        <v>2</v>
      </c>
      <c r="D35" s="45">
        <v>2</v>
      </c>
      <c r="E35" s="45">
        <v>2</v>
      </c>
      <c r="F35" s="45">
        <v>2</v>
      </c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>
        <v>2</v>
      </c>
      <c r="Q35" s="45">
        <v>2</v>
      </c>
      <c r="R35" s="45">
        <v>2</v>
      </c>
      <c r="S35" s="45">
        <v>2</v>
      </c>
      <c r="T35" s="45">
        <v>2</v>
      </c>
      <c r="U35" s="45">
        <v>2</v>
      </c>
      <c r="V35" s="45">
        <v>2</v>
      </c>
      <c r="W35" s="45">
        <v>2</v>
      </c>
      <c r="X35" s="45">
        <v>2</v>
      </c>
      <c r="Y35" s="45">
        <v>2</v>
      </c>
      <c r="Z35" s="45">
        <v>2</v>
      </c>
      <c r="AA35" s="45">
        <v>2</v>
      </c>
      <c r="AB35" s="45">
        <v>2</v>
      </c>
      <c r="AC35" s="45">
        <v>2</v>
      </c>
      <c r="AD35" s="45">
        <v>2</v>
      </c>
      <c r="AE35" s="45">
        <v>2</v>
      </c>
      <c r="AF35" s="45">
        <v>2</v>
      </c>
      <c r="AG35" s="50">
        <v>13.6</v>
      </c>
      <c r="AH35" s="47">
        <f t="shared" si="2"/>
        <v>2</v>
      </c>
      <c r="AI35" s="48">
        <f t="shared" si="3"/>
        <v>2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3</v>
      </c>
      <c r="C36" s="45">
        <v>3</v>
      </c>
      <c r="D36" s="45">
        <v>3</v>
      </c>
      <c r="E36" s="45">
        <v>3</v>
      </c>
      <c r="F36" s="45">
        <v>3</v>
      </c>
      <c r="G36" s="45">
        <v>3</v>
      </c>
      <c r="H36" s="45">
        <v>3</v>
      </c>
      <c r="I36" s="45">
        <v>3</v>
      </c>
      <c r="J36" s="45">
        <v>3</v>
      </c>
      <c r="K36" s="45">
        <v>3</v>
      </c>
      <c r="L36" s="45">
        <v>3</v>
      </c>
      <c r="M36" s="45">
        <v>3</v>
      </c>
      <c r="N36" s="45">
        <v>3</v>
      </c>
      <c r="O36" s="45">
        <v>3</v>
      </c>
      <c r="P36" s="45">
        <v>3</v>
      </c>
      <c r="Q36" s="45">
        <v>3</v>
      </c>
      <c r="R36" s="45">
        <v>3</v>
      </c>
      <c r="S36" s="45">
        <v>3</v>
      </c>
      <c r="T36" s="45">
        <v>3</v>
      </c>
      <c r="U36" s="45">
        <v>3</v>
      </c>
      <c r="V36" s="45">
        <v>3</v>
      </c>
      <c r="W36" s="45">
        <v>3</v>
      </c>
      <c r="X36" s="45">
        <v>3</v>
      </c>
      <c r="Y36" s="45">
        <v>3</v>
      </c>
      <c r="Z36" s="45">
        <v>3</v>
      </c>
      <c r="AA36" s="45">
        <v>3</v>
      </c>
      <c r="AB36" s="45">
        <v>3</v>
      </c>
      <c r="AC36" s="45">
        <v>3</v>
      </c>
      <c r="AD36" s="45">
        <v>3</v>
      </c>
      <c r="AE36" s="45">
        <v>3</v>
      </c>
      <c r="AF36" s="45">
        <v>3</v>
      </c>
      <c r="AG36" s="50">
        <v>13</v>
      </c>
      <c r="AH36" s="47">
        <f t="shared" si="2"/>
        <v>3</v>
      </c>
      <c r="AI36" s="48">
        <f t="shared" si="3"/>
        <v>3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0">
        <v>12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4</v>
      </c>
      <c r="C38" s="45">
        <v>4</v>
      </c>
      <c r="D38" s="45">
        <v>4</v>
      </c>
      <c r="E38" s="45">
        <v>4</v>
      </c>
      <c r="F38" s="45">
        <v>4</v>
      </c>
      <c r="G38" s="45">
        <v>4</v>
      </c>
      <c r="H38" s="45">
        <v>4</v>
      </c>
      <c r="I38" s="45">
        <v>4</v>
      </c>
      <c r="J38" s="45">
        <v>4</v>
      </c>
      <c r="K38" s="45">
        <v>4</v>
      </c>
      <c r="L38" s="45">
        <v>4</v>
      </c>
      <c r="M38" s="45">
        <v>4</v>
      </c>
      <c r="N38" s="45">
        <v>4</v>
      </c>
      <c r="O38" s="45">
        <v>4</v>
      </c>
      <c r="P38" s="45">
        <v>4</v>
      </c>
      <c r="Q38" s="45">
        <v>4</v>
      </c>
      <c r="R38" s="45">
        <v>4</v>
      </c>
      <c r="S38" s="45">
        <v>4</v>
      </c>
      <c r="T38" s="45">
        <v>4</v>
      </c>
      <c r="U38" s="45">
        <v>4</v>
      </c>
      <c r="V38" s="45">
        <v>4</v>
      </c>
      <c r="W38" s="45">
        <v>4</v>
      </c>
      <c r="X38" s="45">
        <v>4</v>
      </c>
      <c r="Y38" s="45">
        <v>4</v>
      </c>
      <c r="Z38" s="45">
        <v>4</v>
      </c>
      <c r="AA38" s="45">
        <v>4</v>
      </c>
      <c r="AB38" s="45">
        <v>4</v>
      </c>
      <c r="AC38" s="45">
        <v>4</v>
      </c>
      <c r="AD38" s="45">
        <v>4</v>
      </c>
      <c r="AE38" s="45">
        <v>4</v>
      </c>
      <c r="AF38" s="45">
        <v>4</v>
      </c>
      <c r="AG38" s="50">
        <v>12</v>
      </c>
      <c r="AH38" s="47">
        <f t="shared" si="2"/>
        <v>4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>
        <v>3</v>
      </c>
      <c r="AB39" s="45">
        <v>3</v>
      </c>
      <c r="AC39" s="45">
        <v>3</v>
      </c>
      <c r="AD39" s="45">
        <v>3</v>
      </c>
      <c r="AE39" s="45">
        <v>3</v>
      </c>
      <c r="AF39" s="45">
        <v>3</v>
      </c>
      <c r="AG39" s="50">
        <v>12</v>
      </c>
      <c r="AH39" s="47">
        <f t="shared" si="2"/>
        <v>3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52">
        <v>22</v>
      </c>
      <c r="AH40" s="47">
        <f t="shared" si="2"/>
        <v>2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>
        <v>3.6</v>
      </c>
      <c r="Q41" s="45">
        <v>3.6</v>
      </c>
      <c r="R41" s="45">
        <v>3.6</v>
      </c>
      <c r="S41" s="45">
        <v>3.6</v>
      </c>
      <c r="T41" s="45">
        <v>3.6</v>
      </c>
      <c r="U41" s="45">
        <v>3.6</v>
      </c>
      <c r="V41" s="45">
        <v>3.6</v>
      </c>
      <c r="W41" s="45">
        <v>3.6</v>
      </c>
      <c r="X41" s="45">
        <v>3.6</v>
      </c>
      <c r="Y41" s="45">
        <v>3.6</v>
      </c>
      <c r="Z41" s="45">
        <v>3.6</v>
      </c>
      <c r="AA41" s="45">
        <v>3.6</v>
      </c>
      <c r="AB41" s="45">
        <v>3.6</v>
      </c>
      <c r="AC41" s="45">
        <v>3.6</v>
      </c>
      <c r="AD41" s="45">
        <v>3.6</v>
      </c>
      <c r="AE41" s="45">
        <v>3.6</v>
      </c>
      <c r="AF41" s="45">
        <v>3.6</v>
      </c>
      <c r="AG41" s="51">
        <v>11.88</v>
      </c>
      <c r="AH41" s="47">
        <f t="shared" si="2"/>
        <v>3.6</v>
      </c>
      <c r="AI41" s="48">
        <f t="shared" si="3"/>
        <v>3.6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3</v>
      </c>
      <c r="C43" s="45">
        <v>3</v>
      </c>
      <c r="D43" s="45">
        <v>3</v>
      </c>
      <c r="E43" s="45">
        <v>3</v>
      </c>
      <c r="F43" s="45">
        <v>3</v>
      </c>
      <c r="G43" s="45">
        <v>3</v>
      </c>
      <c r="H43" s="45">
        <v>3</v>
      </c>
      <c r="I43" s="45">
        <v>3</v>
      </c>
      <c r="J43" s="45">
        <v>3</v>
      </c>
      <c r="K43" s="45">
        <v>3</v>
      </c>
      <c r="L43" s="45">
        <v>3</v>
      </c>
      <c r="M43" s="45">
        <v>3</v>
      </c>
      <c r="N43" s="45">
        <v>3</v>
      </c>
      <c r="O43" s="45">
        <v>3</v>
      </c>
      <c r="P43" s="45">
        <v>3</v>
      </c>
      <c r="Q43" s="45">
        <v>3</v>
      </c>
      <c r="R43" s="45">
        <v>3</v>
      </c>
      <c r="S43" s="45">
        <v>3</v>
      </c>
      <c r="T43" s="45">
        <v>3</v>
      </c>
      <c r="U43" s="45">
        <v>3</v>
      </c>
      <c r="V43" s="45">
        <v>3</v>
      </c>
      <c r="W43" s="45">
        <v>3</v>
      </c>
      <c r="X43" s="45">
        <v>3</v>
      </c>
      <c r="Y43" s="45">
        <v>3</v>
      </c>
      <c r="Z43" s="45">
        <v>3</v>
      </c>
      <c r="AA43" s="45">
        <v>3</v>
      </c>
      <c r="AB43" s="45">
        <v>3</v>
      </c>
      <c r="AC43" s="45">
        <v>3</v>
      </c>
      <c r="AD43" s="45">
        <v>3</v>
      </c>
      <c r="AE43" s="45">
        <v>3</v>
      </c>
      <c r="AF43" s="45">
        <v>3</v>
      </c>
      <c r="AG43" s="54">
        <v>10</v>
      </c>
      <c r="AH43" s="47">
        <f t="shared" si="2"/>
        <v>3</v>
      </c>
      <c r="AI43" s="48">
        <f t="shared" si="3"/>
        <v>3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>
        <v>3</v>
      </c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>
        <v>3</v>
      </c>
      <c r="Y44" s="45">
        <v>3</v>
      </c>
      <c r="Z44" s="45">
        <v>3</v>
      </c>
      <c r="AA44" s="45">
        <v>3</v>
      </c>
      <c r="AB44" s="45">
        <v>3</v>
      </c>
      <c r="AC44" s="45">
        <v>3</v>
      </c>
      <c r="AD44" s="45">
        <v>3</v>
      </c>
      <c r="AE44" s="45">
        <v>3</v>
      </c>
      <c r="AF44" s="45">
        <v>3</v>
      </c>
      <c r="AG44" s="54">
        <v>10</v>
      </c>
      <c r="AH44" s="47">
        <f t="shared" si="2"/>
        <v>3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150</v>
      </c>
      <c r="C46" s="56">
        <v>150</v>
      </c>
      <c r="D46" s="56">
        <v>150</v>
      </c>
      <c r="E46" s="56">
        <v>150</v>
      </c>
      <c r="F46" s="56">
        <v>150</v>
      </c>
      <c r="G46" s="56">
        <v>150</v>
      </c>
      <c r="H46" s="56">
        <v>150</v>
      </c>
      <c r="I46" s="56">
        <v>150</v>
      </c>
      <c r="J46" s="56">
        <v>150</v>
      </c>
      <c r="K46" s="56">
        <v>150</v>
      </c>
      <c r="L46" s="56">
        <v>150</v>
      </c>
      <c r="M46" s="56">
        <v>150</v>
      </c>
      <c r="N46" s="56">
        <v>150</v>
      </c>
      <c r="O46" s="56">
        <v>150</v>
      </c>
      <c r="P46" s="56">
        <v>150</v>
      </c>
      <c r="Q46" s="56">
        <v>150</v>
      </c>
      <c r="R46" s="56">
        <v>150</v>
      </c>
      <c r="S46" s="56">
        <v>150</v>
      </c>
      <c r="T46" s="56">
        <v>150</v>
      </c>
      <c r="U46" s="56">
        <v>150</v>
      </c>
      <c r="V46" s="56">
        <v>150</v>
      </c>
      <c r="W46" s="56">
        <v>150</v>
      </c>
      <c r="X46" s="56">
        <v>150</v>
      </c>
      <c r="Y46" s="56">
        <v>150</v>
      </c>
      <c r="Z46" s="56">
        <v>150</v>
      </c>
      <c r="AA46" s="56">
        <v>150</v>
      </c>
      <c r="AB46" s="56">
        <v>150</v>
      </c>
      <c r="AC46" s="56">
        <v>150</v>
      </c>
      <c r="AD46" s="56">
        <v>150</v>
      </c>
      <c r="AE46" s="56">
        <v>150</v>
      </c>
      <c r="AF46" s="56">
        <v>150</v>
      </c>
      <c r="AG46" s="54">
        <v>85</v>
      </c>
      <c r="AH46" s="47">
        <f t="shared" si="2"/>
        <v>150</v>
      </c>
      <c r="AI46" s="48">
        <f t="shared" si="3"/>
        <v>150</v>
      </c>
      <c r="AK46" s="49"/>
    </row>
    <row r="47" spans="1:88" ht="15.75" thickBot="1" x14ac:dyDescent="0.3">
      <c r="A47" s="57" t="s">
        <v>55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56</v>
      </c>
      <c r="B48" s="60">
        <f>SUM(B11:B46)</f>
        <v>500.59999999999997</v>
      </c>
      <c r="C48" s="60">
        <f t="shared" ref="C48:AF48" si="4">SUM(C11:C46)</f>
        <v>500.59999999999997</v>
      </c>
      <c r="D48" s="60">
        <f t="shared" si="4"/>
        <v>500.59999999999997</v>
      </c>
      <c r="E48" s="60">
        <f t="shared" si="4"/>
        <v>500.59999999999997</v>
      </c>
      <c r="F48" s="60">
        <f t="shared" si="4"/>
        <v>500.59999999999997</v>
      </c>
      <c r="G48" s="60">
        <f t="shared" si="4"/>
        <v>500.59999999999997</v>
      </c>
      <c r="H48" s="60">
        <f t="shared" si="4"/>
        <v>500.59999999999997</v>
      </c>
      <c r="I48" s="60">
        <f t="shared" si="4"/>
        <v>500.59999999999997</v>
      </c>
      <c r="J48" s="60">
        <f t="shared" si="4"/>
        <v>500.59999999999997</v>
      </c>
      <c r="K48" s="60">
        <f t="shared" si="4"/>
        <v>500.59999999999997</v>
      </c>
      <c r="L48" s="60">
        <f t="shared" si="4"/>
        <v>500.59999999999997</v>
      </c>
      <c r="M48" s="60">
        <f t="shared" si="4"/>
        <v>500.59999999999997</v>
      </c>
      <c r="N48" s="60">
        <f t="shared" si="4"/>
        <v>500.59999999999997</v>
      </c>
      <c r="O48" s="60">
        <f t="shared" si="4"/>
        <v>500.59999999999997</v>
      </c>
      <c r="P48" s="60">
        <f t="shared" si="4"/>
        <v>500.59999999999997</v>
      </c>
      <c r="Q48" s="60">
        <f t="shared" si="4"/>
        <v>500.59999999999997</v>
      </c>
      <c r="R48" s="60">
        <f t="shared" si="4"/>
        <v>492.09999999999997</v>
      </c>
      <c r="S48" s="60">
        <f t="shared" si="4"/>
        <v>492.09999999999997</v>
      </c>
      <c r="T48" s="60">
        <f t="shared" si="4"/>
        <v>500.59999999999997</v>
      </c>
      <c r="U48" s="60">
        <f t="shared" si="4"/>
        <v>500.59999999999997</v>
      </c>
      <c r="V48" s="60">
        <f t="shared" si="4"/>
        <v>500.59999999999997</v>
      </c>
      <c r="W48" s="60">
        <f t="shared" si="4"/>
        <v>500.59999999999997</v>
      </c>
      <c r="X48" s="60">
        <f t="shared" si="4"/>
        <v>500.59999999999997</v>
      </c>
      <c r="Y48" s="60">
        <f t="shared" si="4"/>
        <v>500.59999999999997</v>
      </c>
      <c r="Z48" s="60">
        <f t="shared" si="4"/>
        <v>500.59999999999997</v>
      </c>
      <c r="AA48" s="60">
        <f t="shared" si="4"/>
        <v>500.59999999999997</v>
      </c>
      <c r="AB48" s="60">
        <f t="shared" si="4"/>
        <v>500.59999999999997</v>
      </c>
      <c r="AC48" s="60">
        <f t="shared" si="4"/>
        <v>500.59999999999997</v>
      </c>
      <c r="AD48" s="60">
        <f t="shared" si="4"/>
        <v>502.7</v>
      </c>
      <c r="AE48" s="60">
        <f t="shared" si="4"/>
        <v>502.7</v>
      </c>
      <c r="AF48" s="60">
        <f t="shared" si="4"/>
        <v>502.7</v>
      </c>
      <c r="AG48" s="61">
        <f>SUM(AG12:AG46)</f>
        <v>875.68</v>
      </c>
      <c r="AH48" s="47">
        <f t="shared" si="2"/>
        <v>502.7</v>
      </c>
      <c r="AI48" s="48">
        <f t="shared" si="3"/>
        <v>492.09999999999997</v>
      </c>
      <c r="AK48" s="49"/>
    </row>
    <row r="49" spans="1:41" x14ac:dyDescent="0.25">
      <c r="A49" s="62" t="s">
        <v>57</v>
      </c>
      <c r="B49" s="45">
        <v>115</v>
      </c>
      <c r="C49" s="45">
        <v>110</v>
      </c>
      <c r="D49" s="45">
        <v>110</v>
      </c>
      <c r="E49" s="45">
        <v>100</v>
      </c>
      <c r="F49" s="45">
        <v>100</v>
      </c>
      <c r="G49" s="45">
        <v>100</v>
      </c>
      <c r="H49" s="45">
        <v>100</v>
      </c>
      <c r="I49" s="45">
        <v>100</v>
      </c>
      <c r="J49" s="45">
        <v>100</v>
      </c>
      <c r="K49" s="45">
        <v>100</v>
      </c>
      <c r="L49" s="45">
        <v>100</v>
      </c>
      <c r="M49" s="45">
        <v>100</v>
      </c>
      <c r="N49" s="63">
        <v>85</v>
      </c>
      <c r="O49" s="45">
        <v>85</v>
      </c>
      <c r="P49" s="45">
        <v>85</v>
      </c>
      <c r="Q49" s="45">
        <v>85</v>
      </c>
      <c r="R49" s="45">
        <v>120</v>
      </c>
      <c r="S49" s="45">
        <v>130</v>
      </c>
      <c r="T49" s="45">
        <v>160</v>
      </c>
      <c r="U49" s="45">
        <v>160</v>
      </c>
      <c r="V49" s="45">
        <v>40</v>
      </c>
      <c r="W49" s="45">
        <v>40</v>
      </c>
      <c r="X49" s="45">
        <v>40</v>
      </c>
      <c r="Y49" s="45">
        <v>40</v>
      </c>
      <c r="Z49" s="45">
        <v>40</v>
      </c>
      <c r="AA49" s="45">
        <v>110</v>
      </c>
      <c r="AB49" s="45">
        <v>110</v>
      </c>
      <c r="AC49" s="45">
        <v>55</v>
      </c>
      <c r="AD49" s="45">
        <v>40</v>
      </c>
      <c r="AE49" s="45">
        <v>40</v>
      </c>
      <c r="AF49" s="45">
        <v>40</v>
      </c>
      <c r="AG49" s="51">
        <v>456</v>
      </c>
      <c r="AH49" s="47">
        <f t="shared" si="2"/>
        <v>160</v>
      </c>
      <c r="AI49" s="48">
        <f t="shared" si="3"/>
        <v>40</v>
      </c>
      <c r="AK49" s="49"/>
    </row>
    <row r="50" spans="1:41" x14ac:dyDescent="0.25">
      <c r="A50" s="64" t="s">
        <v>58</v>
      </c>
      <c r="B50" s="65">
        <v>29</v>
      </c>
      <c r="C50" s="65">
        <v>29</v>
      </c>
      <c r="D50" s="65">
        <v>29</v>
      </c>
      <c r="E50" s="65">
        <v>29</v>
      </c>
      <c r="F50" s="65">
        <v>29</v>
      </c>
      <c r="G50" s="65">
        <v>29</v>
      </c>
      <c r="H50" s="65">
        <v>29</v>
      </c>
      <c r="I50" s="65">
        <v>29</v>
      </c>
      <c r="J50" s="65">
        <v>29</v>
      </c>
      <c r="K50" s="65">
        <v>29</v>
      </c>
      <c r="L50" s="65">
        <v>29</v>
      </c>
      <c r="M50" s="65">
        <v>29</v>
      </c>
      <c r="N50" s="65">
        <v>29</v>
      </c>
      <c r="O50" s="65">
        <v>29</v>
      </c>
      <c r="P50" s="65">
        <v>29</v>
      </c>
      <c r="Q50" s="65">
        <v>29</v>
      </c>
      <c r="R50" s="65">
        <v>29</v>
      </c>
      <c r="S50" s="65">
        <v>29</v>
      </c>
      <c r="T50" s="65">
        <v>29</v>
      </c>
      <c r="U50" s="65">
        <v>29</v>
      </c>
      <c r="V50" s="65">
        <v>29</v>
      </c>
      <c r="W50" s="65">
        <v>29</v>
      </c>
      <c r="X50" s="65">
        <v>29</v>
      </c>
      <c r="Y50" s="65">
        <v>29</v>
      </c>
      <c r="Z50" s="65">
        <v>29</v>
      </c>
      <c r="AA50" s="65">
        <v>29</v>
      </c>
      <c r="AB50" s="65">
        <v>29</v>
      </c>
      <c r="AC50" s="65">
        <v>29</v>
      </c>
      <c r="AD50" s="65">
        <v>29</v>
      </c>
      <c r="AE50" s="65">
        <v>29</v>
      </c>
      <c r="AF50" s="65">
        <v>29</v>
      </c>
      <c r="AG50" s="54">
        <v>60</v>
      </c>
      <c r="AH50" s="47">
        <f t="shared" si="2"/>
        <v>29</v>
      </c>
      <c r="AI50" s="48">
        <f t="shared" si="3"/>
        <v>29</v>
      </c>
      <c r="AK50" s="49"/>
    </row>
    <row r="51" spans="1:41" ht="15.75" thickBot="1" x14ac:dyDescent="0.3">
      <c r="A51" s="66" t="s">
        <v>59</v>
      </c>
      <c r="B51" s="67">
        <v>20</v>
      </c>
      <c r="C51" s="67">
        <v>20</v>
      </c>
      <c r="D51" s="67">
        <v>20</v>
      </c>
      <c r="E51" s="67">
        <v>20.100000000000001</v>
      </c>
      <c r="F51" s="67">
        <v>20</v>
      </c>
      <c r="G51" s="67">
        <v>21.1</v>
      </c>
      <c r="H51" s="67">
        <v>21.1</v>
      </c>
      <c r="I51" s="67">
        <v>10.9</v>
      </c>
      <c r="J51" s="67">
        <v>10.9</v>
      </c>
      <c r="K51" s="67">
        <v>10.9</v>
      </c>
      <c r="L51" s="67">
        <v>10.9</v>
      </c>
      <c r="M51" s="67">
        <v>10.9</v>
      </c>
      <c r="N51" s="67">
        <v>20.100000000000001</v>
      </c>
      <c r="O51" s="67">
        <v>20.100000000000001</v>
      </c>
      <c r="P51" s="67">
        <v>17.600000000000001</v>
      </c>
      <c r="Q51" s="67">
        <v>17.600000000000001</v>
      </c>
      <c r="R51" s="67">
        <v>17.600000000000001</v>
      </c>
      <c r="S51" s="67">
        <v>17.600000000000001</v>
      </c>
      <c r="T51" s="67">
        <v>17.600000000000001</v>
      </c>
      <c r="U51" s="67">
        <v>17.600000000000001</v>
      </c>
      <c r="V51" s="67">
        <v>17.600000000000001</v>
      </c>
      <c r="W51" s="67">
        <v>17.600000000000001</v>
      </c>
      <c r="X51" s="67">
        <v>17.600000000000001</v>
      </c>
      <c r="Y51" s="67">
        <v>17.600000000000001</v>
      </c>
      <c r="Z51" s="67">
        <v>17.600000000000001</v>
      </c>
      <c r="AA51" s="67">
        <v>17.600000000000001</v>
      </c>
      <c r="AB51" s="67">
        <v>17.600000000000001</v>
      </c>
      <c r="AC51" s="67">
        <v>17.600000000000001</v>
      </c>
      <c r="AD51" s="67">
        <v>17.600000000000001</v>
      </c>
      <c r="AE51" s="67">
        <v>17.600000000000001</v>
      </c>
      <c r="AF51" s="67">
        <v>17.600000000000001</v>
      </c>
      <c r="AG51" s="68">
        <v>22.1</v>
      </c>
      <c r="AH51" s="47">
        <f t="shared" si="2"/>
        <v>21.1</v>
      </c>
      <c r="AI51" s="48">
        <f t="shared" si="3"/>
        <v>10.9</v>
      </c>
      <c r="AK51" s="49"/>
    </row>
    <row r="52" spans="1:41" ht="15.75" thickBot="1" x14ac:dyDescent="0.3">
      <c r="A52" s="69" t="s">
        <v>60</v>
      </c>
      <c r="B52" s="60">
        <f t="shared" ref="B52:AG52" si="5">SUM(B49:B51)</f>
        <v>164</v>
      </c>
      <c r="C52" s="60">
        <f t="shared" si="5"/>
        <v>159</v>
      </c>
      <c r="D52" s="60">
        <f t="shared" si="5"/>
        <v>159</v>
      </c>
      <c r="E52" s="60">
        <f t="shared" si="5"/>
        <v>149.1</v>
      </c>
      <c r="F52" s="60">
        <f t="shared" si="5"/>
        <v>149</v>
      </c>
      <c r="G52" s="60">
        <f t="shared" si="5"/>
        <v>150.1</v>
      </c>
      <c r="H52" s="60">
        <f t="shared" si="5"/>
        <v>150.1</v>
      </c>
      <c r="I52" s="60">
        <f t="shared" si="5"/>
        <v>139.9</v>
      </c>
      <c r="J52" s="60">
        <f t="shared" si="5"/>
        <v>139.9</v>
      </c>
      <c r="K52" s="60">
        <f t="shared" si="5"/>
        <v>139.9</v>
      </c>
      <c r="L52" s="60">
        <f t="shared" si="5"/>
        <v>139.9</v>
      </c>
      <c r="M52" s="60">
        <f t="shared" si="5"/>
        <v>139.9</v>
      </c>
      <c r="N52" s="60">
        <f t="shared" si="5"/>
        <v>134.1</v>
      </c>
      <c r="O52" s="60">
        <f t="shared" si="5"/>
        <v>134.1</v>
      </c>
      <c r="P52" s="60">
        <f t="shared" si="5"/>
        <v>131.6</v>
      </c>
      <c r="Q52" s="60">
        <f t="shared" si="5"/>
        <v>131.6</v>
      </c>
      <c r="R52" s="60">
        <f t="shared" si="5"/>
        <v>166.6</v>
      </c>
      <c r="S52" s="60">
        <f t="shared" si="5"/>
        <v>176.6</v>
      </c>
      <c r="T52" s="60">
        <f t="shared" si="5"/>
        <v>206.6</v>
      </c>
      <c r="U52" s="60">
        <f t="shared" si="5"/>
        <v>206.6</v>
      </c>
      <c r="V52" s="60">
        <f t="shared" si="5"/>
        <v>86.6</v>
      </c>
      <c r="W52" s="60">
        <f t="shared" si="5"/>
        <v>86.6</v>
      </c>
      <c r="X52" s="60">
        <f t="shared" si="5"/>
        <v>86.6</v>
      </c>
      <c r="Y52" s="60">
        <f t="shared" si="5"/>
        <v>86.6</v>
      </c>
      <c r="Z52" s="60">
        <f t="shared" si="5"/>
        <v>86.6</v>
      </c>
      <c r="AA52" s="60">
        <f t="shared" si="5"/>
        <v>156.6</v>
      </c>
      <c r="AB52" s="60">
        <f t="shared" si="5"/>
        <v>156.6</v>
      </c>
      <c r="AC52" s="60">
        <f t="shared" si="5"/>
        <v>101.6</v>
      </c>
      <c r="AD52" s="60">
        <f t="shared" si="5"/>
        <v>86.6</v>
      </c>
      <c r="AE52" s="60">
        <f t="shared" si="5"/>
        <v>86.6</v>
      </c>
      <c r="AF52" s="60">
        <f t="shared" si="5"/>
        <v>86.6</v>
      </c>
      <c r="AG52" s="61">
        <f t="shared" si="5"/>
        <v>538.1</v>
      </c>
      <c r="AH52" s="47">
        <f t="shared" si="2"/>
        <v>206.6</v>
      </c>
      <c r="AI52" s="48">
        <f t="shared" si="3"/>
        <v>86.6</v>
      </c>
      <c r="AK52" s="49"/>
    </row>
    <row r="53" spans="1:41" x14ac:dyDescent="0.25">
      <c r="A53" s="44" t="s">
        <v>61</v>
      </c>
      <c r="B53" s="45">
        <v>142</v>
      </c>
      <c r="C53" s="45">
        <v>137</v>
      </c>
      <c r="D53" s="45">
        <v>137</v>
      </c>
      <c r="E53" s="45">
        <v>142.19999999999999</v>
      </c>
      <c r="F53" s="45">
        <v>144.1</v>
      </c>
      <c r="G53" s="45">
        <v>140.1</v>
      </c>
      <c r="H53" s="45">
        <v>123.8</v>
      </c>
      <c r="I53" s="45">
        <v>137.1</v>
      </c>
      <c r="J53" s="45">
        <v>106.4</v>
      </c>
      <c r="K53" s="45">
        <v>106.4</v>
      </c>
      <c r="L53" s="45">
        <v>109</v>
      </c>
      <c r="M53" s="45">
        <v>121.3</v>
      </c>
      <c r="N53" s="45">
        <v>109.8</v>
      </c>
      <c r="O53" s="45">
        <v>122</v>
      </c>
      <c r="P53" s="45">
        <v>130</v>
      </c>
      <c r="Q53" s="45">
        <v>144.19999999999999</v>
      </c>
      <c r="R53" s="45">
        <v>143.80000000000001</v>
      </c>
      <c r="S53" s="45">
        <v>143.5</v>
      </c>
      <c r="T53" s="45">
        <v>132</v>
      </c>
      <c r="U53" s="45">
        <v>131.80000000000001</v>
      </c>
      <c r="V53" s="45">
        <v>131.80000000000001</v>
      </c>
      <c r="W53" s="45">
        <v>102</v>
      </c>
      <c r="X53" s="45">
        <v>101.8</v>
      </c>
      <c r="Y53" s="45">
        <v>61</v>
      </c>
      <c r="Z53" s="45">
        <v>48</v>
      </c>
      <c r="AA53" s="45">
        <v>80</v>
      </c>
      <c r="AB53" s="45">
        <v>101</v>
      </c>
      <c r="AC53" s="45">
        <v>128</v>
      </c>
      <c r="AD53" s="45">
        <v>136.19999999999999</v>
      </c>
      <c r="AE53" s="45">
        <v>135.9</v>
      </c>
      <c r="AF53" s="45">
        <v>135.9</v>
      </c>
      <c r="AG53" s="51">
        <v>144</v>
      </c>
      <c r="AH53" s="47">
        <f t="shared" si="2"/>
        <v>144.19999999999999</v>
      </c>
      <c r="AI53" s="48">
        <f t="shared" si="3"/>
        <v>48</v>
      </c>
      <c r="AK53" s="49"/>
    </row>
    <row r="54" spans="1:41" x14ac:dyDescent="0.25">
      <c r="A54" s="53" t="s">
        <v>62</v>
      </c>
      <c r="B54" s="65">
        <v>56.2</v>
      </c>
      <c r="C54" s="65">
        <v>44.6</v>
      </c>
      <c r="D54" s="65">
        <v>25</v>
      </c>
      <c r="E54" s="65">
        <v>24.8</v>
      </c>
      <c r="F54" s="65">
        <v>24.9</v>
      </c>
      <c r="G54" s="65">
        <v>24.8</v>
      </c>
      <c r="H54" s="65">
        <v>34.1</v>
      </c>
      <c r="I54" s="65">
        <v>62.1</v>
      </c>
      <c r="J54" s="65">
        <v>59.3</v>
      </c>
      <c r="K54" s="65">
        <v>59.3</v>
      </c>
      <c r="L54" s="65">
        <v>63.4</v>
      </c>
      <c r="M54" s="65">
        <v>50.2</v>
      </c>
      <c r="N54" s="65">
        <v>55.4</v>
      </c>
      <c r="O54" s="65">
        <v>62.9</v>
      </c>
      <c r="P54" s="65">
        <v>46.7</v>
      </c>
      <c r="Q54" s="65">
        <v>68.900000000000006</v>
      </c>
      <c r="R54" s="45">
        <v>67.3</v>
      </c>
      <c r="S54" s="45">
        <v>66.8</v>
      </c>
      <c r="T54" s="45">
        <v>46.1</v>
      </c>
      <c r="U54" s="45">
        <v>35</v>
      </c>
      <c r="V54" s="45">
        <v>35</v>
      </c>
      <c r="W54" s="45">
        <v>23.8</v>
      </c>
      <c r="X54" s="45">
        <v>24.7</v>
      </c>
      <c r="Y54" s="45">
        <v>25.1</v>
      </c>
      <c r="Z54" s="45">
        <v>45.3</v>
      </c>
      <c r="AA54" s="45">
        <v>46</v>
      </c>
      <c r="AB54" s="65">
        <v>0</v>
      </c>
      <c r="AC54" s="65">
        <v>0</v>
      </c>
      <c r="AD54" s="65">
        <v>0</v>
      </c>
      <c r="AE54" s="65">
        <v>25</v>
      </c>
      <c r="AF54" s="65">
        <v>25</v>
      </c>
      <c r="AG54" s="54">
        <v>70</v>
      </c>
      <c r="AH54" s="47">
        <f t="shared" si="2"/>
        <v>68.900000000000006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45</v>
      </c>
      <c r="C55" s="65">
        <v>32.799999999999997</v>
      </c>
      <c r="D55" s="65">
        <v>38.4</v>
      </c>
      <c r="E55" s="65">
        <v>39.4</v>
      </c>
      <c r="F55" s="65">
        <v>46.5</v>
      </c>
      <c r="G55" s="65">
        <v>45.9</v>
      </c>
      <c r="H55" s="65">
        <v>62.2</v>
      </c>
      <c r="I55" s="65">
        <v>50.4</v>
      </c>
      <c r="J55" s="65">
        <v>64.900000000000006</v>
      </c>
      <c r="K55" s="65">
        <v>64.900000000000006</v>
      </c>
      <c r="L55" s="65">
        <v>49.6</v>
      </c>
      <c r="M55" s="65">
        <v>69</v>
      </c>
      <c r="N55" s="65">
        <v>58.7</v>
      </c>
      <c r="O55" s="65">
        <v>56.9</v>
      </c>
      <c r="P55" s="65">
        <v>62.6</v>
      </c>
      <c r="Q55" s="65">
        <v>66.2</v>
      </c>
      <c r="R55" s="45">
        <v>44.7</v>
      </c>
      <c r="S55" s="45">
        <v>44.8</v>
      </c>
      <c r="T55" s="45">
        <v>54.2</v>
      </c>
      <c r="U55" s="45">
        <v>44.3</v>
      </c>
      <c r="V55" s="45">
        <v>44.3</v>
      </c>
      <c r="W55" s="45">
        <v>33.700000000000003</v>
      </c>
      <c r="X55" s="45">
        <v>33.700000000000003</v>
      </c>
      <c r="Y55" s="45">
        <v>33.6</v>
      </c>
      <c r="Z55" s="45">
        <v>48.2</v>
      </c>
      <c r="AA55" s="45">
        <v>48.6</v>
      </c>
      <c r="AB55" s="65">
        <v>51.8</v>
      </c>
      <c r="AC55" s="65">
        <v>60</v>
      </c>
      <c r="AD55" s="65">
        <v>60</v>
      </c>
      <c r="AE55" s="65">
        <v>49.2</v>
      </c>
      <c r="AF55" s="65">
        <v>49.2</v>
      </c>
      <c r="AG55" s="54">
        <v>69</v>
      </c>
      <c r="AH55" s="47">
        <f t="shared" si="2"/>
        <v>69</v>
      </c>
      <c r="AI55" s="48">
        <f t="shared" si="3"/>
        <v>32.799999999999997</v>
      </c>
      <c r="AK55" s="49"/>
    </row>
    <row r="56" spans="1:41" x14ac:dyDescent="0.25">
      <c r="A56" s="53" t="s">
        <v>64</v>
      </c>
      <c r="B56" s="65">
        <v>53</v>
      </c>
      <c r="C56" s="65">
        <v>60</v>
      </c>
      <c r="D56" s="65">
        <v>60</v>
      </c>
      <c r="E56" s="56">
        <v>60.2</v>
      </c>
      <c r="F56" s="56">
        <v>60.2</v>
      </c>
      <c r="G56" s="56">
        <v>60.2</v>
      </c>
      <c r="H56" s="56">
        <v>60.2</v>
      </c>
      <c r="I56" s="56">
        <v>60.2</v>
      </c>
      <c r="J56" s="56">
        <v>60.2</v>
      </c>
      <c r="K56" s="56">
        <v>60.2</v>
      </c>
      <c r="L56" s="56">
        <v>60.2</v>
      </c>
      <c r="M56" s="65">
        <v>60.4</v>
      </c>
      <c r="N56" s="65">
        <v>60.4</v>
      </c>
      <c r="O56" s="65">
        <v>60.4</v>
      </c>
      <c r="P56" s="65">
        <v>60.4</v>
      </c>
      <c r="Q56" s="65">
        <v>60.4</v>
      </c>
      <c r="R56" s="45">
        <v>60.2</v>
      </c>
      <c r="S56" s="45">
        <v>57.2</v>
      </c>
      <c r="T56" s="45">
        <v>55.9</v>
      </c>
      <c r="U56" s="45">
        <v>56.2</v>
      </c>
      <c r="V56" s="45">
        <v>56.2</v>
      </c>
      <c r="W56" s="45">
        <v>57.2</v>
      </c>
      <c r="X56" s="45">
        <v>57.2</v>
      </c>
      <c r="Y56" s="45">
        <v>55.2</v>
      </c>
      <c r="Z56" s="45">
        <v>55.2</v>
      </c>
      <c r="AA56" s="45">
        <v>55.2</v>
      </c>
      <c r="AB56" s="65">
        <v>56.4</v>
      </c>
      <c r="AC56" s="65">
        <v>55</v>
      </c>
      <c r="AD56" s="65">
        <v>55</v>
      </c>
      <c r="AE56" s="65">
        <v>55</v>
      </c>
      <c r="AF56" s="65">
        <v>55</v>
      </c>
      <c r="AG56" s="54">
        <v>60</v>
      </c>
      <c r="AH56" s="47">
        <f t="shared" si="2"/>
        <v>60.4</v>
      </c>
      <c r="AI56" s="48">
        <f t="shared" si="3"/>
        <v>53</v>
      </c>
      <c r="AK56" s="49"/>
    </row>
    <row r="57" spans="1:41" x14ac:dyDescent="0.25">
      <c r="A57" s="53" t="s">
        <v>65</v>
      </c>
      <c r="B57" s="65">
        <v>10</v>
      </c>
      <c r="C57" s="65">
        <v>10</v>
      </c>
      <c r="D57" s="65">
        <v>10</v>
      </c>
      <c r="E57" s="56">
        <v>0</v>
      </c>
      <c r="F57" s="56">
        <v>0</v>
      </c>
      <c r="G57" s="56">
        <v>0</v>
      </c>
      <c r="H57" s="56">
        <v>10</v>
      </c>
      <c r="I57" s="56">
        <v>10</v>
      </c>
      <c r="J57" s="56">
        <v>10</v>
      </c>
      <c r="K57" s="56">
        <v>20</v>
      </c>
      <c r="L57" s="56">
        <v>20</v>
      </c>
      <c r="M57" s="65">
        <v>20</v>
      </c>
      <c r="N57" s="65">
        <v>14.7</v>
      </c>
      <c r="O57" s="65">
        <v>14.7</v>
      </c>
      <c r="P57" s="65">
        <v>14.9</v>
      </c>
      <c r="Q57" s="65">
        <v>22</v>
      </c>
      <c r="R57" s="45">
        <v>22</v>
      </c>
      <c r="S57" s="45">
        <v>20.100000000000001</v>
      </c>
      <c r="T57" s="45">
        <v>22</v>
      </c>
      <c r="U57" s="45">
        <v>22</v>
      </c>
      <c r="V57" s="45">
        <v>22</v>
      </c>
      <c r="W57" s="45">
        <v>0</v>
      </c>
      <c r="X57" s="45">
        <v>0</v>
      </c>
      <c r="Y57" s="45">
        <v>0</v>
      </c>
      <c r="Z57" s="45">
        <v>0</v>
      </c>
      <c r="AA57" s="45">
        <v>0</v>
      </c>
      <c r="AB57" s="45">
        <v>0</v>
      </c>
      <c r="AC57" s="45">
        <v>0</v>
      </c>
      <c r="AD57" s="45">
        <v>0</v>
      </c>
      <c r="AE57" s="45">
        <v>0</v>
      </c>
      <c r="AF57" s="45">
        <v>0</v>
      </c>
      <c r="AG57" s="54">
        <v>30</v>
      </c>
      <c r="AH57" s="47">
        <f t="shared" si="2"/>
        <v>22</v>
      </c>
      <c r="AI57" s="48">
        <f t="shared" si="3"/>
        <v>0</v>
      </c>
      <c r="AK57" s="49"/>
    </row>
    <row r="58" spans="1:41" x14ac:dyDescent="0.25">
      <c r="A58" s="53" t="s">
        <v>66</v>
      </c>
      <c r="B58" s="65">
        <v>0</v>
      </c>
      <c r="C58" s="65">
        <v>0</v>
      </c>
      <c r="D58" s="6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1.1000000000000001</v>
      </c>
      <c r="J58" s="45">
        <v>2</v>
      </c>
      <c r="K58" s="45">
        <v>2</v>
      </c>
      <c r="L58" s="45">
        <v>2</v>
      </c>
      <c r="M58" s="45">
        <v>6</v>
      </c>
      <c r="N58" s="65">
        <v>11.9</v>
      </c>
      <c r="O58" s="65">
        <v>11.9</v>
      </c>
      <c r="P58" s="65">
        <v>14.9</v>
      </c>
      <c r="Q58" s="65">
        <v>16.100000000000001</v>
      </c>
      <c r="R58" s="65">
        <v>0</v>
      </c>
      <c r="S58" s="65">
        <v>2</v>
      </c>
      <c r="T58" s="65">
        <v>2</v>
      </c>
      <c r="U58" s="65">
        <v>2</v>
      </c>
      <c r="V58" s="65">
        <v>2</v>
      </c>
      <c r="W58" s="65">
        <v>2</v>
      </c>
      <c r="X58" s="65">
        <v>2</v>
      </c>
      <c r="Y58" s="65">
        <v>2</v>
      </c>
      <c r="Z58" s="65">
        <v>2</v>
      </c>
      <c r="AA58" s="65">
        <v>2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16.100000000000001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10</v>
      </c>
      <c r="C59" s="65">
        <v>10</v>
      </c>
      <c r="D59" s="65">
        <v>10</v>
      </c>
      <c r="E59" s="65">
        <v>10</v>
      </c>
      <c r="F59" s="65">
        <v>10</v>
      </c>
      <c r="G59" s="65">
        <v>10</v>
      </c>
      <c r="H59" s="65">
        <v>10</v>
      </c>
      <c r="I59" s="65">
        <v>10</v>
      </c>
      <c r="J59" s="65">
        <v>10</v>
      </c>
      <c r="K59" s="65">
        <v>10</v>
      </c>
      <c r="L59" s="65">
        <v>10</v>
      </c>
      <c r="M59" s="65">
        <v>10</v>
      </c>
      <c r="N59" s="65">
        <v>14</v>
      </c>
      <c r="O59" s="65">
        <v>14</v>
      </c>
      <c r="P59" s="65">
        <v>15</v>
      </c>
      <c r="Q59" s="65">
        <v>15</v>
      </c>
      <c r="R59" s="65">
        <v>17</v>
      </c>
      <c r="S59" s="65">
        <v>17</v>
      </c>
      <c r="T59" s="65">
        <v>17</v>
      </c>
      <c r="U59" s="65">
        <v>17</v>
      </c>
      <c r="V59" s="65">
        <v>17</v>
      </c>
      <c r="W59" s="65">
        <v>17</v>
      </c>
      <c r="X59" s="65">
        <v>17</v>
      </c>
      <c r="Y59" s="65">
        <v>17</v>
      </c>
      <c r="Z59" s="65">
        <v>17</v>
      </c>
      <c r="AA59" s="65">
        <v>17</v>
      </c>
      <c r="AB59" s="65">
        <v>17</v>
      </c>
      <c r="AC59" s="65">
        <v>17</v>
      </c>
      <c r="AD59" s="65">
        <v>17</v>
      </c>
      <c r="AE59" s="65">
        <v>17</v>
      </c>
      <c r="AF59" s="65">
        <v>17</v>
      </c>
      <c r="AG59" s="54">
        <v>24</v>
      </c>
      <c r="AH59" s="47">
        <f t="shared" si="2"/>
        <v>17</v>
      </c>
      <c r="AI59" s="48">
        <f t="shared" si="3"/>
        <v>10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12.5</v>
      </c>
      <c r="C61" s="65">
        <v>12.5</v>
      </c>
      <c r="D61" s="65">
        <v>12.5</v>
      </c>
      <c r="E61" s="65">
        <v>12.5</v>
      </c>
      <c r="F61" s="65">
        <v>12.5</v>
      </c>
      <c r="G61" s="65">
        <v>12.5</v>
      </c>
      <c r="H61" s="65">
        <v>12.5</v>
      </c>
      <c r="I61" s="65">
        <v>12.5</v>
      </c>
      <c r="J61" s="65">
        <v>12.5</v>
      </c>
      <c r="K61" s="65">
        <v>12.5</v>
      </c>
      <c r="L61" s="65">
        <v>12.5</v>
      </c>
      <c r="M61" s="65">
        <v>12.5</v>
      </c>
      <c r="N61" s="65">
        <v>11.6</v>
      </c>
      <c r="O61" s="65">
        <v>11.6</v>
      </c>
      <c r="P61" s="65">
        <v>12.3</v>
      </c>
      <c r="Q61" s="65">
        <v>12.3</v>
      </c>
      <c r="R61" s="65">
        <v>12.3</v>
      </c>
      <c r="S61" s="65">
        <v>12.3</v>
      </c>
      <c r="T61" s="65">
        <v>12.3</v>
      </c>
      <c r="U61" s="65">
        <v>12.3</v>
      </c>
      <c r="V61" s="65">
        <v>12.3</v>
      </c>
      <c r="W61" s="65">
        <v>12.3</v>
      </c>
      <c r="X61" s="65">
        <v>12.3</v>
      </c>
      <c r="Y61" s="65">
        <v>12.3</v>
      </c>
      <c r="Z61" s="65">
        <v>12.3</v>
      </c>
      <c r="AA61" s="65">
        <v>12.3</v>
      </c>
      <c r="AB61" s="65">
        <v>12.3</v>
      </c>
      <c r="AC61" s="65">
        <v>12.3</v>
      </c>
      <c r="AD61" s="65">
        <v>12.3</v>
      </c>
      <c r="AE61" s="65">
        <v>12.3</v>
      </c>
      <c r="AF61" s="65">
        <v>12.3</v>
      </c>
      <c r="AG61" s="54">
        <v>14.1</v>
      </c>
      <c r="AH61" s="47">
        <f t="shared" si="2"/>
        <v>12.5</v>
      </c>
      <c r="AI61" s="48">
        <f t="shared" si="3"/>
        <v>11.6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3.5</v>
      </c>
      <c r="C62" s="65">
        <v>3.5</v>
      </c>
      <c r="D62" s="65">
        <v>12.4</v>
      </c>
      <c r="E62" s="65">
        <v>12.4</v>
      </c>
      <c r="F62" s="65">
        <v>12.4</v>
      </c>
      <c r="G62" s="65">
        <v>12.4</v>
      </c>
      <c r="H62" s="65">
        <v>12.4</v>
      </c>
      <c r="I62" s="65">
        <v>12.4</v>
      </c>
      <c r="J62" s="65">
        <v>12.4</v>
      </c>
      <c r="K62" s="65">
        <v>12.4</v>
      </c>
      <c r="L62" s="65">
        <v>12.4</v>
      </c>
      <c r="M62" s="65">
        <v>12.4</v>
      </c>
      <c r="N62" s="65">
        <v>9.8000000000000007</v>
      </c>
      <c r="O62" s="65">
        <v>9.8000000000000007</v>
      </c>
      <c r="P62" s="65">
        <v>10.199999999999999</v>
      </c>
      <c r="Q62" s="65">
        <v>10.199999999999999</v>
      </c>
      <c r="R62" s="65">
        <v>10.199999999999999</v>
      </c>
      <c r="S62" s="65">
        <v>10.199999999999999</v>
      </c>
      <c r="T62" s="65">
        <v>10.199999999999999</v>
      </c>
      <c r="U62" s="65">
        <v>10.199999999999999</v>
      </c>
      <c r="V62" s="65">
        <v>10.199999999999999</v>
      </c>
      <c r="W62" s="65">
        <v>10.199999999999999</v>
      </c>
      <c r="X62" s="65">
        <v>10.199999999999999</v>
      </c>
      <c r="Y62" s="65">
        <v>10.199999999999999</v>
      </c>
      <c r="Z62" s="65">
        <v>10.199999999999999</v>
      </c>
      <c r="AA62" s="65">
        <v>10.199999999999999</v>
      </c>
      <c r="AB62" s="65">
        <v>10.199999999999999</v>
      </c>
      <c r="AC62" s="65">
        <v>10.199999999999999</v>
      </c>
      <c r="AD62" s="65">
        <v>10.199999999999999</v>
      </c>
      <c r="AE62" s="65">
        <v>10.199999999999999</v>
      </c>
      <c r="AF62" s="65">
        <v>10.199999999999999</v>
      </c>
      <c r="AG62" s="54">
        <v>14</v>
      </c>
      <c r="AH62" s="47">
        <f t="shared" si="2"/>
        <v>12.4</v>
      </c>
      <c r="AI62" s="48">
        <f t="shared" si="3"/>
        <v>3.5</v>
      </c>
      <c r="AK62" s="49"/>
    </row>
    <row r="63" spans="1:41" x14ac:dyDescent="0.25">
      <c r="A63" s="53" t="s">
        <v>71</v>
      </c>
      <c r="B63" s="65">
        <v>5.2</v>
      </c>
      <c r="C63" s="65">
        <v>5.2</v>
      </c>
      <c r="D63" s="65">
        <v>5.2</v>
      </c>
      <c r="E63" s="65">
        <v>5.2</v>
      </c>
      <c r="F63" s="65">
        <v>5.2</v>
      </c>
      <c r="G63" s="65">
        <v>5.2</v>
      </c>
      <c r="H63" s="65">
        <v>5.2</v>
      </c>
      <c r="I63" s="65">
        <v>5.2</v>
      </c>
      <c r="J63" s="65">
        <v>5.2</v>
      </c>
      <c r="K63" s="65">
        <v>5.2</v>
      </c>
      <c r="L63" s="65">
        <v>5.2</v>
      </c>
      <c r="M63" s="65">
        <v>5.2</v>
      </c>
      <c r="N63" s="65">
        <v>5.0999999999999996</v>
      </c>
      <c r="O63" s="65">
        <v>5.0999999999999996</v>
      </c>
      <c r="P63" s="65">
        <v>5.0999999999999996</v>
      </c>
      <c r="Q63" s="65">
        <v>5.0999999999999996</v>
      </c>
      <c r="R63" s="65">
        <v>5.0999999999999996</v>
      </c>
      <c r="S63" s="65">
        <v>5.0999999999999996</v>
      </c>
      <c r="T63" s="65">
        <v>5.0999999999999996</v>
      </c>
      <c r="U63" s="65">
        <v>5.0999999999999996</v>
      </c>
      <c r="V63" s="65">
        <v>5.0999999999999996</v>
      </c>
      <c r="W63" s="65">
        <v>5.0999999999999996</v>
      </c>
      <c r="X63" s="65">
        <v>5.0999999999999996</v>
      </c>
      <c r="Y63" s="65">
        <v>5.0999999999999996</v>
      </c>
      <c r="Z63" s="65">
        <v>5.0999999999999996</v>
      </c>
      <c r="AA63" s="65">
        <v>5.0999999999999996</v>
      </c>
      <c r="AB63" s="65">
        <v>5.0999999999999996</v>
      </c>
      <c r="AC63" s="65">
        <v>5.0999999999999996</v>
      </c>
      <c r="AD63" s="65">
        <v>5.0999999999999996</v>
      </c>
      <c r="AE63" s="65">
        <v>5.0999999999999996</v>
      </c>
      <c r="AF63" s="65">
        <v>5.0999999999999996</v>
      </c>
      <c r="AG63" s="54">
        <v>10.050000000000001</v>
      </c>
      <c r="AH63" s="47">
        <f t="shared" si="2"/>
        <v>5.2</v>
      </c>
      <c r="AI63" s="48">
        <f t="shared" si="3"/>
        <v>5.0999999999999996</v>
      </c>
      <c r="AK63" s="49"/>
    </row>
    <row r="64" spans="1:41" x14ac:dyDescent="0.25">
      <c r="A64" s="53" t="s">
        <v>72</v>
      </c>
      <c r="B64" s="65">
        <v>2</v>
      </c>
      <c r="C64" s="65">
        <v>2</v>
      </c>
      <c r="D64" s="65">
        <v>2</v>
      </c>
      <c r="E64" s="65">
        <v>2</v>
      </c>
      <c r="F64" s="65">
        <v>2</v>
      </c>
      <c r="G64" s="65">
        <v>2</v>
      </c>
      <c r="H64" s="65">
        <v>2</v>
      </c>
      <c r="I64" s="65">
        <v>2</v>
      </c>
      <c r="J64" s="65">
        <v>2</v>
      </c>
      <c r="K64" s="65">
        <v>2</v>
      </c>
      <c r="L64" s="65">
        <v>2</v>
      </c>
      <c r="M64" s="65">
        <v>2</v>
      </c>
      <c r="N64" s="65">
        <v>2</v>
      </c>
      <c r="O64" s="65">
        <v>2</v>
      </c>
      <c r="P64" s="65">
        <v>2</v>
      </c>
      <c r="Q64" s="65">
        <v>2</v>
      </c>
      <c r="R64" s="65">
        <v>2</v>
      </c>
      <c r="S64" s="65">
        <v>2</v>
      </c>
      <c r="T64" s="65">
        <v>2</v>
      </c>
      <c r="U64" s="65">
        <v>2</v>
      </c>
      <c r="V64" s="65">
        <v>2</v>
      </c>
      <c r="W64" s="65">
        <v>2</v>
      </c>
      <c r="X64" s="65">
        <v>2</v>
      </c>
      <c r="Y64" s="65">
        <v>2</v>
      </c>
      <c r="Z64" s="65">
        <v>2</v>
      </c>
      <c r="AA64" s="65">
        <v>2</v>
      </c>
      <c r="AB64" s="65">
        <v>2</v>
      </c>
      <c r="AC64" s="65">
        <v>2</v>
      </c>
      <c r="AD64" s="65">
        <v>2</v>
      </c>
      <c r="AE64" s="65">
        <v>2</v>
      </c>
      <c r="AF64" s="65">
        <v>2</v>
      </c>
      <c r="AG64" s="54">
        <v>6.2</v>
      </c>
      <c r="AH64" s="47">
        <f t="shared" si="2"/>
        <v>2</v>
      </c>
      <c r="AI64" s="48">
        <f t="shared" si="3"/>
        <v>2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f t="shared" ref="B66:AG66" si="6">SUM(B53:B65)</f>
        <v>342.94</v>
      </c>
      <c r="C66" s="60">
        <f t="shared" si="6"/>
        <v>321.14</v>
      </c>
      <c r="D66" s="60">
        <f t="shared" si="6"/>
        <v>316.03999999999996</v>
      </c>
      <c r="E66" s="60">
        <f t="shared" si="6"/>
        <v>312.24</v>
      </c>
      <c r="F66" s="60">
        <f t="shared" si="6"/>
        <v>321.33999999999997</v>
      </c>
      <c r="G66" s="60">
        <f t="shared" si="6"/>
        <v>316.64</v>
      </c>
      <c r="H66" s="60">
        <f t="shared" si="6"/>
        <v>335.94</v>
      </c>
      <c r="I66" s="60">
        <f t="shared" si="6"/>
        <v>366.54</v>
      </c>
      <c r="J66" s="60">
        <f t="shared" si="6"/>
        <v>348.44</v>
      </c>
      <c r="K66" s="60">
        <f t="shared" si="6"/>
        <v>358.44</v>
      </c>
      <c r="L66" s="60">
        <f t="shared" si="6"/>
        <v>349.84</v>
      </c>
      <c r="M66" s="60">
        <f t="shared" si="6"/>
        <v>372.53999999999996</v>
      </c>
      <c r="N66" s="60">
        <f t="shared" si="6"/>
        <v>356.94</v>
      </c>
      <c r="O66" s="60">
        <f t="shared" si="6"/>
        <v>374.84000000000003</v>
      </c>
      <c r="P66" s="60">
        <f t="shared" si="6"/>
        <v>377.64</v>
      </c>
      <c r="Q66" s="60">
        <f t="shared" si="6"/>
        <v>425.94000000000005</v>
      </c>
      <c r="R66" s="60">
        <f t="shared" si="6"/>
        <v>388.14000000000004</v>
      </c>
      <c r="S66" s="60">
        <f t="shared" si="6"/>
        <v>384.54000000000008</v>
      </c>
      <c r="T66" s="60">
        <f t="shared" si="6"/>
        <v>362.34000000000003</v>
      </c>
      <c r="U66" s="60">
        <f t="shared" si="6"/>
        <v>341.44000000000005</v>
      </c>
      <c r="V66" s="60">
        <f t="shared" si="6"/>
        <v>341.44000000000005</v>
      </c>
      <c r="W66" s="60">
        <f t="shared" si="6"/>
        <v>268.84000000000003</v>
      </c>
      <c r="X66" s="60">
        <f t="shared" si="6"/>
        <v>269.54000000000002</v>
      </c>
      <c r="Y66" s="60">
        <f t="shared" si="6"/>
        <v>227.03999999999996</v>
      </c>
      <c r="Z66" s="60">
        <f t="shared" si="6"/>
        <v>248.83999999999997</v>
      </c>
      <c r="AA66" s="60">
        <f t="shared" si="6"/>
        <v>281.94000000000005</v>
      </c>
      <c r="AB66" s="60">
        <f t="shared" si="6"/>
        <v>259.34000000000003</v>
      </c>
      <c r="AC66" s="60">
        <f t="shared" si="6"/>
        <v>293.14000000000004</v>
      </c>
      <c r="AD66" s="60">
        <f t="shared" si="6"/>
        <v>301.34000000000003</v>
      </c>
      <c r="AE66" s="60">
        <f t="shared" si="6"/>
        <v>315.24000000000007</v>
      </c>
      <c r="AF66" s="60">
        <f t="shared" si="6"/>
        <v>315.24000000000007</v>
      </c>
      <c r="AG66" s="61">
        <f t="shared" si="6"/>
        <v>489.91</v>
      </c>
      <c r="AH66" s="47">
        <f t="shared" si="2"/>
        <v>425.94000000000005</v>
      </c>
      <c r="AI66" s="48">
        <f t="shared" si="3"/>
        <v>227.03999999999996</v>
      </c>
      <c r="AK66" s="49"/>
    </row>
    <row r="67" spans="1:40" x14ac:dyDescent="0.25">
      <c r="A67" s="44" t="s">
        <v>75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30</v>
      </c>
      <c r="S67" s="45">
        <v>30</v>
      </c>
      <c r="T67" s="45">
        <v>40</v>
      </c>
      <c r="U67" s="45">
        <v>50</v>
      </c>
      <c r="V67" s="45">
        <v>20</v>
      </c>
      <c r="W67" s="45">
        <v>10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50</v>
      </c>
      <c r="AI67" s="48">
        <f t="shared" si="3"/>
        <v>0</v>
      </c>
      <c r="AK67" s="49"/>
    </row>
    <row r="68" spans="1:40" x14ac:dyDescent="0.25">
      <c r="A68" s="53" t="s">
        <v>76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12.7</v>
      </c>
      <c r="S68" s="65">
        <v>12.7</v>
      </c>
      <c r="T68" s="65">
        <v>17</v>
      </c>
      <c r="U68" s="65">
        <v>23.1</v>
      </c>
      <c r="V68" s="65">
        <v>11.4</v>
      </c>
      <c r="W68" s="65">
        <v>5</v>
      </c>
      <c r="X68" s="65">
        <v>5.2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23.1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>
        <v>0</v>
      </c>
      <c r="N69" s="67">
        <v>0</v>
      </c>
      <c r="O69" s="67">
        <v>0</v>
      </c>
      <c r="P69" s="67">
        <v>0</v>
      </c>
      <c r="Q69" s="67">
        <v>0</v>
      </c>
      <c r="R69" s="67">
        <v>4.5999999999999996</v>
      </c>
      <c r="S69" s="67">
        <v>4.5999999999999996</v>
      </c>
      <c r="T69" s="67">
        <v>6.2</v>
      </c>
      <c r="U69" s="67">
        <v>8.4</v>
      </c>
      <c r="V69" s="67">
        <v>4.2</v>
      </c>
      <c r="W69" s="67">
        <v>1.8</v>
      </c>
      <c r="X69" s="67">
        <v>1.9</v>
      </c>
      <c r="Y69" s="67">
        <v>0</v>
      </c>
      <c r="Z69" s="67">
        <v>0</v>
      </c>
      <c r="AA69" s="67">
        <v>0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8.4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f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7">M67+M68+M69</f>
        <v>0</v>
      </c>
      <c r="N70" s="60">
        <f t="shared" si="7"/>
        <v>0</v>
      </c>
      <c r="O70" s="60">
        <f t="shared" si="7"/>
        <v>0</v>
      </c>
      <c r="P70" s="60">
        <f t="shared" si="7"/>
        <v>0</v>
      </c>
      <c r="Q70" s="60">
        <f t="shared" si="7"/>
        <v>0</v>
      </c>
      <c r="R70" s="60">
        <f t="shared" si="7"/>
        <v>47.300000000000004</v>
      </c>
      <c r="S70" s="60">
        <f t="shared" si="7"/>
        <v>47.300000000000004</v>
      </c>
      <c r="T70" s="60">
        <f t="shared" si="7"/>
        <v>63.2</v>
      </c>
      <c r="U70" s="60">
        <f t="shared" si="7"/>
        <v>81.5</v>
      </c>
      <c r="V70" s="60">
        <f t="shared" si="7"/>
        <v>35.6</v>
      </c>
      <c r="W70" s="60">
        <f t="shared" si="7"/>
        <v>16.8</v>
      </c>
      <c r="X70" s="60">
        <f t="shared" si="7"/>
        <v>7.1</v>
      </c>
      <c r="Y70" s="60">
        <f t="shared" si="7"/>
        <v>0</v>
      </c>
      <c r="Z70" s="60">
        <f t="shared" si="7"/>
        <v>0</v>
      </c>
      <c r="AA70" s="60">
        <f t="shared" si="7"/>
        <v>0</v>
      </c>
      <c r="AB70" s="60">
        <f t="shared" si="7"/>
        <v>0</v>
      </c>
      <c r="AC70" s="60">
        <f t="shared" si="7"/>
        <v>0</v>
      </c>
      <c r="AD70" s="60">
        <f t="shared" si="7"/>
        <v>0</v>
      </c>
      <c r="AE70" s="60">
        <f t="shared" si="7"/>
        <v>0</v>
      </c>
      <c r="AF70" s="60">
        <f t="shared" si="7"/>
        <v>0</v>
      </c>
      <c r="AG70" s="61">
        <f>SUM(AG67:AG69)</f>
        <v>106</v>
      </c>
      <c r="AH70" s="47">
        <f t="shared" si="2"/>
        <v>81.5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58.2</v>
      </c>
      <c r="C71" s="45">
        <v>48.2</v>
      </c>
      <c r="D71" s="45">
        <v>52</v>
      </c>
      <c r="E71" s="45">
        <v>58</v>
      </c>
      <c r="F71" s="45">
        <v>50.7</v>
      </c>
      <c r="G71" s="45">
        <v>51</v>
      </c>
      <c r="H71" s="45">
        <v>54.6</v>
      </c>
      <c r="I71" s="45">
        <v>56.4</v>
      </c>
      <c r="J71" s="45">
        <v>45.9</v>
      </c>
      <c r="K71" s="45">
        <v>45.9</v>
      </c>
      <c r="L71" s="45">
        <v>58.9</v>
      </c>
      <c r="M71" s="45">
        <v>70.900000000000006</v>
      </c>
      <c r="N71" s="45">
        <v>61.8</v>
      </c>
      <c r="O71" s="45">
        <v>68</v>
      </c>
      <c r="P71" s="45">
        <v>69.8</v>
      </c>
      <c r="Q71" s="45">
        <v>70.3</v>
      </c>
      <c r="R71" s="45">
        <v>70.900000000000006</v>
      </c>
      <c r="S71" s="45">
        <v>55.9</v>
      </c>
      <c r="T71" s="45">
        <v>68</v>
      </c>
      <c r="U71" s="45">
        <v>64.7</v>
      </c>
      <c r="V71" s="45">
        <v>70.3</v>
      </c>
      <c r="W71" s="45">
        <v>57.7</v>
      </c>
      <c r="X71" s="45">
        <v>56.1</v>
      </c>
      <c r="Y71" s="45">
        <v>61.4</v>
      </c>
      <c r="Z71" s="45">
        <v>62.9</v>
      </c>
      <c r="AA71" s="45">
        <v>58.3</v>
      </c>
      <c r="AB71" s="45">
        <v>58.3</v>
      </c>
      <c r="AC71" s="45">
        <v>48</v>
      </c>
      <c r="AD71" s="45">
        <v>44.6</v>
      </c>
      <c r="AE71" s="45">
        <v>68.2</v>
      </c>
      <c r="AF71" s="45">
        <v>55</v>
      </c>
      <c r="AG71" s="51"/>
      <c r="AH71" s="47">
        <f t="shared" si="2"/>
        <v>70.900000000000006</v>
      </c>
      <c r="AI71" s="48">
        <f t="shared" si="3"/>
        <v>44.6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215</v>
      </c>
      <c r="C73" s="65">
        <v>200</v>
      </c>
      <c r="D73" s="65">
        <v>196</v>
      </c>
      <c r="E73" s="65">
        <v>209.3</v>
      </c>
      <c r="F73" s="65">
        <v>227.3</v>
      </c>
      <c r="G73" s="65">
        <v>205.3</v>
      </c>
      <c r="H73" s="65">
        <v>160</v>
      </c>
      <c r="I73" s="65">
        <v>150</v>
      </c>
      <c r="J73" s="65">
        <v>181.3</v>
      </c>
      <c r="K73" s="65">
        <v>181.3</v>
      </c>
      <c r="L73" s="65">
        <v>223</v>
      </c>
      <c r="M73" s="65">
        <v>226.3</v>
      </c>
      <c r="N73" s="65">
        <v>317.8</v>
      </c>
      <c r="O73" s="65">
        <v>348</v>
      </c>
      <c r="P73" s="65">
        <v>367.1</v>
      </c>
      <c r="Q73" s="65">
        <v>365.5</v>
      </c>
      <c r="R73" s="65">
        <v>342</v>
      </c>
      <c r="S73" s="65">
        <v>380</v>
      </c>
      <c r="T73" s="65">
        <v>320</v>
      </c>
      <c r="U73" s="65">
        <v>300</v>
      </c>
      <c r="V73" s="65">
        <v>300</v>
      </c>
      <c r="W73" s="65">
        <v>312</v>
      </c>
      <c r="X73" s="65">
        <v>230</v>
      </c>
      <c r="Y73" s="65">
        <v>360</v>
      </c>
      <c r="Z73" s="65">
        <v>330</v>
      </c>
      <c r="AA73" s="65">
        <v>200</v>
      </c>
      <c r="AB73" s="65">
        <v>200</v>
      </c>
      <c r="AC73" s="65">
        <v>276</v>
      </c>
      <c r="AD73" s="65">
        <v>298.60000000000002</v>
      </c>
      <c r="AE73" s="65">
        <v>153</v>
      </c>
      <c r="AF73" s="65">
        <v>181</v>
      </c>
      <c r="AG73" s="75"/>
      <c r="AH73" s="47">
        <f t="shared" si="2"/>
        <v>380</v>
      </c>
      <c r="AI73" s="48">
        <f t="shared" si="3"/>
        <v>150</v>
      </c>
      <c r="AK73" s="49"/>
    </row>
    <row r="74" spans="1:40" x14ac:dyDescent="0.25">
      <c r="A74" s="53" t="s">
        <v>82</v>
      </c>
      <c r="B74" s="65">
        <v>0</v>
      </c>
      <c r="C74" s="65">
        <v>0</v>
      </c>
      <c r="D74" s="65">
        <v>0</v>
      </c>
      <c r="E74" s="76">
        <v>0</v>
      </c>
      <c r="F74" s="76">
        <v>0</v>
      </c>
      <c r="G74" s="76">
        <v>0</v>
      </c>
      <c r="H74" s="76">
        <v>0</v>
      </c>
      <c r="I74" s="76">
        <v>10</v>
      </c>
      <c r="J74" s="76">
        <v>10</v>
      </c>
      <c r="K74" s="76">
        <v>10</v>
      </c>
      <c r="L74" s="76">
        <v>10</v>
      </c>
      <c r="M74" s="76">
        <v>10</v>
      </c>
      <c r="N74" s="76">
        <v>8</v>
      </c>
      <c r="O74" s="76">
        <v>8</v>
      </c>
      <c r="P74" s="76">
        <v>8</v>
      </c>
      <c r="Q74" s="76">
        <v>8</v>
      </c>
      <c r="R74" s="76">
        <v>25</v>
      </c>
      <c r="S74" s="76">
        <v>42</v>
      </c>
      <c r="T74" s="76">
        <v>40</v>
      </c>
      <c r="U74" s="76">
        <v>49</v>
      </c>
      <c r="V74" s="76">
        <v>49</v>
      </c>
      <c r="W74" s="76">
        <v>0</v>
      </c>
      <c r="X74" s="76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75"/>
      <c r="AH74" s="47">
        <f t="shared" si="2"/>
        <v>49</v>
      </c>
      <c r="AI74" s="48">
        <f t="shared" si="3"/>
        <v>0</v>
      </c>
      <c r="AK74" s="49"/>
    </row>
    <row r="75" spans="1:40" x14ac:dyDescent="0.25">
      <c r="A75" s="53" t="s">
        <v>83</v>
      </c>
      <c r="B75" s="45">
        <v>30</v>
      </c>
      <c r="C75" s="45">
        <v>29.8</v>
      </c>
      <c r="D75" s="45">
        <v>0</v>
      </c>
      <c r="E75" s="45">
        <v>0</v>
      </c>
      <c r="F75" s="45">
        <v>0</v>
      </c>
      <c r="G75" s="45">
        <v>25.7</v>
      </c>
      <c r="H75" s="45">
        <v>26.7</v>
      </c>
      <c r="I75" s="45">
        <v>27</v>
      </c>
      <c r="J75" s="45">
        <v>27.2</v>
      </c>
      <c r="K75" s="45">
        <v>27.2</v>
      </c>
      <c r="L75" s="45">
        <v>31.9</v>
      </c>
      <c r="M75" s="45">
        <v>34.1</v>
      </c>
      <c r="N75" s="45">
        <v>0</v>
      </c>
      <c r="O75" s="45">
        <v>0</v>
      </c>
      <c r="P75" s="45">
        <v>0</v>
      </c>
      <c r="Q75" s="45">
        <v>0</v>
      </c>
      <c r="R75" s="45">
        <v>33.5</v>
      </c>
      <c r="S75" s="45">
        <v>33.5</v>
      </c>
      <c r="T75" s="45">
        <v>33.5</v>
      </c>
      <c r="U75" s="45">
        <v>33.299999999999997</v>
      </c>
      <c r="V75" s="45">
        <v>28.3</v>
      </c>
      <c r="W75" s="45">
        <v>0</v>
      </c>
      <c r="X75" s="45">
        <v>0</v>
      </c>
      <c r="Y75" s="45">
        <v>0</v>
      </c>
      <c r="Z75" s="45">
        <v>0</v>
      </c>
      <c r="AA75" s="45">
        <v>0</v>
      </c>
      <c r="AB75" s="45">
        <v>0</v>
      </c>
      <c r="AC75" s="45">
        <v>0</v>
      </c>
      <c r="AD75" s="45">
        <v>0</v>
      </c>
      <c r="AE75" s="45">
        <v>0</v>
      </c>
      <c r="AF75" s="45">
        <v>0</v>
      </c>
      <c r="AG75" s="75"/>
      <c r="AH75" s="47">
        <f t="shared" ref="AH75:AH117" si="8">MAX(B75:AF75)</f>
        <v>34.1</v>
      </c>
      <c r="AI75" s="48">
        <f t="shared" ref="AI75:AI117" si="9">MIN(B75:AF75)</f>
        <v>0</v>
      </c>
      <c r="AK75" s="49"/>
    </row>
    <row r="76" spans="1:40" x14ac:dyDescent="0.25">
      <c r="A76" s="53" t="s">
        <v>84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8"/>
        <v>5</v>
      </c>
      <c r="AI76" s="48">
        <f t="shared" si="9"/>
        <v>5</v>
      </c>
      <c r="AK76" s="49"/>
    </row>
    <row r="77" spans="1:40" ht="15.75" thickBot="1" x14ac:dyDescent="0.3">
      <c r="A77" s="53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8"/>
        <v>0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8</v>
      </c>
      <c r="C78" s="77">
        <v>8</v>
      </c>
      <c r="D78" s="77">
        <v>8</v>
      </c>
      <c r="E78" s="77">
        <v>8</v>
      </c>
      <c r="F78" s="77">
        <v>8</v>
      </c>
      <c r="G78" s="77">
        <v>8</v>
      </c>
      <c r="H78" s="77">
        <v>8</v>
      </c>
      <c r="I78" s="77">
        <v>8</v>
      </c>
      <c r="J78" s="77">
        <v>8</v>
      </c>
      <c r="K78" s="77">
        <v>8</v>
      </c>
      <c r="L78" s="77">
        <v>8</v>
      </c>
      <c r="M78" s="77">
        <v>5</v>
      </c>
      <c r="N78" s="77">
        <v>4</v>
      </c>
      <c r="O78" s="77">
        <v>4</v>
      </c>
      <c r="P78" s="77">
        <v>4</v>
      </c>
      <c r="Q78" s="77">
        <v>4</v>
      </c>
      <c r="R78" s="77">
        <v>6</v>
      </c>
      <c r="S78" s="77">
        <v>6</v>
      </c>
      <c r="T78" s="77">
        <v>6</v>
      </c>
      <c r="U78" s="77">
        <v>6</v>
      </c>
      <c r="V78" s="77">
        <v>6</v>
      </c>
      <c r="W78" s="77">
        <v>6</v>
      </c>
      <c r="X78" s="77">
        <v>6</v>
      </c>
      <c r="Y78" s="77">
        <v>6</v>
      </c>
      <c r="Z78" s="77">
        <v>6</v>
      </c>
      <c r="AA78" s="77">
        <v>6</v>
      </c>
      <c r="AB78" s="77">
        <v>6</v>
      </c>
      <c r="AC78" s="77">
        <v>6</v>
      </c>
      <c r="AD78" s="77">
        <v>6</v>
      </c>
      <c r="AE78" s="77">
        <v>6</v>
      </c>
      <c r="AF78" s="77">
        <v>6</v>
      </c>
      <c r="AG78" s="75"/>
      <c r="AH78" s="47">
        <f t="shared" si="8"/>
        <v>8</v>
      </c>
      <c r="AI78" s="48">
        <f t="shared" si="9"/>
        <v>4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8"/>
        <v>0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f t="shared" ref="B82:AF82" si="10">SUMIF(B71:B81,"&gt;0")</f>
        <v>316.2</v>
      </c>
      <c r="C82" s="60">
        <f t="shared" si="10"/>
        <v>291</v>
      </c>
      <c r="D82" s="60">
        <f t="shared" si="10"/>
        <v>261</v>
      </c>
      <c r="E82" s="60">
        <f t="shared" si="10"/>
        <v>280.3</v>
      </c>
      <c r="F82" s="60">
        <f t="shared" si="10"/>
        <v>291</v>
      </c>
      <c r="G82" s="60">
        <f t="shared" si="10"/>
        <v>295</v>
      </c>
      <c r="H82" s="60">
        <f t="shared" si="10"/>
        <v>254.29999999999998</v>
      </c>
      <c r="I82" s="60">
        <f t="shared" si="10"/>
        <v>256.39999999999998</v>
      </c>
      <c r="J82" s="60">
        <f t="shared" si="10"/>
        <v>277.40000000000003</v>
      </c>
      <c r="K82" s="60">
        <f t="shared" si="10"/>
        <v>277.40000000000003</v>
      </c>
      <c r="L82" s="60">
        <f t="shared" si="10"/>
        <v>336.79999999999995</v>
      </c>
      <c r="M82" s="60">
        <f t="shared" si="10"/>
        <v>351.30000000000007</v>
      </c>
      <c r="N82" s="60">
        <f t="shared" si="10"/>
        <v>396.6</v>
      </c>
      <c r="O82" s="60">
        <f t="shared" si="10"/>
        <v>433</v>
      </c>
      <c r="P82" s="60">
        <f t="shared" si="10"/>
        <v>453.90000000000003</v>
      </c>
      <c r="Q82" s="60">
        <f t="shared" si="10"/>
        <v>452.8</v>
      </c>
      <c r="R82" s="60">
        <f t="shared" si="10"/>
        <v>482.4</v>
      </c>
      <c r="S82" s="60">
        <f t="shared" si="10"/>
        <v>522.4</v>
      </c>
      <c r="T82" s="60">
        <f t="shared" si="10"/>
        <v>472.5</v>
      </c>
      <c r="U82" s="60">
        <f t="shared" si="10"/>
        <v>458</v>
      </c>
      <c r="V82" s="60">
        <f t="shared" si="10"/>
        <v>458.6</v>
      </c>
      <c r="W82" s="60">
        <f t="shared" si="10"/>
        <v>380.7</v>
      </c>
      <c r="X82" s="60">
        <f t="shared" si="10"/>
        <v>297.10000000000002</v>
      </c>
      <c r="Y82" s="60">
        <f t="shared" si="10"/>
        <v>432.4</v>
      </c>
      <c r="Z82" s="60">
        <f t="shared" si="10"/>
        <v>403.9</v>
      </c>
      <c r="AA82" s="60">
        <f t="shared" si="10"/>
        <v>269.3</v>
      </c>
      <c r="AB82" s="60">
        <f t="shared" si="10"/>
        <v>269.3</v>
      </c>
      <c r="AC82" s="60">
        <f t="shared" si="10"/>
        <v>335</v>
      </c>
      <c r="AD82" s="60">
        <f t="shared" si="10"/>
        <v>354.20000000000005</v>
      </c>
      <c r="AE82" s="60">
        <f t="shared" si="10"/>
        <v>232.2</v>
      </c>
      <c r="AF82" s="60">
        <f t="shared" si="10"/>
        <v>247</v>
      </c>
      <c r="AG82" s="88">
        <f>SUM(AG71:AG81)</f>
        <v>0</v>
      </c>
      <c r="AH82" s="47">
        <f t="shared" si="8"/>
        <v>522.4</v>
      </c>
      <c r="AI82" s="48">
        <f t="shared" si="9"/>
        <v>232.2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f t="shared" ref="B87:AG87" si="11">B48+B52+B70+B66+B82+B86</f>
        <v>1323.74</v>
      </c>
      <c r="C87" s="95">
        <f t="shared" si="11"/>
        <v>1271.7399999999998</v>
      </c>
      <c r="D87" s="95">
        <f t="shared" si="11"/>
        <v>1236.6399999999999</v>
      </c>
      <c r="E87" s="95">
        <f t="shared" si="11"/>
        <v>1242.24</v>
      </c>
      <c r="F87" s="95">
        <f t="shared" si="11"/>
        <v>1261.9399999999998</v>
      </c>
      <c r="G87" s="95">
        <f t="shared" si="11"/>
        <v>1262.3399999999999</v>
      </c>
      <c r="H87" s="95">
        <f t="shared" si="11"/>
        <v>1240.9399999999998</v>
      </c>
      <c r="I87" s="95">
        <f t="shared" si="11"/>
        <v>1263.44</v>
      </c>
      <c r="J87" s="95">
        <f t="shared" si="11"/>
        <v>1266.3400000000001</v>
      </c>
      <c r="K87" s="95">
        <f t="shared" si="11"/>
        <v>1276.3400000000001</v>
      </c>
      <c r="L87" s="95">
        <f t="shared" si="11"/>
        <v>1327.1399999999999</v>
      </c>
      <c r="M87" s="95">
        <f t="shared" si="11"/>
        <v>1364.3400000000001</v>
      </c>
      <c r="N87" s="95">
        <f t="shared" si="11"/>
        <v>1388.2399999999998</v>
      </c>
      <c r="O87" s="95">
        <f t="shared" si="11"/>
        <v>1442.54</v>
      </c>
      <c r="P87" s="95">
        <f t="shared" si="11"/>
        <v>1463.74</v>
      </c>
      <c r="Q87" s="95">
        <f t="shared" si="11"/>
        <v>1510.9399999999998</v>
      </c>
      <c r="R87" s="95">
        <f t="shared" si="11"/>
        <v>1576.54</v>
      </c>
      <c r="S87" s="95">
        <f t="shared" si="11"/>
        <v>1622.94</v>
      </c>
      <c r="T87" s="95">
        <f t="shared" si="11"/>
        <v>1605.24</v>
      </c>
      <c r="U87" s="95">
        <f t="shared" si="11"/>
        <v>1588.1399999999999</v>
      </c>
      <c r="V87" s="95">
        <f t="shared" si="11"/>
        <v>1422.8400000000001</v>
      </c>
      <c r="W87" s="95">
        <f t="shared" si="11"/>
        <v>1253.54</v>
      </c>
      <c r="X87" s="95">
        <f t="shared" si="11"/>
        <v>1160.94</v>
      </c>
      <c r="Y87" s="95">
        <f t="shared" si="11"/>
        <v>1246.6399999999999</v>
      </c>
      <c r="Z87" s="95">
        <f t="shared" si="11"/>
        <v>1239.94</v>
      </c>
      <c r="AA87" s="95">
        <f t="shared" si="11"/>
        <v>1208.44</v>
      </c>
      <c r="AB87" s="95">
        <f t="shared" si="11"/>
        <v>1185.8399999999999</v>
      </c>
      <c r="AC87" s="95">
        <f t="shared" si="11"/>
        <v>1230.3399999999999</v>
      </c>
      <c r="AD87" s="95">
        <f t="shared" si="11"/>
        <v>1244.8400000000001</v>
      </c>
      <c r="AE87" s="95">
        <f t="shared" si="11"/>
        <v>1136.74</v>
      </c>
      <c r="AF87" s="95">
        <f t="shared" si="11"/>
        <v>1151.54</v>
      </c>
      <c r="AG87" s="61">
        <f t="shared" si="11"/>
        <v>2065.09</v>
      </c>
      <c r="AH87" s="47">
        <f>MAX(B87:AF87)</f>
        <v>1622.94</v>
      </c>
      <c r="AI87" s="48">
        <f>MIN(B87:AF87)</f>
        <v>1136.74</v>
      </c>
    </row>
    <row r="88" spans="1:40" ht="15.75" thickBot="1" x14ac:dyDescent="0.3">
      <c r="A88" s="96" t="s">
        <v>99</v>
      </c>
      <c r="B88" s="97"/>
      <c r="C88" s="97"/>
      <c r="D88" s="97"/>
      <c r="E88" s="97"/>
      <c r="F88" s="97"/>
      <c r="G88" s="97"/>
      <c r="H88" s="97"/>
      <c r="I88" s="97"/>
      <c r="J88" s="97">
        <f>80</f>
        <v>80</v>
      </c>
      <c r="K88" s="97">
        <f>80</f>
        <v>80</v>
      </c>
      <c r="L88" s="97">
        <f>80</f>
        <v>80</v>
      </c>
      <c r="M88" s="97">
        <v>50</v>
      </c>
      <c r="N88" s="97">
        <v>50</v>
      </c>
      <c r="O88" s="97">
        <v>50</v>
      </c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88"/>
      <c r="AH88" s="47">
        <f t="shared" si="8"/>
        <v>80</v>
      </c>
      <c r="AI88" s="48">
        <f t="shared" si="9"/>
        <v>50</v>
      </c>
    </row>
    <row r="89" spans="1:40" ht="15.75" thickBot="1" x14ac:dyDescent="0.3">
      <c r="A89" s="74" t="s">
        <v>100</v>
      </c>
      <c r="B89" s="95">
        <f t="shared" ref="B89:AF89" si="12">B87+B88</f>
        <v>1323.74</v>
      </c>
      <c r="C89" s="95">
        <f t="shared" si="12"/>
        <v>1271.7399999999998</v>
      </c>
      <c r="D89" s="95">
        <f t="shared" si="12"/>
        <v>1236.6399999999999</v>
      </c>
      <c r="E89" s="95">
        <f t="shared" si="12"/>
        <v>1242.24</v>
      </c>
      <c r="F89" s="95">
        <f t="shared" si="12"/>
        <v>1261.9399999999998</v>
      </c>
      <c r="G89" s="95">
        <f t="shared" si="12"/>
        <v>1262.3399999999999</v>
      </c>
      <c r="H89" s="95">
        <f t="shared" si="12"/>
        <v>1240.9399999999998</v>
      </c>
      <c r="I89" s="95">
        <f t="shared" si="12"/>
        <v>1263.44</v>
      </c>
      <c r="J89" s="95">
        <f t="shared" si="12"/>
        <v>1346.3400000000001</v>
      </c>
      <c r="K89" s="95">
        <f t="shared" si="12"/>
        <v>1356.3400000000001</v>
      </c>
      <c r="L89" s="95">
        <f t="shared" si="12"/>
        <v>1407.1399999999999</v>
      </c>
      <c r="M89" s="95">
        <f t="shared" si="12"/>
        <v>1414.3400000000001</v>
      </c>
      <c r="N89" s="95">
        <f t="shared" si="12"/>
        <v>1438.2399999999998</v>
      </c>
      <c r="O89" s="95">
        <f t="shared" si="12"/>
        <v>1492.54</v>
      </c>
      <c r="P89" s="95">
        <f t="shared" si="12"/>
        <v>1463.74</v>
      </c>
      <c r="Q89" s="95">
        <f t="shared" si="12"/>
        <v>1510.9399999999998</v>
      </c>
      <c r="R89" s="95">
        <f t="shared" si="12"/>
        <v>1576.54</v>
      </c>
      <c r="S89" s="95">
        <f t="shared" si="12"/>
        <v>1622.94</v>
      </c>
      <c r="T89" s="95">
        <f t="shared" si="12"/>
        <v>1605.24</v>
      </c>
      <c r="U89" s="95">
        <f t="shared" si="12"/>
        <v>1588.1399999999999</v>
      </c>
      <c r="V89" s="95">
        <f t="shared" si="12"/>
        <v>1422.8400000000001</v>
      </c>
      <c r="W89" s="95">
        <f t="shared" si="12"/>
        <v>1253.54</v>
      </c>
      <c r="X89" s="95">
        <f t="shared" si="12"/>
        <v>1160.94</v>
      </c>
      <c r="Y89" s="95">
        <f t="shared" si="12"/>
        <v>1246.6399999999999</v>
      </c>
      <c r="Z89" s="95">
        <f t="shared" si="12"/>
        <v>1239.94</v>
      </c>
      <c r="AA89" s="95">
        <f t="shared" si="12"/>
        <v>1208.44</v>
      </c>
      <c r="AB89" s="95">
        <f t="shared" si="12"/>
        <v>1185.8399999999999</v>
      </c>
      <c r="AC89" s="95">
        <f t="shared" si="12"/>
        <v>1230.3399999999999</v>
      </c>
      <c r="AD89" s="95">
        <f t="shared" si="12"/>
        <v>1244.8400000000001</v>
      </c>
      <c r="AE89" s="95">
        <f t="shared" si="12"/>
        <v>1136.74</v>
      </c>
      <c r="AF89" s="95">
        <f t="shared" si="12"/>
        <v>1151.54</v>
      </c>
      <c r="AG89" s="88">
        <f>AG86+AG82+AG70+AG66+AG48+AG88</f>
        <v>1526.99</v>
      </c>
      <c r="AH89" s="47">
        <f t="shared" si="8"/>
        <v>1622.94</v>
      </c>
      <c r="AI89" s="48">
        <f t="shared" si="9"/>
        <v>1136.74</v>
      </c>
    </row>
    <row r="90" spans="1:40" ht="15.75" thickBot="1" x14ac:dyDescent="0.3">
      <c r="A90" s="74" t="s">
        <v>101</v>
      </c>
      <c r="B90" s="95">
        <f t="shared" ref="B90:AF90" si="13">B89-B97</f>
        <v>1323.74</v>
      </c>
      <c r="C90" s="95">
        <f t="shared" si="13"/>
        <v>1271.7399999999998</v>
      </c>
      <c r="D90" s="95">
        <f t="shared" si="13"/>
        <v>1236.6399999999999</v>
      </c>
      <c r="E90" s="95">
        <f t="shared" si="13"/>
        <v>1242.24</v>
      </c>
      <c r="F90" s="95">
        <f t="shared" si="13"/>
        <v>1261.9399999999998</v>
      </c>
      <c r="G90" s="95">
        <f t="shared" si="13"/>
        <v>1262.3399999999999</v>
      </c>
      <c r="H90" s="95">
        <f t="shared" si="13"/>
        <v>1240.9399999999998</v>
      </c>
      <c r="I90" s="95">
        <f t="shared" si="13"/>
        <v>1263.44</v>
      </c>
      <c r="J90" s="95">
        <f t="shared" si="13"/>
        <v>1346.3400000000001</v>
      </c>
      <c r="K90" s="95">
        <f t="shared" si="13"/>
        <v>1356.3400000000001</v>
      </c>
      <c r="L90" s="95">
        <f t="shared" si="13"/>
        <v>1407.1399999999999</v>
      </c>
      <c r="M90" s="95">
        <f t="shared" si="13"/>
        <v>1414.3400000000001</v>
      </c>
      <c r="N90" s="95">
        <f t="shared" si="13"/>
        <v>1438.2399999999998</v>
      </c>
      <c r="O90" s="95">
        <f t="shared" si="13"/>
        <v>1492.54</v>
      </c>
      <c r="P90" s="95">
        <f t="shared" si="13"/>
        <v>1463.74</v>
      </c>
      <c r="Q90" s="95">
        <f t="shared" si="13"/>
        <v>1510.9399999999998</v>
      </c>
      <c r="R90" s="95">
        <f t="shared" si="13"/>
        <v>1576.54</v>
      </c>
      <c r="S90" s="95">
        <f t="shared" si="13"/>
        <v>1622.94</v>
      </c>
      <c r="T90" s="95">
        <f t="shared" si="13"/>
        <v>1605.24</v>
      </c>
      <c r="U90" s="95">
        <f t="shared" si="13"/>
        <v>1588.1399999999999</v>
      </c>
      <c r="V90" s="95">
        <f t="shared" si="13"/>
        <v>1422.8400000000001</v>
      </c>
      <c r="W90" s="95">
        <f t="shared" si="13"/>
        <v>1253.54</v>
      </c>
      <c r="X90" s="95">
        <f t="shared" si="13"/>
        <v>1160.94</v>
      </c>
      <c r="Y90" s="95">
        <f t="shared" si="13"/>
        <v>1246.6399999999999</v>
      </c>
      <c r="Z90" s="95">
        <f t="shared" si="13"/>
        <v>1239.94</v>
      </c>
      <c r="AA90" s="95">
        <f t="shared" si="13"/>
        <v>1208.44</v>
      </c>
      <c r="AB90" s="95">
        <f t="shared" si="13"/>
        <v>1185.8399999999999</v>
      </c>
      <c r="AC90" s="95">
        <f t="shared" si="13"/>
        <v>1230.3399999999999</v>
      </c>
      <c r="AD90" s="95">
        <f t="shared" si="13"/>
        <v>1244.8400000000001</v>
      </c>
      <c r="AE90" s="95">
        <f t="shared" si="13"/>
        <v>1136.74</v>
      </c>
      <c r="AF90" s="95">
        <f t="shared" si="13"/>
        <v>1151.54</v>
      </c>
      <c r="AG90" s="88"/>
      <c r="AH90" s="47">
        <f t="shared" si="8"/>
        <v>1622.94</v>
      </c>
      <c r="AI90" s="48">
        <f t="shared" si="9"/>
        <v>1136.74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f t="shared" ref="B98:AF98" si="14">B82-B97</f>
        <v>316.2</v>
      </c>
      <c r="C98" s="60">
        <f t="shared" si="14"/>
        <v>291</v>
      </c>
      <c r="D98" s="60">
        <f t="shared" si="14"/>
        <v>261</v>
      </c>
      <c r="E98" s="60">
        <f t="shared" si="14"/>
        <v>280.3</v>
      </c>
      <c r="F98" s="60">
        <f t="shared" si="14"/>
        <v>291</v>
      </c>
      <c r="G98" s="60">
        <f t="shared" si="14"/>
        <v>295</v>
      </c>
      <c r="H98" s="60">
        <f t="shared" si="14"/>
        <v>254.29999999999998</v>
      </c>
      <c r="I98" s="60">
        <f t="shared" si="14"/>
        <v>256.39999999999998</v>
      </c>
      <c r="J98" s="60">
        <f t="shared" si="14"/>
        <v>277.40000000000003</v>
      </c>
      <c r="K98" s="60">
        <f t="shared" si="14"/>
        <v>277.40000000000003</v>
      </c>
      <c r="L98" s="60">
        <f t="shared" si="14"/>
        <v>336.79999999999995</v>
      </c>
      <c r="M98" s="60">
        <f t="shared" si="14"/>
        <v>351.30000000000007</v>
      </c>
      <c r="N98" s="60">
        <f t="shared" si="14"/>
        <v>396.6</v>
      </c>
      <c r="O98" s="60">
        <f t="shared" si="14"/>
        <v>433</v>
      </c>
      <c r="P98" s="60">
        <f t="shared" si="14"/>
        <v>453.90000000000003</v>
      </c>
      <c r="Q98" s="60">
        <f t="shared" si="14"/>
        <v>452.8</v>
      </c>
      <c r="R98" s="60">
        <f t="shared" si="14"/>
        <v>482.4</v>
      </c>
      <c r="S98" s="60">
        <f t="shared" si="14"/>
        <v>522.4</v>
      </c>
      <c r="T98" s="60">
        <f t="shared" si="14"/>
        <v>472.5</v>
      </c>
      <c r="U98" s="60">
        <f t="shared" si="14"/>
        <v>458</v>
      </c>
      <c r="V98" s="60">
        <f t="shared" si="14"/>
        <v>458.6</v>
      </c>
      <c r="W98" s="60">
        <f t="shared" si="14"/>
        <v>380.7</v>
      </c>
      <c r="X98" s="60">
        <f t="shared" si="14"/>
        <v>297.10000000000002</v>
      </c>
      <c r="Y98" s="60">
        <f t="shared" si="14"/>
        <v>432.4</v>
      </c>
      <c r="Z98" s="60">
        <f t="shared" si="14"/>
        <v>403.9</v>
      </c>
      <c r="AA98" s="60">
        <f t="shared" si="14"/>
        <v>269.3</v>
      </c>
      <c r="AB98" s="60">
        <f t="shared" si="14"/>
        <v>269.3</v>
      </c>
      <c r="AC98" s="60">
        <f t="shared" si="14"/>
        <v>335</v>
      </c>
      <c r="AD98" s="60">
        <f t="shared" si="14"/>
        <v>354.20000000000005</v>
      </c>
      <c r="AE98" s="60">
        <f t="shared" si="14"/>
        <v>232.2</v>
      </c>
      <c r="AF98" s="60">
        <f t="shared" si="14"/>
        <v>247</v>
      </c>
      <c r="AG98" s="88"/>
      <c r="AH98" s="47">
        <f t="shared" si="8"/>
        <v>522.4</v>
      </c>
      <c r="AI98" s="48">
        <f t="shared" si="9"/>
        <v>232.2</v>
      </c>
    </row>
    <row r="99" spans="1:37" x14ac:dyDescent="0.25">
      <c r="A99" s="100" t="s">
        <v>107</v>
      </c>
      <c r="B99" s="101">
        <v>50.02</v>
      </c>
      <c r="C99" s="101">
        <v>49.97</v>
      </c>
      <c r="D99" s="101">
        <v>50.012999999999998</v>
      </c>
      <c r="E99" s="101">
        <v>50.029000000000003</v>
      </c>
      <c r="F99" s="101">
        <v>49.959000000000003</v>
      </c>
      <c r="G99" s="101">
        <v>49.893000000000001</v>
      </c>
      <c r="H99" s="101">
        <v>50.02</v>
      </c>
      <c r="I99" s="101">
        <v>50.021999999999998</v>
      </c>
      <c r="J99" s="101">
        <v>49.975999999999999</v>
      </c>
      <c r="K99" s="101">
        <v>49.975999999999999</v>
      </c>
      <c r="L99" s="101">
        <v>49.845999999999997</v>
      </c>
      <c r="M99" s="101">
        <v>49.991</v>
      </c>
      <c r="N99" s="101">
        <v>50.000999999999998</v>
      </c>
      <c r="O99" s="101">
        <v>49.899000000000001</v>
      </c>
      <c r="P99" s="101">
        <v>49.968000000000004</v>
      </c>
      <c r="Q99" s="101">
        <v>49.966000000000001</v>
      </c>
      <c r="R99" s="101">
        <v>50.046999999999997</v>
      </c>
      <c r="S99" s="101">
        <v>49.91</v>
      </c>
      <c r="T99" s="101">
        <v>49.91</v>
      </c>
      <c r="U99" s="101">
        <v>49.95</v>
      </c>
      <c r="V99" s="101">
        <v>50.17</v>
      </c>
      <c r="W99" s="101">
        <v>50.08</v>
      </c>
      <c r="X99" s="101">
        <v>49.97</v>
      </c>
      <c r="Y99" s="101">
        <v>49.98</v>
      </c>
      <c r="Z99" s="101">
        <v>50.02</v>
      </c>
      <c r="AA99" s="101">
        <v>49.94</v>
      </c>
      <c r="AB99" s="101">
        <v>49.94</v>
      </c>
      <c r="AC99" s="101">
        <v>50.058999999999997</v>
      </c>
      <c r="AD99" s="101">
        <v>49.948999999999998</v>
      </c>
      <c r="AE99" s="101">
        <v>49.945</v>
      </c>
      <c r="AF99" s="101">
        <v>49.98</v>
      </c>
      <c r="AG99" s="102"/>
      <c r="AH99" s="47">
        <f t="shared" si="8"/>
        <v>50.17</v>
      </c>
      <c r="AI99" s="48">
        <f t="shared" si="9"/>
        <v>49.845999999999997</v>
      </c>
    </row>
    <row r="100" spans="1:37" x14ac:dyDescent="0.25">
      <c r="A100" s="103" t="s">
        <v>108</v>
      </c>
      <c r="B100" s="65">
        <v>123.8</v>
      </c>
      <c r="C100" s="65">
        <v>123.7</v>
      </c>
      <c r="D100" s="65">
        <v>124.9</v>
      </c>
      <c r="E100" s="65">
        <v>125.3</v>
      </c>
      <c r="F100" s="65">
        <v>123.9</v>
      </c>
      <c r="G100" s="65">
        <v>125.7</v>
      </c>
      <c r="H100" s="65">
        <v>124.8</v>
      </c>
      <c r="I100" s="65">
        <v>124.9</v>
      </c>
      <c r="J100" s="65">
        <v>124.9</v>
      </c>
      <c r="K100" s="65">
        <v>124.9</v>
      </c>
      <c r="L100" s="65">
        <v>123.4</v>
      </c>
      <c r="M100" s="65">
        <v>122.9</v>
      </c>
      <c r="N100" s="65">
        <v>121.4</v>
      </c>
      <c r="O100" s="65">
        <v>121.8</v>
      </c>
      <c r="P100" s="65">
        <v>120.4</v>
      </c>
      <c r="Q100" s="65">
        <v>120</v>
      </c>
      <c r="R100" s="65">
        <v>124.3</v>
      </c>
      <c r="S100" s="65">
        <v>124.8</v>
      </c>
      <c r="T100" s="65">
        <v>124.5</v>
      </c>
      <c r="U100" s="65">
        <v>125.3</v>
      </c>
      <c r="V100" s="65">
        <v>129.4</v>
      </c>
      <c r="W100" s="65">
        <v>129.9</v>
      </c>
      <c r="X100" s="65">
        <v>129.69999999999999</v>
      </c>
      <c r="Y100" s="65">
        <v>127</v>
      </c>
      <c r="Z100" s="65">
        <v>130.4</v>
      </c>
      <c r="AA100" s="65">
        <v>128.9</v>
      </c>
      <c r="AB100" s="65">
        <v>128.9</v>
      </c>
      <c r="AC100" s="65">
        <v>127.32</v>
      </c>
      <c r="AD100" s="65">
        <v>126.6</v>
      </c>
      <c r="AE100" s="65">
        <v>126.6</v>
      </c>
      <c r="AF100" s="65">
        <v>126.6</v>
      </c>
      <c r="AG100" s="104"/>
      <c r="AH100" s="47">
        <f t="shared" si="8"/>
        <v>130.4</v>
      </c>
      <c r="AI100" s="48">
        <f t="shared" si="9"/>
        <v>120</v>
      </c>
    </row>
    <row r="101" spans="1:37" x14ac:dyDescent="0.25">
      <c r="A101" s="103" t="s">
        <v>109</v>
      </c>
      <c r="B101" s="65">
        <v>129</v>
      </c>
      <c r="C101" s="65">
        <v>129</v>
      </c>
      <c r="D101" s="65">
        <v>129.6</v>
      </c>
      <c r="E101" s="65">
        <v>130.19999999999999</v>
      </c>
      <c r="F101" s="65">
        <v>129.19999999999999</v>
      </c>
      <c r="G101" s="65">
        <v>130.19999999999999</v>
      </c>
      <c r="H101" s="65">
        <v>129</v>
      </c>
      <c r="I101" s="65">
        <v>128.6</v>
      </c>
      <c r="J101" s="65">
        <v>128.30000000000001</v>
      </c>
      <c r="K101" s="65">
        <v>128.30000000000001</v>
      </c>
      <c r="L101" s="65">
        <v>127.4</v>
      </c>
      <c r="M101" s="65">
        <v>126.8</v>
      </c>
      <c r="N101" s="65">
        <v>125.8</v>
      </c>
      <c r="O101" s="65">
        <v>125.8</v>
      </c>
      <c r="P101" s="65">
        <v>125.2</v>
      </c>
      <c r="Q101" s="65">
        <v>124.5</v>
      </c>
      <c r="R101" s="65">
        <v>127.8</v>
      </c>
      <c r="S101" s="65">
        <v>128.4</v>
      </c>
      <c r="T101" s="65">
        <v>128.19999999999999</v>
      </c>
      <c r="U101" s="65">
        <v>128.80000000000001</v>
      </c>
      <c r="V101" s="65">
        <v>131.4</v>
      </c>
      <c r="W101" s="65">
        <v>132</v>
      </c>
      <c r="X101" s="65">
        <v>131.9</v>
      </c>
      <c r="Y101" s="65">
        <v>129.9</v>
      </c>
      <c r="Z101" s="65">
        <v>132.5</v>
      </c>
      <c r="AA101" s="65">
        <v>131.30000000000001</v>
      </c>
      <c r="AB101" s="65">
        <v>131.30000000000001</v>
      </c>
      <c r="AC101" s="65">
        <v>130.69999999999999</v>
      </c>
      <c r="AD101" s="65">
        <v>130.30000000000001</v>
      </c>
      <c r="AE101" s="65">
        <v>130.30000000000001</v>
      </c>
      <c r="AF101" s="65">
        <v>130.30000000000001</v>
      </c>
      <c r="AG101" s="104"/>
      <c r="AH101" s="47">
        <f t="shared" si="8"/>
        <v>132.5</v>
      </c>
      <c r="AI101" s="48">
        <f t="shared" si="9"/>
        <v>124.5</v>
      </c>
    </row>
    <row r="102" spans="1:37" x14ac:dyDescent="0.25">
      <c r="A102" s="103" t="s">
        <v>110</v>
      </c>
      <c r="B102" s="65">
        <v>130</v>
      </c>
      <c r="C102" s="65">
        <v>131.5</v>
      </c>
      <c r="D102" s="65">
        <v>130.6</v>
      </c>
      <c r="E102" s="65">
        <v>130.69999999999999</v>
      </c>
      <c r="F102" s="65">
        <v>128.80000000000001</v>
      </c>
      <c r="G102" s="65">
        <v>131.69999999999999</v>
      </c>
      <c r="H102" s="65">
        <v>129.69999999999999</v>
      </c>
      <c r="I102" s="65">
        <v>129.1</v>
      </c>
      <c r="J102" s="65">
        <v>126.5</v>
      </c>
      <c r="K102" s="65">
        <v>126.5</v>
      </c>
      <c r="L102" s="65">
        <v>123.7</v>
      </c>
      <c r="M102" s="65">
        <v>125.4</v>
      </c>
      <c r="N102" s="65">
        <v>128.1</v>
      </c>
      <c r="O102" s="65">
        <v>123.3</v>
      </c>
      <c r="P102" s="65">
        <v>125.9</v>
      </c>
      <c r="Q102" s="65">
        <v>126.8</v>
      </c>
      <c r="R102" s="65">
        <v>125.6</v>
      </c>
      <c r="S102" s="65">
        <v>127.2</v>
      </c>
      <c r="T102" s="65">
        <v>125.34</v>
      </c>
      <c r="U102" s="65">
        <v>127.5</v>
      </c>
      <c r="V102" s="65">
        <v>132</v>
      </c>
      <c r="W102" s="65">
        <v>130</v>
      </c>
      <c r="X102" s="65">
        <v>131.5</v>
      </c>
      <c r="Y102" s="65">
        <v>128.6</v>
      </c>
      <c r="Z102" s="65">
        <v>127.1</v>
      </c>
      <c r="AA102" s="65">
        <v>127.6</v>
      </c>
      <c r="AB102" s="65">
        <v>127.6</v>
      </c>
      <c r="AC102" s="65">
        <v>128.19999999999999</v>
      </c>
      <c r="AD102" s="65">
        <v>131.1</v>
      </c>
      <c r="AE102" s="65">
        <v>131.1</v>
      </c>
      <c r="AF102" s="65">
        <v>131.1</v>
      </c>
      <c r="AG102" s="104"/>
      <c r="AH102" s="47">
        <f t="shared" si="8"/>
        <v>132</v>
      </c>
      <c r="AI102" s="48">
        <f t="shared" si="9"/>
        <v>123.3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>
        <v>128</v>
      </c>
      <c r="C104" s="106">
        <v>132</v>
      </c>
      <c r="D104" s="106">
        <v>131.9</v>
      </c>
      <c r="E104" s="106">
        <v>131.1</v>
      </c>
      <c r="F104" s="106">
        <v>132.5</v>
      </c>
      <c r="G104" s="106">
        <v>134.30000000000001</v>
      </c>
      <c r="H104" s="106">
        <v>130.9</v>
      </c>
      <c r="I104" s="106">
        <v>131.19999999999999</v>
      </c>
      <c r="J104" s="106">
        <v>130.4</v>
      </c>
      <c r="K104" s="106">
        <v>130.4</v>
      </c>
      <c r="L104" s="106">
        <v>131</v>
      </c>
      <c r="M104" s="106">
        <v>132.19999999999999</v>
      </c>
      <c r="N104" s="106">
        <v>125.6</v>
      </c>
      <c r="O104" s="106">
        <v>131.80000000000001</v>
      </c>
      <c r="P104" s="106">
        <v>131.1</v>
      </c>
      <c r="Q104" s="106">
        <v>133.69999999999999</v>
      </c>
      <c r="R104" s="106">
        <v>133.9</v>
      </c>
      <c r="S104" s="106">
        <v>134.69999999999999</v>
      </c>
      <c r="T104" s="106">
        <v>131.19999999999999</v>
      </c>
      <c r="U104" s="106">
        <v>134.19999999999999</v>
      </c>
      <c r="V104" s="106">
        <v>134.9</v>
      </c>
      <c r="W104" s="106">
        <v>130</v>
      </c>
      <c r="X104" s="106">
        <v>131.1</v>
      </c>
      <c r="Y104" s="106">
        <v>130.1</v>
      </c>
      <c r="Z104" s="106">
        <v>131.1</v>
      </c>
      <c r="AA104" s="106">
        <v>134.6</v>
      </c>
      <c r="AB104" s="106">
        <v>134.6</v>
      </c>
      <c r="AC104" s="106">
        <v>131</v>
      </c>
      <c r="AD104" s="106">
        <v>131.19999999999999</v>
      </c>
      <c r="AE104" s="106">
        <v>131.19999999999999</v>
      </c>
      <c r="AF104" s="106">
        <v>131.19999999999999</v>
      </c>
      <c r="AG104" s="107"/>
      <c r="AH104" s="47">
        <f t="shared" si="8"/>
        <v>134.9</v>
      </c>
      <c r="AI104" s="48">
        <f t="shared" si="9"/>
        <v>125.6</v>
      </c>
    </row>
    <row r="105" spans="1:37" x14ac:dyDescent="0.25">
      <c r="A105" s="103" t="s">
        <v>113</v>
      </c>
      <c r="B105" s="65">
        <v>124.3</v>
      </c>
      <c r="C105" s="65">
        <v>127.8</v>
      </c>
      <c r="D105" s="65">
        <v>130.9</v>
      </c>
      <c r="E105" s="65">
        <v>131</v>
      </c>
      <c r="F105" s="65">
        <v>132.4</v>
      </c>
      <c r="G105" s="65">
        <v>131.80000000000001</v>
      </c>
      <c r="H105" s="65">
        <v>127.7</v>
      </c>
      <c r="I105" s="65">
        <v>130.69999999999999</v>
      </c>
      <c r="J105" s="65">
        <v>129.80000000000001</v>
      </c>
      <c r="K105" s="65">
        <v>129.80000000000001</v>
      </c>
      <c r="L105" s="65">
        <v>130.9</v>
      </c>
      <c r="M105" s="65">
        <v>126.9</v>
      </c>
      <c r="N105" s="65">
        <v>129.80000000000001</v>
      </c>
      <c r="O105" s="65">
        <v>130.4</v>
      </c>
      <c r="P105" s="65">
        <v>137.80000000000001</v>
      </c>
      <c r="Q105" s="65">
        <v>132.4</v>
      </c>
      <c r="R105" s="65">
        <v>132.1</v>
      </c>
      <c r="S105" s="65">
        <v>126.6</v>
      </c>
      <c r="T105" s="65">
        <v>128.19999999999999</v>
      </c>
      <c r="U105" s="65">
        <v>132.5</v>
      </c>
      <c r="V105" s="65">
        <v>132.1</v>
      </c>
      <c r="W105" s="65">
        <v>130.19999999999999</v>
      </c>
      <c r="X105" s="65">
        <v>127.8</v>
      </c>
      <c r="Y105" s="65">
        <v>130.6</v>
      </c>
      <c r="Z105" s="65">
        <v>132</v>
      </c>
      <c r="AA105" s="65">
        <v>124.5</v>
      </c>
      <c r="AB105" s="65">
        <v>124.5</v>
      </c>
      <c r="AC105" s="65">
        <v>130</v>
      </c>
      <c r="AD105" s="65">
        <v>124.2</v>
      </c>
      <c r="AE105" s="65">
        <v>124.2</v>
      </c>
      <c r="AF105" s="65">
        <v>124.2</v>
      </c>
      <c r="AG105" s="104"/>
      <c r="AH105" s="47">
        <f t="shared" si="8"/>
        <v>137.80000000000001</v>
      </c>
      <c r="AI105" s="48">
        <f t="shared" si="9"/>
        <v>124.2</v>
      </c>
    </row>
    <row r="106" spans="1:37" ht="15.75" thickBot="1" x14ac:dyDescent="0.3">
      <c r="A106" s="103" t="s">
        <v>114</v>
      </c>
      <c r="B106" s="92">
        <v>64.7</v>
      </c>
      <c r="C106" s="92">
        <v>64.8</v>
      </c>
      <c r="D106" s="92">
        <v>65.3</v>
      </c>
      <c r="E106" s="92">
        <v>65.400000000000006</v>
      </c>
      <c r="F106" s="92">
        <v>64.8</v>
      </c>
      <c r="G106" s="92">
        <v>65.2</v>
      </c>
      <c r="H106" s="92">
        <v>64.8</v>
      </c>
      <c r="I106" s="92">
        <v>64.8</v>
      </c>
      <c r="J106" s="92">
        <v>64.400000000000006</v>
      </c>
      <c r="K106" s="92">
        <v>64.400000000000006</v>
      </c>
      <c r="L106" s="92">
        <v>63.7</v>
      </c>
      <c r="M106" s="92">
        <v>63.6</v>
      </c>
      <c r="N106" s="92">
        <v>62.8</v>
      </c>
      <c r="O106" s="92">
        <v>62.7</v>
      </c>
      <c r="P106" s="92">
        <v>62.4</v>
      </c>
      <c r="Q106" s="92">
        <v>61.8</v>
      </c>
      <c r="R106" s="92">
        <v>63.9</v>
      </c>
      <c r="S106" s="92">
        <v>64.3</v>
      </c>
      <c r="T106" s="92">
        <v>64</v>
      </c>
      <c r="U106" s="92">
        <v>64.400000000000006</v>
      </c>
      <c r="V106" s="92">
        <v>65.900000000000006</v>
      </c>
      <c r="W106" s="92">
        <v>66.099999999999994</v>
      </c>
      <c r="X106" s="92">
        <v>66.099999999999994</v>
      </c>
      <c r="Y106" s="92">
        <v>65.099999999999994</v>
      </c>
      <c r="Z106" s="92">
        <v>66.2</v>
      </c>
      <c r="AA106" s="92">
        <v>65.7</v>
      </c>
      <c r="AB106" s="92">
        <v>65.7</v>
      </c>
      <c r="AC106" s="92">
        <v>66.7</v>
      </c>
      <c r="AD106" s="92">
        <v>65.400000000000006</v>
      </c>
      <c r="AE106" s="92">
        <v>65.400000000000006</v>
      </c>
      <c r="AF106" s="92">
        <v>65.400000000000006</v>
      </c>
      <c r="AG106" s="108"/>
      <c r="AH106" s="47">
        <f t="shared" si="8"/>
        <v>66.7</v>
      </c>
      <c r="AI106" s="48">
        <f t="shared" si="9"/>
        <v>61.8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f t="shared" ref="B108:AF108" si="15">SUM(B18,B24,B27:B28,B56,B58:B59,B61,B63,B109:B113,B135,B141,B147,B156,B158,B170,B177,B180:B181,B188,B190,B192,B196:B198,B200:B202,B207,B213:B214,B216:B218,B226,B231)</f>
        <v>88.800000000000011</v>
      </c>
      <c r="C108" s="111">
        <f t="shared" si="15"/>
        <v>86.539999999999992</v>
      </c>
      <c r="D108" s="111">
        <f t="shared" si="15"/>
        <v>83.739999999999981</v>
      </c>
      <c r="E108" s="111">
        <f t="shared" si="15"/>
        <v>82.740000000000009</v>
      </c>
      <c r="F108" s="111">
        <f t="shared" si="15"/>
        <v>83.54000000000002</v>
      </c>
      <c r="G108" s="111">
        <f t="shared" si="15"/>
        <v>116.54000000000002</v>
      </c>
      <c r="H108" s="111">
        <f t="shared" si="15"/>
        <v>148.44</v>
      </c>
      <c r="I108" s="111">
        <f t="shared" si="15"/>
        <v>197.44</v>
      </c>
      <c r="J108" s="111">
        <f t="shared" si="15"/>
        <v>207.34000000000003</v>
      </c>
      <c r="K108" s="111">
        <f t="shared" si="15"/>
        <v>207.34000000000003</v>
      </c>
      <c r="L108" s="111">
        <f t="shared" si="15"/>
        <v>250.14</v>
      </c>
      <c r="M108" s="111">
        <f t="shared" si="15"/>
        <v>250.94</v>
      </c>
      <c r="N108" s="111">
        <f t="shared" si="15"/>
        <v>252.24</v>
      </c>
      <c r="O108" s="111">
        <f t="shared" si="15"/>
        <v>255.83999999999997</v>
      </c>
      <c r="P108" s="111">
        <v>42</v>
      </c>
      <c r="Q108" s="111">
        <f t="shared" si="15"/>
        <v>259.10000000000002</v>
      </c>
      <c r="R108" s="111">
        <f t="shared" si="15"/>
        <v>243.89999999999998</v>
      </c>
      <c r="S108" s="111">
        <f t="shared" si="15"/>
        <v>253.2</v>
      </c>
      <c r="T108" s="111">
        <f t="shared" si="15"/>
        <v>228.2</v>
      </c>
      <c r="U108" s="111">
        <f t="shared" si="15"/>
        <v>254.3</v>
      </c>
      <c r="V108" s="111">
        <f t="shared" si="15"/>
        <v>237.4</v>
      </c>
      <c r="W108" s="111">
        <f t="shared" si="15"/>
        <v>243.09999999999997</v>
      </c>
      <c r="X108" s="111">
        <f t="shared" si="15"/>
        <v>269.10000000000002</v>
      </c>
      <c r="Y108" s="111">
        <f t="shared" si="15"/>
        <v>272.10000000000002</v>
      </c>
      <c r="Z108" s="111">
        <f t="shared" si="15"/>
        <v>274.2</v>
      </c>
      <c r="AA108" s="111">
        <f t="shared" si="15"/>
        <v>253.1</v>
      </c>
      <c r="AB108" s="111">
        <f t="shared" si="15"/>
        <v>252.3</v>
      </c>
      <c r="AC108" s="111">
        <f t="shared" si="15"/>
        <v>186.2</v>
      </c>
      <c r="AD108" s="111">
        <f t="shared" si="15"/>
        <v>151.9</v>
      </c>
      <c r="AE108" s="111">
        <f t="shared" si="15"/>
        <v>109.7</v>
      </c>
      <c r="AF108" s="111">
        <f t="shared" si="15"/>
        <v>106.89999999999998</v>
      </c>
      <c r="AG108" s="112"/>
      <c r="AH108" s="47">
        <f t="shared" si="8"/>
        <v>274.2</v>
      </c>
      <c r="AI108" s="48">
        <f t="shared" si="9"/>
        <v>42</v>
      </c>
    </row>
    <row r="109" spans="1:37" x14ac:dyDescent="0.25">
      <c r="A109" s="100" t="s">
        <v>117</v>
      </c>
      <c r="B109" s="113">
        <v>8</v>
      </c>
      <c r="C109" s="113">
        <v>2.6</v>
      </c>
      <c r="D109" s="113">
        <v>4.5999999999999996</v>
      </c>
      <c r="E109" s="113">
        <v>1.1000000000000001</v>
      </c>
      <c r="F109" s="113">
        <v>5.7</v>
      </c>
      <c r="G109" s="113">
        <v>5.7</v>
      </c>
      <c r="H109" s="113">
        <v>21.5</v>
      </c>
      <c r="I109" s="113">
        <v>32.6</v>
      </c>
      <c r="J109" s="113">
        <v>36.1</v>
      </c>
      <c r="K109" s="113">
        <v>36.1</v>
      </c>
      <c r="L109" s="113">
        <v>43.8</v>
      </c>
      <c r="M109" s="113">
        <v>42.8</v>
      </c>
      <c r="N109" s="113">
        <v>29.2</v>
      </c>
      <c r="O109" s="113">
        <v>29.8</v>
      </c>
      <c r="P109" s="113">
        <v>27</v>
      </c>
      <c r="Q109" s="113">
        <v>29.4</v>
      </c>
      <c r="R109" s="113">
        <v>24.4</v>
      </c>
      <c r="S109" s="113">
        <v>25.3</v>
      </c>
      <c r="T109" s="113">
        <v>15.9</v>
      </c>
      <c r="U109" s="113">
        <v>24.4</v>
      </c>
      <c r="V109" s="113">
        <v>30</v>
      </c>
      <c r="W109" s="113">
        <v>27.1</v>
      </c>
      <c r="X109" s="113">
        <v>40.9</v>
      </c>
      <c r="Y109" s="113">
        <v>18.899999999999999</v>
      </c>
      <c r="Z109" s="113">
        <v>21.1</v>
      </c>
      <c r="AA109" s="113">
        <v>23</v>
      </c>
      <c r="AB109" s="113">
        <v>23</v>
      </c>
      <c r="AC109" s="113">
        <v>8.5</v>
      </c>
      <c r="AD109" s="113">
        <v>15.6</v>
      </c>
      <c r="AE109" s="113">
        <v>17.8</v>
      </c>
      <c r="AF109" s="113">
        <v>16</v>
      </c>
      <c r="AG109" s="114">
        <v>75</v>
      </c>
      <c r="AH109" s="47">
        <f t="shared" si="8"/>
        <v>43.8</v>
      </c>
      <c r="AI109" s="48">
        <f t="shared" si="9"/>
        <v>1.1000000000000001</v>
      </c>
    </row>
    <row r="110" spans="1:37" x14ac:dyDescent="0.25">
      <c r="A110" s="103" t="s">
        <v>118</v>
      </c>
      <c r="B110" s="115">
        <v>23.6</v>
      </c>
      <c r="C110" s="115">
        <v>16.8</v>
      </c>
      <c r="D110" s="115">
        <v>18.399999999999999</v>
      </c>
      <c r="E110" s="115">
        <v>14</v>
      </c>
      <c r="F110" s="115">
        <v>18.600000000000001</v>
      </c>
      <c r="G110" s="115">
        <v>16.5</v>
      </c>
      <c r="H110" s="115">
        <v>38.6</v>
      </c>
      <c r="I110" s="115">
        <v>50.6</v>
      </c>
      <c r="J110" s="115">
        <v>52.5</v>
      </c>
      <c r="K110" s="115">
        <v>52.5</v>
      </c>
      <c r="L110" s="115">
        <v>61.3</v>
      </c>
      <c r="M110" s="115">
        <v>63.3</v>
      </c>
      <c r="N110" s="115">
        <v>45.8</v>
      </c>
      <c r="O110" s="115">
        <v>44.6</v>
      </c>
      <c r="P110" s="115">
        <v>41.7</v>
      </c>
      <c r="Q110" s="115">
        <v>47.8</v>
      </c>
      <c r="R110" s="115">
        <v>42</v>
      </c>
      <c r="S110" s="115">
        <f>35.8+21.4</f>
        <v>57.199999999999996</v>
      </c>
      <c r="T110" s="115">
        <v>28.2</v>
      </c>
      <c r="U110" s="115">
        <v>39.799999999999997</v>
      </c>
      <c r="V110" s="115">
        <v>49</v>
      </c>
      <c r="W110" s="115">
        <v>43.5</v>
      </c>
      <c r="X110" s="115">
        <v>40.9</v>
      </c>
      <c r="Y110" s="115">
        <v>25.4</v>
      </c>
      <c r="Z110" s="115">
        <v>26.6</v>
      </c>
      <c r="AA110" s="115">
        <v>31</v>
      </c>
      <c r="AB110" s="115">
        <v>31</v>
      </c>
      <c r="AC110" s="115">
        <v>14.2</v>
      </c>
      <c r="AD110" s="115">
        <v>29.1</v>
      </c>
      <c r="AE110" s="115">
        <v>30.5</v>
      </c>
      <c r="AF110" s="115">
        <v>28</v>
      </c>
      <c r="AG110" s="114">
        <v>240</v>
      </c>
      <c r="AH110" s="47">
        <f t="shared" si="8"/>
        <v>63.3</v>
      </c>
      <c r="AI110" s="48">
        <f t="shared" si="9"/>
        <v>14</v>
      </c>
    </row>
    <row r="111" spans="1:37" x14ac:dyDescent="0.25">
      <c r="A111" s="103" t="s">
        <v>119</v>
      </c>
      <c r="B111" s="115">
        <v>-92</v>
      </c>
      <c r="C111" s="115">
        <v>-94</v>
      </c>
      <c r="D111" s="115">
        <v>-95</v>
      </c>
      <c r="E111" s="115">
        <f>-46.9-50.2</f>
        <v>-97.1</v>
      </c>
      <c r="F111" s="115">
        <f>-48.3-52.5</f>
        <v>-100.8</v>
      </c>
      <c r="G111" s="115">
        <f>-36.7-40.4</f>
        <v>-77.099999999999994</v>
      </c>
      <c r="H111" s="115">
        <f>-37.4-40.7</f>
        <v>-78.099999999999994</v>
      </c>
      <c r="I111" s="115">
        <f>-30.2-33.1</f>
        <v>-63.3</v>
      </c>
      <c r="J111" s="115">
        <f>-28.1-30.6</f>
        <v>-58.7</v>
      </c>
      <c r="K111" s="115">
        <f>-28.1-30.6</f>
        <v>-58.7</v>
      </c>
      <c r="L111" s="115">
        <v>-47</v>
      </c>
      <c r="M111" s="115">
        <v>-48.2</v>
      </c>
      <c r="N111" s="115">
        <v>-46</v>
      </c>
      <c r="O111" s="115">
        <v>-46</v>
      </c>
      <c r="P111" s="115">
        <v>-48</v>
      </c>
      <c r="Q111" s="115">
        <v>-54</v>
      </c>
      <c r="R111" s="115">
        <v>-53</v>
      </c>
      <c r="S111" s="115">
        <f>-37.3-22.6</f>
        <v>-59.9</v>
      </c>
      <c r="T111" s="115">
        <f>-37.2-19.9</f>
        <v>-57.1</v>
      </c>
      <c r="U111" s="115">
        <f>-37.2-12.8</f>
        <v>-50</v>
      </c>
      <c r="V111" s="115">
        <f>-28.6-18.7</f>
        <v>-47.3</v>
      </c>
      <c r="W111" s="115">
        <f>-24.5-20.4</f>
        <v>-44.9</v>
      </c>
      <c r="X111" s="115">
        <f>-14-7.5</f>
        <v>-21.5</v>
      </c>
      <c r="Y111" s="115">
        <f>3.3+3.7</f>
        <v>7</v>
      </c>
      <c r="Z111" s="115">
        <f>-4.2-2</f>
        <v>-6.2</v>
      </c>
      <c r="AA111" s="115">
        <f>-7.8-9.8</f>
        <v>-17.600000000000001</v>
      </c>
      <c r="AB111" s="115">
        <f>-7.8-9.8</f>
        <v>-17.600000000000001</v>
      </c>
      <c r="AC111" s="115">
        <v>-11.2</v>
      </c>
      <c r="AD111" s="115">
        <v>-42</v>
      </c>
      <c r="AE111" s="115">
        <v>-47.6</v>
      </c>
      <c r="AF111" s="115">
        <v>-46</v>
      </c>
      <c r="AG111" s="114">
        <v>240</v>
      </c>
      <c r="AH111" s="47">
        <f t="shared" si="8"/>
        <v>7</v>
      </c>
      <c r="AI111" s="48">
        <f t="shared" si="9"/>
        <v>-100.8</v>
      </c>
    </row>
    <row r="112" spans="1:37" x14ac:dyDescent="0.25">
      <c r="A112" s="103" t="s">
        <v>120</v>
      </c>
      <c r="B112" s="115">
        <v>-13</v>
      </c>
      <c r="C112" s="115">
        <v>-12</v>
      </c>
      <c r="D112" s="115">
        <v>-11</v>
      </c>
      <c r="E112" s="115">
        <v>-12.5</v>
      </c>
      <c r="F112" s="115">
        <v>-14.7</v>
      </c>
      <c r="G112" s="115">
        <v>-10.1</v>
      </c>
      <c r="H112" s="115">
        <v>-7.5</v>
      </c>
      <c r="I112" s="115">
        <v>-4.0999999999999996</v>
      </c>
      <c r="J112" s="115">
        <v>-3.7</v>
      </c>
      <c r="K112" s="115">
        <v>-3.7</v>
      </c>
      <c r="L112" s="115">
        <v>-4.5999999999999996</v>
      </c>
      <c r="M112" s="115">
        <v>0</v>
      </c>
      <c r="N112" s="115">
        <v>-2.9</v>
      </c>
      <c r="O112" s="115">
        <v>-0.8</v>
      </c>
      <c r="P112" s="115">
        <v>-3.3</v>
      </c>
      <c r="Q112" s="115">
        <v>-1.3</v>
      </c>
      <c r="R112" s="115">
        <v>14.1</v>
      </c>
      <c r="S112" s="115">
        <v>23.1</v>
      </c>
      <c r="T112" s="115">
        <v>17.600000000000001</v>
      </c>
      <c r="U112" s="115">
        <v>29.5</v>
      </c>
      <c r="V112" s="115">
        <v>25</v>
      </c>
      <c r="W112" s="115">
        <v>19</v>
      </c>
      <c r="X112" s="115">
        <v>10.7</v>
      </c>
      <c r="Y112" s="115">
        <v>16.8</v>
      </c>
      <c r="Z112" s="115">
        <v>24.6</v>
      </c>
      <c r="AA112" s="115">
        <v>14.6</v>
      </c>
      <c r="AB112" s="115">
        <v>14.6</v>
      </c>
      <c r="AC112" s="115">
        <v>11.7</v>
      </c>
      <c r="AD112" s="115">
        <v>3.4</v>
      </c>
      <c r="AE112" s="115">
        <v>-11.3</v>
      </c>
      <c r="AF112" s="115">
        <v>-11</v>
      </c>
      <c r="AG112" s="114">
        <v>60</v>
      </c>
      <c r="AH112" s="47">
        <f t="shared" si="8"/>
        <v>29.5</v>
      </c>
      <c r="AI112" s="48">
        <f t="shared" si="9"/>
        <v>-14.7</v>
      </c>
    </row>
    <row r="113" spans="1:37" x14ac:dyDescent="0.25">
      <c r="A113" s="116" t="s">
        <v>121</v>
      </c>
      <c r="B113" s="117">
        <v>56</v>
      </c>
      <c r="C113" s="117">
        <v>59</v>
      </c>
      <c r="D113" s="117">
        <v>52.6</v>
      </c>
      <c r="E113" s="117">
        <v>62.9</v>
      </c>
      <c r="F113" s="117">
        <v>60.4</v>
      </c>
      <c r="G113" s="117">
        <v>67.2</v>
      </c>
      <c r="H113" s="117">
        <v>59.6</v>
      </c>
      <c r="I113" s="117">
        <v>66.2</v>
      </c>
      <c r="J113" s="117">
        <v>64.8</v>
      </c>
      <c r="K113" s="117">
        <v>64.8</v>
      </c>
      <c r="L113" s="117">
        <v>80.3</v>
      </c>
      <c r="M113" s="117">
        <v>72.5</v>
      </c>
      <c r="N113" s="117">
        <v>96.7</v>
      </c>
      <c r="O113" s="117">
        <v>98.8</v>
      </c>
      <c r="P113" s="117">
        <v>100.8</v>
      </c>
      <c r="Q113" s="117">
        <v>102.8</v>
      </c>
      <c r="R113" s="117">
        <v>96.3</v>
      </c>
      <c r="S113" s="117">
        <v>88.4</v>
      </c>
      <c r="T113" s="117">
        <v>105.8</v>
      </c>
      <c r="U113" s="117">
        <v>92.5</v>
      </c>
      <c r="V113" s="117">
        <v>62.6</v>
      </c>
      <c r="W113" s="117">
        <v>79.3</v>
      </c>
      <c r="X113" s="117">
        <v>79</v>
      </c>
      <c r="Y113" s="117">
        <v>86.9</v>
      </c>
      <c r="Z113" s="117">
        <v>91</v>
      </c>
      <c r="AA113" s="117">
        <v>85</v>
      </c>
      <c r="AB113" s="117">
        <v>85</v>
      </c>
      <c r="AC113" s="117">
        <v>48.1</v>
      </c>
      <c r="AD113" s="117">
        <v>30.9</v>
      </c>
      <c r="AE113" s="117">
        <v>5.4</v>
      </c>
      <c r="AF113" s="117">
        <v>5</v>
      </c>
      <c r="AG113" s="118">
        <v>120</v>
      </c>
      <c r="AH113" s="47">
        <f t="shared" si="8"/>
        <v>105.8</v>
      </c>
      <c r="AI113" s="48">
        <f t="shared" si="9"/>
        <v>5</v>
      </c>
    </row>
    <row r="114" spans="1:37" x14ac:dyDescent="0.25">
      <c r="A114" s="116" t="s">
        <v>122</v>
      </c>
      <c r="B114" s="117">
        <v>75</v>
      </c>
      <c r="C114" s="117">
        <v>77</v>
      </c>
      <c r="D114" s="117">
        <v>71.400000000000006</v>
      </c>
      <c r="E114" s="117">
        <v>82.7</v>
      </c>
      <c r="F114" s="117">
        <v>84</v>
      </c>
      <c r="G114" s="117">
        <v>78</v>
      </c>
      <c r="H114" s="117">
        <v>67.3</v>
      </c>
      <c r="I114" s="117">
        <v>67.400000000000006</v>
      </c>
      <c r="J114" s="117">
        <v>62.2</v>
      </c>
      <c r="K114" s="117">
        <v>62.2</v>
      </c>
      <c r="L114" s="117">
        <v>70</v>
      </c>
      <c r="M114" s="117">
        <v>64.2</v>
      </c>
      <c r="N114" s="117">
        <v>102.8</v>
      </c>
      <c r="O114" s="117">
        <v>100</v>
      </c>
      <c r="P114" s="117">
        <v>105.9</v>
      </c>
      <c r="Q114" s="117">
        <v>112.4</v>
      </c>
      <c r="R114" s="117">
        <v>94.8</v>
      </c>
      <c r="S114" s="117">
        <v>87.4</v>
      </c>
      <c r="T114" s="117">
        <v>99.4</v>
      </c>
      <c r="U114" s="117">
        <v>100.9</v>
      </c>
      <c r="V114" s="117">
        <v>70.8</v>
      </c>
      <c r="W114" s="117">
        <v>70.8</v>
      </c>
      <c r="X114" s="117">
        <v>43.1</v>
      </c>
      <c r="Y114" s="117">
        <v>79.099999999999994</v>
      </c>
      <c r="Z114" s="117">
        <v>40</v>
      </c>
      <c r="AA114" s="117">
        <v>30</v>
      </c>
      <c r="AB114" s="117">
        <v>30</v>
      </c>
      <c r="AC114" s="117">
        <v>79.599999999999994</v>
      </c>
      <c r="AD114" s="117">
        <v>80.3</v>
      </c>
      <c r="AE114" s="117">
        <v>87</v>
      </c>
      <c r="AF114" s="117">
        <v>87</v>
      </c>
      <c r="AG114" s="118"/>
      <c r="AH114" s="47">
        <f t="shared" si="8"/>
        <v>112.4</v>
      </c>
      <c r="AI114" s="48">
        <f t="shared" si="9"/>
        <v>30</v>
      </c>
    </row>
    <row r="115" spans="1:37" x14ac:dyDescent="0.25">
      <c r="A115" s="116" t="s">
        <v>123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>
        <v>0</v>
      </c>
      <c r="O115" s="117">
        <v>0</v>
      </c>
      <c r="P115" s="117">
        <v>32.4</v>
      </c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>
        <v>90.63</v>
      </c>
      <c r="AD115" s="117">
        <v>79.8</v>
      </c>
      <c r="AE115" s="117">
        <v>80.900000000000006</v>
      </c>
      <c r="AF115" s="117">
        <v>80</v>
      </c>
      <c r="AG115" s="119"/>
      <c r="AH115" s="47">
        <f t="shared" si="8"/>
        <v>90.63</v>
      </c>
      <c r="AI115" s="48">
        <f t="shared" si="9"/>
        <v>0</v>
      </c>
    </row>
    <row r="116" spans="1:37" x14ac:dyDescent="0.25">
      <c r="A116" s="120" t="s">
        <v>124</v>
      </c>
      <c r="B116" s="106">
        <v>23</v>
      </c>
      <c r="C116" s="106">
        <v>26</v>
      </c>
      <c r="D116" s="106">
        <v>35</v>
      </c>
      <c r="E116" s="106">
        <v>42.1</v>
      </c>
      <c r="F116" s="106">
        <v>40.6</v>
      </c>
      <c r="G116" s="106">
        <v>35.6</v>
      </c>
      <c r="H116" s="106">
        <v>31.5</v>
      </c>
      <c r="I116" s="106">
        <v>24.8</v>
      </c>
      <c r="J116" s="106">
        <v>20.5</v>
      </c>
      <c r="K116" s="106">
        <v>20.5</v>
      </c>
      <c r="L116" s="106">
        <v>7.9</v>
      </c>
      <c r="M116" s="106">
        <v>0</v>
      </c>
      <c r="N116" s="106">
        <v>3.4</v>
      </c>
      <c r="O116" s="106">
        <v>-1.6</v>
      </c>
      <c r="P116" s="106">
        <v>8.5</v>
      </c>
      <c r="Q116" s="106">
        <v>-6</v>
      </c>
      <c r="R116" s="106">
        <v>-21.7</v>
      </c>
      <c r="S116" s="106">
        <v>-26.8</v>
      </c>
      <c r="T116" s="106">
        <v>-32.4</v>
      </c>
      <c r="U116" s="106">
        <v>-9.6999999999999993</v>
      </c>
      <c r="V116" s="106">
        <v>-6</v>
      </c>
      <c r="W116" s="106">
        <v>-6</v>
      </c>
      <c r="X116" s="106">
        <v>-8.5</v>
      </c>
      <c r="Y116" s="106">
        <v>-12.3</v>
      </c>
      <c r="Z116" s="106">
        <v>-13.2</v>
      </c>
      <c r="AA116" s="106">
        <v>-8.6</v>
      </c>
      <c r="AB116" s="106">
        <v>-8.6</v>
      </c>
      <c r="AC116" s="106">
        <v>0</v>
      </c>
      <c r="AD116" s="106">
        <v>-11</v>
      </c>
      <c r="AE116" s="106">
        <v>12.7</v>
      </c>
      <c r="AF116" s="106">
        <v>12.3</v>
      </c>
      <c r="AG116" s="119"/>
      <c r="AH116" s="47">
        <f t="shared" si="8"/>
        <v>42.1</v>
      </c>
      <c r="AI116" s="48">
        <f t="shared" si="9"/>
        <v>-32.4</v>
      </c>
    </row>
    <row r="117" spans="1:37" ht="15.75" thickBot="1" x14ac:dyDescent="0.3">
      <c r="A117" s="120" t="s">
        <v>125</v>
      </c>
      <c r="B117" s="106">
        <v>70</v>
      </c>
      <c r="C117" s="106">
        <v>60</v>
      </c>
      <c r="D117" s="106">
        <v>64</v>
      </c>
      <c r="E117" s="106">
        <v>58.6</v>
      </c>
      <c r="F117" s="106">
        <v>63.3</v>
      </c>
      <c r="G117" s="106">
        <v>55.3</v>
      </c>
      <c r="H117" s="106">
        <v>52.8</v>
      </c>
      <c r="I117" s="106">
        <v>62.6</v>
      </c>
      <c r="J117" s="106">
        <v>71.900000000000006</v>
      </c>
      <c r="K117" s="106">
        <v>71.900000000000006</v>
      </c>
      <c r="L117" s="106">
        <v>81</v>
      </c>
      <c r="M117" s="106">
        <v>85.3</v>
      </c>
      <c r="N117" s="106">
        <v>73.8</v>
      </c>
      <c r="O117" s="106">
        <v>81.099999999999994</v>
      </c>
      <c r="P117" s="106">
        <v>84.7</v>
      </c>
      <c r="Q117" s="106">
        <v>93.6</v>
      </c>
      <c r="R117" s="106">
        <v>102.6</v>
      </c>
      <c r="S117" s="106">
        <v>101.9</v>
      </c>
      <c r="T117" s="106">
        <v>105</v>
      </c>
      <c r="U117" s="106">
        <v>91.1</v>
      </c>
      <c r="V117" s="106">
        <v>78.8</v>
      </c>
      <c r="W117" s="106">
        <v>78.8</v>
      </c>
      <c r="X117" s="106">
        <v>70.599999999999994</v>
      </c>
      <c r="Y117" s="106">
        <v>89.9</v>
      </c>
      <c r="Z117" s="106">
        <v>102.4</v>
      </c>
      <c r="AA117" s="106">
        <v>98.6</v>
      </c>
      <c r="AB117" s="106">
        <v>98.6</v>
      </c>
      <c r="AC117" s="106">
        <v>78</v>
      </c>
      <c r="AD117" s="106">
        <v>82.3</v>
      </c>
      <c r="AE117" s="106">
        <v>36.6</v>
      </c>
      <c r="AF117" s="106">
        <v>36.6</v>
      </c>
      <c r="AG117" s="119"/>
      <c r="AH117" s="47">
        <f t="shared" si="8"/>
        <v>105</v>
      </c>
      <c r="AI117" s="48">
        <f t="shared" si="9"/>
        <v>36.6</v>
      </c>
    </row>
    <row r="118" spans="1:37" ht="15.75" thickBot="1" x14ac:dyDescent="0.3">
      <c r="A118" s="121" t="s">
        <v>126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230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231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232</v>
      </c>
      <c r="B224" s="135">
        <f t="shared" ref="B224:AG224" si="16">SUM(B119:B223)</f>
        <v>0</v>
      </c>
      <c r="C224" s="136">
        <f t="shared" si="16"/>
        <v>0</v>
      </c>
      <c r="D224" s="136">
        <f t="shared" si="16"/>
        <v>0</v>
      </c>
      <c r="E224" s="136">
        <f t="shared" si="16"/>
        <v>0</v>
      </c>
      <c r="F224" s="136">
        <f t="shared" si="16"/>
        <v>0</v>
      </c>
      <c r="G224" s="136">
        <f t="shared" si="16"/>
        <v>0</v>
      </c>
      <c r="H224" s="136">
        <f t="shared" si="16"/>
        <v>0</v>
      </c>
      <c r="I224" s="136">
        <f t="shared" si="16"/>
        <v>0</v>
      </c>
      <c r="J224" s="136">
        <f t="shared" si="16"/>
        <v>0</v>
      </c>
      <c r="K224" s="136">
        <f t="shared" si="16"/>
        <v>0</v>
      </c>
      <c r="L224" s="136">
        <f t="shared" si="16"/>
        <v>0</v>
      </c>
      <c r="M224" s="136">
        <f t="shared" si="16"/>
        <v>0</v>
      </c>
      <c r="N224" s="136">
        <f t="shared" si="16"/>
        <v>0</v>
      </c>
      <c r="O224" s="136">
        <f t="shared" si="16"/>
        <v>0</v>
      </c>
      <c r="P224" s="136">
        <f t="shared" si="16"/>
        <v>0</v>
      </c>
      <c r="Q224" s="136">
        <f t="shared" si="16"/>
        <v>0</v>
      </c>
      <c r="R224" s="136">
        <f t="shared" si="16"/>
        <v>0</v>
      </c>
      <c r="S224" s="136">
        <f t="shared" si="16"/>
        <v>0</v>
      </c>
      <c r="T224" s="136">
        <f t="shared" si="16"/>
        <v>0</v>
      </c>
      <c r="U224" s="136">
        <f t="shared" si="16"/>
        <v>0</v>
      </c>
      <c r="V224" s="136">
        <f t="shared" si="16"/>
        <v>0</v>
      </c>
      <c r="W224" s="136">
        <f t="shared" si="16"/>
        <v>0</v>
      </c>
      <c r="X224" s="136">
        <f t="shared" si="16"/>
        <v>0</v>
      </c>
      <c r="Y224" s="136">
        <f t="shared" si="16"/>
        <v>0</v>
      </c>
      <c r="Z224" s="136">
        <f t="shared" si="16"/>
        <v>0</v>
      </c>
      <c r="AA224" s="136">
        <f t="shared" si="16"/>
        <v>0</v>
      </c>
      <c r="AB224" s="136">
        <f t="shared" si="16"/>
        <v>0</v>
      </c>
      <c r="AC224" s="136">
        <f t="shared" si="16"/>
        <v>0</v>
      </c>
      <c r="AD224" s="136">
        <f t="shared" si="16"/>
        <v>0</v>
      </c>
      <c r="AE224" s="136">
        <f t="shared" si="16"/>
        <v>0</v>
      </c>
      <c r="AF224" s="137">
        <f t="shared" si="16"/>
        <v>0</v>
      </c>
      <c r="AG224" s="138">
        <f t="shared" si="16"/>
        <v>412.72299999999984</v>
      </c>
      <c r="AH224" s="47"/>
      <c r="AI224" s="48"/>
      <c r="AK224" s="49"/>
    </row>
    <row r="225" spans="1:37" ht="15.75" thickBot="1" x14ac:dyDescent="0.3">
      <c r="A225" s="26" t="s">
        <v>73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233</v>
      </c>
      <c r="B226" s="140">
        <f t="shared" ref="B226:B231" si="17">AF226</f>
        <v>0</v>
      </c>
      <c r="C226" s="140">
        <v>0.3</v>
      </c>
      <c r="D226" s="140">
        <f t="shared" ref="D226:P231" si="18">C226</f>
        <v>0.3</v>
      </c>
      <c r="E226" s="140">
        <f t="shared" si="18"/>
        <v>0.3</v>
      </c>
      <c r="F226" s="140">
        <f t="shared" si="18"/>
        <v>0.3</v>
      </c>
      <c r="G226" s="140">
        <f t="shared" si="18"/>
        <v>0.3</v>
      </c>
      <c r="H226" s="140">
        <f t="shared" si="18"/>
        <v>0.3</v>
      </c>
      <c r="I226" s="140">
        <f t="shared" si="18"/>
        <v>0.3</v>
      </c>
      <c r="J226" s="140">
        <f t="shared" si="18"/>
        <v>0.3</v>
      </c>
      <c r="K226" s="140">
        <f t="shared" si="18"/>
        <v>0.3</v>
      </c>
      <c r="L226" s="140">
        <f t="shared" si="18"/>
        <v>0.3</v>
      </c>
      <c r="M226" s="140">
        <f t="shared" si="18"/>
        <v>0.3</v>
      </c>
      <c r="N226" s="140">
        <f t="shared" si="18"/>
        <v>0.3</v>
      </c>
      <c r="O226" s="140">
        <f t="shared" si="18"/>
        <v>0.3</v>
      </c>
      <c r="P226" s="140">
        <f t="shared" si="18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234</v>
      </c>
      <c r="B227" s="128">
        <f t="shared" si="17"/>
        <v>0</v>
      </c>
      <c r="C227" s="128">
        <v>0.4</v>
      </c>
      <c r="D227" s="128">
        <f t="shared" si="18"/>
        <v>0.4</v>
      </c>
      <c r="E227" s="128">
        <f t="shared" si="18"/>
        <v>0.4</v>
      </c>
      <c r="F227" s="128">
        <f t="shared" si="18"/>
        <v>0.4</v>
      </c>
      <c r="G227" s="128">
        <f t="shared" si="18"/>
        <v>0.4</v>
      </c>
      <c r="H227" s="128">
        <f t="shared" si="18"/>
        <v>0.4</v>
      </c>
      <c r="I227" s="128">
        <f t="shared" si="18"/>
        <v>0.4</v>
      </c>
      <c r="J227" s="128">
        <f t="shared" si="18"/>
        <v>0.4</v>
      </c>
      <c r="K227" s="128">
        <f t="shared" si="18"/>
        <v>0.4</v>
      </c>
      <c r="L227" s="128">
        <f t="shared" si="18"/>
        <v>0.4</v>
      </c>
      <c r="M227" s="128">
        <f t="shared" si="18"/>
        <v>0.4</v>
      </c>
      <c r="N227" s="128">
        <f t="shared" si="18"/>
        <v>0.4</v>
      </c>
      <c r="O227" s="128">
        <f t="shared" si="18"/>
        <v>0.4</v>
      </c>
      <c r="P227" s="128">
        <f t="shared" si="18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235</v>
      </c>
      <c r="B228" s="128">
        <f t="shared" si="17"/>
        <v>0</v>
      </c>
      <c r="C228" s="128">
        <v>1.5</v>
      </c>
      <c r="D228" s="128">
        <f t="shared" si="18"/>
        <v>1.5</v>
      </c>
      <c r="E228" s="128">
        <f t="shared" si="18"/>
        <v>1.5</v>
      </c>
      <c r="F228" s="128">
        <f t="shared" si="18"/>
        <v>1.5</v>
      </c>
      <c r="G228" s="128">
        <f t="shared" si="18"/>
        <v>1.5</v>
      </c>
      <c r="H228" s="128">
        <f t="shared" si="18"/>
        <v>1.5</v>
      </c>
      <c r="I228" s="111">
        <f ca="1">SUM(I140,I146,I149:I150,I176,I178:I179,I181,I183,I229:I233,I255,I261,I267,I276,I278,I290,I297,I300:I301,I308,I310,I312,I316:I318,I320:I322,I327,I333:I334,I336:I338,I346,I351)</f>
        <v>123.21900000000009</v>
      </c>
      <c r="J228" s="128">
        <f t="shared" ca="1" si="18"/>
        <v>123.21900000000009</v>
      </c>
      <c r="K228" s="128">
        <f t="shared" ca="1" si="18"/>
        <v>123.21900000000009</v>
      </c>
      <c r="L228" s="128">
        <f t="shared" ca="1" si="18"/>
        <v>123.21900000000009</v>
      </c>
      <c r="M228" s="128">
        <f t="shared" ca="1" si="18"/>
        <v>123.21900000000009</v>
      </c>
      <c r="N228" s="128">
        <f t="shared" ca="1" si="18"/>
        <v>123.21900000000009</v>
      </c>
      <c r="O228" s="128">
        <f t="shared" ca="1" si="18"/>
        <v>123.21900000000009</v>
      </c>
      <c r="P228" s="128">
        <f t="shared" ca="1" si="18"/>
        <v>115.17900000000007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236</v>
      </c>
      <c r="B229" s="128">
        <f t="shared" si="17"/>
        <v>0</v>
      </c>
      <c r="C229" s="128">
        <v>0.3</v>
      </c>
      <c r="D229" s="128">
        <f t="shared" si="18"/>
        <v>0.3</v>
      </c>
      <c r="E229" s="128">
        <f t="shared" si="18"/>
        <v>0.3</v>
      </c>
      <c r="F229" s="128">
        <f t="shared" si="18"/>
        <v>0.3</v>
      </c>
      <c r="G229" s="128">
        <f t="shared" si="18"/>
        <v>0.3</v>
      </c>
      <c r="H229" s="128">
        <f t="shared" si="18"/>
        <v>0.3</v>
      </c>
      <c r="I229" s="128">
        <f t="shared" si="18"/>
        <v>0.3</v>
      </c>
      <c r="J229" s="128">
        <f t="shared" si="18"/>
        <v>0.3</v>
      </c>
      <c r="K229" s="128">
        <f t="shared" si="18"/>
        <v>0.3</v>
      </c>
      <c r="L229" s="128">
        <f t="shared" si="18"/>
        <v>0.3</v>
      </c>
      <c r="M229" s="128">
        <f t="shared" si="18"/>
        <v>0.3</v>
      </c>
      <c r="N229" s="128">
        <f t="shared" si="18"/>
        <v>0.3</v>
      </c>
      <c r="O229" s="128">
        <f t="shared" si="18"/>
        <v>0.3</v>
      </c>
      <c r="P229" s="128">
        <f t="shared" si="18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237</v>
      </c>
      <c r="B230" s="128">
        <f t="shared" si="17"/>
        <v>0</v>
      </c>
      <c r="C230" s="128">
        <v>0.4</v>
      </c>
      <c r="D230" s="128">
        <f t="shared" si="18"/>
        <v>0.4</v>
      </c>
      <c r="E230" s="128">
        <f t="shared" si="18"/>
        <v>0.4</v>
      </c>
      <c r="F230" s="128">
        <f t="shared" si="18"/>
        <v>0.4</v>
      </c>
      <c r="G230" s="128">
        <f t="shared" si="18"/>
        <v>0.4</v>
      </c>
      <c r="H230" s="128">
        <f t="shared" si="18"/>
        <v>0.4</v>
      </c>
      <c r="I230" s="128">
        <f t="shared" si="18"/>
        <v>0.4</v>
      </c>
      <c r="J230" s="128">
        <f t="shared" si="18"/>
        <v>0.4</v>
      </c>
      <c r="K230" s="128">
        <f t="shared" si="18"/>
        <v>0.4</v>
      </c>
      <c r="L230" s="128">
        <f t="shared" si="18"/>
        <v>0.4</v>
      </c>
      <c r="M230" s="128">
        <f t="shared" si="18"/>
        <v>0.4</v>
      </c>
      <c r="N230" s="128">
        <f t="shared" si="18"/>
        <v>0.4</v>
      </c>
      <c r="O230" s="128">
        <f t="shared" si="18"/>
        <v>0.4</v>
      </c>
      <c r="P230" s="128">
        <f t="shared" si="1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238</v>
      </c>
      <c r="B231" s="132">
        <f t="shared" si="17"/>
        <v>0</v>
      </c>
      <c r="C231" s="132">
        <v>0.64</v>
      </c>
      <c r="D231" s="132">
        <f t="shared" si="18"/>
        <v>0.64</v>
      </c>
      <c r="E231" s="132">
        <f t="shared" si="18"/>
        <v>0.64</v>
      </c>
      <c r="F231" s="132">
        <f t="shared" si="18"/>
        <v>0.64</v>
      </c>
      <c r="G231" s="132">
        <f t="shared" si="18"/>
        <v>0.64</v>
      </c>
      <c r="H231" s="132">
        <f t="shared" si="18"/>
        <v>0.64</v>
      </c>
      <c r="I231" s="132">
        <f t="shared" si="18"/>
        <v>0.64</v>
      </c>
      <c r="J231" s="132">
        <f t="shared" si="18"/>
        <v>0.64</v>
      </c>
      <c r="K231" s="132">
        <f t="shared" si="18"/>
        <v>0.64</v>
      </c>
      <c r="L231" s="132">
        <f t="shared" si="18"/>
        <v>0.64</v>
      </c>
      <c r="M231" s="132">
        <f t="shared" si="18"/>
        <v>0.64</v>
      </c>
      <c r="N231" s="132">
        <f t="shared" si="18"/>
        <v>0.64</v>
      </c>
      <c r="O231" s="132">
        <f t="shared" si="18"/>
        <v>0.64</v>
      </c>
      <c r="P231" s="132">
        <f t="shared" si="18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73</v>
      </c>
      <c r="B232" s="136">
        <f t="shared" ref="B232:AG232" si="19">SUM(B226:B231)</f>
        <v>0</v>
      </c>
      <c r="C232" s="136">
        <f t="shared" si="19"/>
        <v>3.54</v>
      </c>
      <c r="D232" s="136">
        <f t="shared" si="19"/>
        <v>3.54</v>
      </c>
      <c r="E232" s="136">
        <f t="shared" si="19"/>
        <v>3.54</v>
      </c>
      <c r="F232" s="136">
        <f t="shared" si="19"/>
        <v>3.54</v>
      </c>
      <c r="G232" s="136">
        <f t="shared" si="19"/>
        <v>3.54</v>
      </c>
      <c r="H232" s="136">
        <f t="shared" si="19"/>
        <v>3.54</v>
      </c>
      <c r="I232" s="136">
        <f t="shared" ca="1" si="19"/>
        <v>121.23900000000009</v>
      </c>
      <c r="J232" s="136">
        <f t="shared" ca="1" si="19"/>
        <v>121.23900000000009</v>
      </c>
      <c r="K232" s="136">
        <f t="shared" ca="1" si="19"/>
        <v>117.21900000000008</v>
      </c>
      <c r="L232" s="136">
        <f t="shared" ca="1" si="19"/>
        <v>117.21900000000008</v>
      </c>
      <c r="M232" s="136">
        <f t="shared" ca="1" si="19"/>
        <v>117.21900000000008</v>
      </c>
      <c r="N232" s="136">
        <f t="shared" ca="1" si="19"/>
        <v>117.21900000000008</v>
      </c>
      <c r="O232" s="136">
        <f t="shared" ca="1" si="19"/>
        <v>125.2590000000001</v>
      </c>
      <c r="P232" s="136">
        <f t="shared" ca="1" si="19"/>
        <v>117.21900000000008</v>
      </c>
      <c r="Q232" s="136">
        <f t="shared" si="19"/>
        <v>0</v>
      </c>
      <c r="R232" s="136">
        <f t="shared" si="19"/>
        <v>0</v>
      </c>
      <c r="S232" s="136">
        <f t="shared" si="19"/>
        <v>0</v>
      </c>
      <c r="T232" s="136">
        <f t="shared" si="19"/>
        <v>0</v>
      </c>
      <c r="U232" s="136">
        <f t="shared" si="19"/>
        <v>0</v>
      </c>
      <c r="V232" s="136">
        <f t="shared" si="19"/>
        <v>0</v>
      </c>
      <c r="W232" s="136">
        <f t="shared" si="19"/>
        <v>0</v>
      </c>
      <c r="X232" s="136">
        <f t="shared" si="19"/>
        <v>0</v>
      </c>
      <c r="Y232" s="136">
        <f t="shared" si="19"/>
        <v>0</v>
      </c>
      <c r="Z232" s="136">
        <f t="shared" si="19"/>
        <v>0</v>
      </c>
      <c r="AA232" s="136">
        <f t="shared" si="19"/>
        <v>0</v>
      </c>
      <c r="AB232" s="136">
        <f t="shared" si="19"/>
        <v>0</v>
      </c>
      <c r="AC232" s="136">
        <f t="shared" si="19"/>
        <v>0</v>
      </c>
      <c r="AD232" s="136">
        <f t="shared" si="19"/>
        <v>0</v>
      </c>
      <c r="AE232" s="136">
        <f t="shared" si="19"/>
        <v>0</v>
      </c>
      <c r="AF232" s="136">
        <f t="shared" si="19"/>
        <v>0</v>
      </c>
      <c r="AG232" s="145">
        <f t="shared" si="19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239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240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241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242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243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244</v>
      </c>
      <c r="B241" s="160">
        <f>MAX(G89:N89)</f>
        <v>1438.2399999999998</v>
      </c>
      <c r="C241" s="161">
        <f>INDEX(G9:N9,1,MATCH(MAX(G89:N89),G89:N89,0))</f>
        <v>0.375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3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78" t="s">
        <v>245</v>
      </c>
      <c r="B243" s="178"/>
      <c r="C243" s="43"/>
      <c r="D243" s="162" t="str">
        <f ca="1">"Pie Chart of Daily Peak Demand(Inclusive of Export) of Nepal ("&amp;A4&amp;" "&amp;B4&amp;")"</f>
        <v>Pie Chart of Daily Peak Demand(Inclusive of Export) of Nepal (Nepali Date: 2080/02/3)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2080/02/3)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246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247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248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249</v>
      </c>
      <c r="T246" s="170">
        <f t="shared" ref="T246:AX246" si="20">B89</f>
        <v>1323.74</v>
      </c>
      <c r="U246" s="170">
        <f t="shared" si="20"/>
        <v>1271.7399999999998</v>
      </c>
      <c r="V246" s="170">
        <f t="shared" si="20"/>
        <v>1236.6399999999999</v>
      </c>
      <c r="W246" s="170">
        <f t="shared" si="20"/>
        <v>1242.24</v>
      </c>
      <c r="X246" s="170">
        <f t="shared" si="20"/>
        <v>1261.9399999999998</v>
      </c>
      <c r="Y246" s="170">
        <f t="shared" si="20"/>
        <v>1262.3399999999999</v>
      </c>
      <c r="Z246" s="170">
        <f t="shared" si="20"/>
        <v>1240.9399999999998</v>
      </c>
      <c r="AA246" s="170">
        <f t="shared" si="20"/>
        <v>1263.44</v>
      </c>
      <c r="AB246" s="170">
        <f t="shared" si="20"/>
        <v>1346.3400000000001</v>
      </c>
      <c r="AC246" s="170">
        <f t="shared" si="20"/>
        <v>1356.3400000000001</v>
      </c>
      <c r="AD246" s="170">
        <f t="shared" si="20"/>
        <v>1407.1399999999999</v>
      </c>
      <c r="AE246" s="170">
        <f t="shared" si="20"/>
        <v>1414.3400000000001</v>
      </c>
      <c r="AF246" s="170">
        <f t="shared" si="20"/>
        <v>1438.2399999999998</v>
      </c>
      <c r="AG246" s="170">
        <f t="shared" si="20"/>
        <v>1492.54</v>
      </c>
      <c r="AH246" s="170">
        <f t="shared" si="20"/>
        <v>1463.74</v>
      </c>
      <c r="AI246" s="170">
        <f t="shared" si="20"/>
        <v>1510.9399999999998</v>
      </c>
      <c r="AJ246" s="170">
        <f t="shared" si="20"/>
        <v>1576.54</v>
      </c>
      <c r="AK246" s="170">
        <f t="shared" si="20"/>
        <v>1622.94</v>
      </c>
      <c r="AL246" s="170">
        <f t="shared" si="20"/>
        <v>1605.24</v>
      </c>
      <c r="AM246" s="170">
        <f t="shared" si="20"/>
        <v>1588.1399999999999</v>
      </c>
      <c r="AN246" s="170">
        <f t="shared" si="20"/>
        <v>1422.8400000000001</v>
      </c>
      <c r="AO246" s="170">
        <f t="shared" si="20"/>
        <v>1253.54</v>
      </c>
      <c r="AP246" s="170">
        <f t="shared" si="20"/>
        <v>1160.94</v>
      </c>
      <c r="AQ246" s="170">
        <f t="shared" si="20"/>
        <v>1246.6399999999999</v>
      </c>
      <c r="AR246" s="170">
        <f t="shared" si="20"/>
        <v>1239.94</v>
      </c>
      <c r="AS246" s="170">
        <f t="shared" si="20"/>
        <v>1208.44</v>
      </c>
      <c r="AT246" s="170">
        <f t="shared" si="20"/>
        <v>1185.8399999999999</v>
      </c>
      <c r="AU246" s="170">
        <f t="shared" si="20"/>
        <v>1230.3399999999999</v>
      </c>
      <c r="AV246" s="170">
        <f t="shared" si="20"/>
        <v>1244.8400000000001</v>
      </c>
      <c r="AW246" s="170">
        <f t="shared" si="20"/>
        <v>1136.74</v>
      </c>
      <c r="AX246" s="170">
        <f t="shared" si="20"/>
        <v>1151.54</v>
      </c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251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252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253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239</v>
      </c>
      <c r="B267" s="173">
        <f t="shared" ref="B267:AE267" si="21">C231</f>
        <v>0.64</v>
      </c>
      <c r="C267" s="173">
        <f t="shared" si="21"/>
        <v>0.64</v>
      </c>
      <c r="D267" s="173">
        <f t="shared" si="21"/>
        <v>0.64</v>
      </c>
      <c r="E267" s="173">
        <f t="shared" si="21"/>
        <v>0.64</v>
      </c>
      <c r="F267" s="173">
        <f t="shared" si="21"/>
        <v>0.64</v>
      </c>
      <c r="G267" s="173">
        <f t="shared" si="21"/>
        <v>0.64</v>
      </c>
      <c r="H267" s="173">
        <f t="shared" si="21"/>
        <v>0.64</v>
      </c>
      <c r="I267" s="173">
        <f t="shared" si="21"/>
        <v>0.64</v>
      </c>
      <c r="J267" s="173">
        <f t="shared" si="21"/>
        <v>0.64</v>
      </c>
      <c r="K267" s="173">
        <f t="shared" si="21"/>
        <v>0.64</v>
      </c>
      <c r="L267" s="173">
        <f t="shared" si="21"/>
        <v>0.64</v>
      </c>
      <c r="M267" s="173">
        <f t="shared" si="21"/>
        <v>0.64</v>
      </c>
      <c r="N267" s="173">
        <f t="shared" si="21"/>
        <v>0.64</v>
      </c>
      <c r="O267" s="173">
        <f t="shared" si="21"/>
        <v>0.64</v>
      </c>
      <c r="P267" s="173">
        <f t="shared" si="21"/>
        <v>0</v>
      </c>
      <c r="Q267" s="173">
        <f t="shared" si="21"/>
        <v>0</v>
      </c>
      <c r="R267" s="173">
        <f t="shared" si="21"/>
        <v>0</v>
      </c>
      <c r="S267" s="173">
        <f t="shared" si="21"/>
        <v>0</v>
      </c>
      <c r="T267" s="173">
        <f t="shared" si="21"/>
        <v>0</v>
      </c>
      <c r="U267" s="173">
        <f t="shared" si="21"/>
        <v>0</v>
      </c>
      <c r="V267" s="173">
        <f t="shared" si="21"/>
        <v>0</v>
      </c>
      <c r="W267" s="173">
        <f t="shared" si="21"/>
        <v>0</v>
      </c>
      <c r="X267" s="173">
        <f t="shared" si="21"/>
        <v>0</v>
      </c>
      <c r="Y267" s="173">
        <f t="shared" si="21"/>
        <v>0</v>
      </c>
      <c r="Z267" s="173">
        <f t="shared" si="21"/>
        <v>0</v>
      </c>
      <c r="AA267" s="173">
        <f t="shared" si="21"/>
        <v>0</v>
      </c>
      <c r="AB267" s="173">
        <f t="shared" si="21"/>
        <v>0</v>
      </c>
      <c r="AC267" s="173">
        <f t="shared" si="21"/>
        <v>0</v>
      </c>
      <c r="AD267" s="173">
        <f t="shared" si="21"/>
        <v>0</v>
      </c>
      <c r="AE267" s="173">
        <f t="shared" si="21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2">IF(B235&lt;100,"",B235-520)</f>
        <v/>
      </c>
      <c r="C268" s="174" t="str">
        <f t="shared" si="22"/>
        <v/>
      </c>
      <c r="D268" s="174" t="str">
        <f t="shared" si="22"/>
        <v/>
      </c>
      <c r="E268" s="174" t="str">
        <f t="shared" si="22"/>
        <v/>
      </c>
      <c r="F268" s="174" t="str">
        <f t="shared" si="22"/>
        <v/>
      </c>
      <c r="G268" s="174" t="str">
        <f t="shared" si="22"/>
        <v/>
      </c>
      <c r="H268" s="174" t="str">
        <f t="shared" si="22"/>
        <v/>
      </c>
      <c r="I268" s="174" t="str">
        <f t="shared" si="22"/>
        <v/>
      </c>
      <c r="J268" s="174" t="str">
        <f t="shared" si="22"/>
        <v/>
      </c>
      <c r="K268" s="174" t="str">
        <f t="shared" si="22"/>
        <v/>
      </c>
      <c r="L268" s="174" t="str">
        <f t="shared" si="22"/>
        <v/>
      </c>
      <c r="M268" s="174" t="str">
        <f t="shared" si="22"/>
        <v/>
      </c>
      <c r="N268" s="174" t="str">
        <f t="shared" si="22"/>
        <v/>
      </c>
      <c r="O268" s="174" t="str">
        <f t="shared" si="22"/>
        <v/>
      </c>
      <c r="P268" s="174" t="str">
        <f t="shared" si="22"/>
        <v/>
      </c>
      <c r="Q268" s="174" t="str">
        <f t="shared" si="22"/>
        <v/>
      </c>
      <c r="R268" s="174" t="str">
        <f t="shared" si="22"/>
        <v/>
      </c>
      <c r="S268" s="174" t="str">
        <f t="shared" si="22"/>
        <v/>
      </c>
      <c r="T268" s="174" t="str">
        <f t="shared" si="22"/>
        <v/>
      </c>
      <c r="U268" s="174" t="str">
        <f t="shared" si="22"/>
        <v/>
      </c>
      <c r="V268" s="174" t="str">
        <f t="shared" si="22"/>
        <v/>
      </c>
      <c r="W268" s="174" t="str">
        <f t="shared" si="22"/>
        <v/>
      </c>
      <c r="X268" s="174" t="str">
        <f t="shared" si="22"/>
        <v/>
      </c>
      <c r="Y268" s="174" t="str">
        <f t="shared" si="22"/>
        <v/>
      </c>
      <c r="Z268" s="174" t="str">
        <f t="shared" si="22"/>
        <v/>
      </c>
      <c r="AA268" s="174" t="str">
        <f t="shared" si="22"/>
        <v/>
      </c>
      <c r="AB268" s="174" t="str">
        <f t="shared" si="22"/>
        <v/>
      </c>
      <c r="AC268" s="174" t="str">
        <f t="shared" si="22"/>
        <v/>
      </c>
      <c r="AD268" s="174" t="str">
        <f t="shared" si="22"/>
        <v/>
      </c>
      <c r="AE268" s="174" t="str">
        <f t="shared" si="22"/>
        <v/>
      </c>
      <c r="AF268" s="174" t="str">
        <f t="shared" si="22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3">IF(B236&lt;100,"",B236-620)</f>
        <v/>
      </c>
      <c r="C269" s="174" t="str">
        <f t="shared" si="23"/>
        <v/>
      </c>
      <c r="D269" s="174" t="str">
        <f t="shared" si="23"/>
        <v/>
      </c>
      <c r="E269" s="174" t="str">
        <f t="shared" si="23"/>
        <v/>
      </c>
      <c r="F269" s="174" t="str">
        <f t="shared" si="23"/>
        <v/>
      </c>
      <c r="G269" s="174" t="str">
        <f t="shared" si="23"/>
        <v/>
      </c>
      <c r="H269" s="174" t="str">
        <f t="shared" si="23"/>
        <v/>
      </c>
      <c r="I269" s="174" t="str">
        <f t="shared" si="23"/>
        <v/>
      </c>
      <c r="J269" s="174" t="str">
        <f t="shared" si="23"/>
        <v/>
      </c>
      <c r="K269" s="174" t="str">
        <f t="shared" si="23"/>
        <v/>
      </c>
      <c r="L269" s="174" t="str">
        <f t="shared" si="23"/>
        <v/>
      </c>
      <c r="M269" s="174" t="str">
        <f t="shared" si="23"/>
        <v/>
      </c>
      <c r="N269" s="174" t="str">
        <f t="shared" si="23"/>
        <v/>
      </c>
      <c r="O269" s="174" t="str">
        <f t="shared" si="23"/>
        <v/>
      </c>
      <c r="P269" s="174" t="str">
        <f t="shared" si="23"/>
        <v/>
      </c>
      <c r="Q269" s="174" t="str">
        <f t="shared" si="23"/>
        <v/>
      </c>
      <c r="R269" s="174" t="str">
        <f t="shared" si="23"/>
        <v/>
      </c>
      <c r="S269" s="174" t="str">
        <f t="shared" si="23"/>
        <v/>
      </c>
      <c r="T269" s="174" t="str">
        <f t="shared" si="23"/>
        <v/>
      </c>
      <c r="U269" s="174" t="str">
        <f t="shared" si="23"/>
        <v/>
      </c>
      <c r="V269" s="174" t="str">
        <f t="shared" si="23"/>
        <v/>
      </c>
      <c r="W269" s="174" t="str">
        <f t="shared" si="23"/>
        <v/>
      </c>
      <c r="X269" s="174" t="str">
        <f t="shared" si="23"/>
        <v/>
      </c>
      <c r="Y269" s="174" t="str">
        <f t="shared" si="23"/>
        <v/>
      </c>
      <c r="Z269" s="174" t="str">
        <f t="shared" si="23"/>
        <v/>
      </c>
      <c r="AA269" s="174" t="str">
        <f t="shared" si="23"/>
        <v/>
      </c>
      <c r="AB269" s="174" t="str">
        <f t="shared" si="23"/>
        <v/>
      </c>
      <c r="AC269" s="174" t="str">
        <f t="shared" si="23"/>
        <v/>
      </c>
      <c r="AD269" s="174" t="str">
        <f t="shared" si="23"/>
        <v/>
      </c>
      <c r="AE269" s="174" t="str">
        <f t="shared" si="23"/>
        <v/>
      </c>
      <c r="AF269" s="174" t="str">
        <f t="shared" si="23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4">IF(B237&lt;100,"",B237-330)</f>
        <v/>
      </c>
      <c r="C270" s="174" t="str">
        <f t="shared" si="24"/>
        <v/>
      </c>
      <c r="D270" s="174" t="str">
        <f t="shared" si="24"/>
        <v/>
      </c>
      <c r="E270" s="174" t="str">
        <f t="shared" si="24"/>
        <v/>
      </c>
      <c r="F270" s="174" t="str">
        <f t="shared" si="24"/>
        <v/>
      </c>
      <c r="G270" s="174" t="str">
        <f t="shared" si="24"/>
        <v/>
      </c>
      <c r="H270" s="174" t="str">
        <f t="shared" si="24"/>
        <v/>
      </c>
      <c r="I270" s="174" t="str">
        <f t="shared" si="24"/>
        <v/>
      </c>
      <c r="J270" s="174" t="str">
        <f t="shared" si="24"/>
        <v/>
      </c>
      <c r="K270" s="174" t="str">
        <f t="shared" si="24"/>
        <v/>
      </c>
      <c r="L270" s="174" t="str">
        <f t="shared" si="24"/>
        <v/>
      </c>
      <c r="M270" s="174" t="str">
        <f t="shared" si="24"/>
        <v/>
      </c>
      <c r="N270" s="174" t="str">
        <f t="shared" si="24"/>
        <v/>
      </c>
      <c r="O270" s="174" t="str">
        <f t="shared" si="24"/>
        <v/>
      </c>
      <c r="P270" s="174" t="str">
        <f t="shared" si="24"/>
        <v/>
      </c>
      <c r="Q270" s="174" t="str">
        <f t="shared" si="24"/>
        <v/>
      </c>
      <c r="R270" s="174" t="str">
        <f t="shared" si="24"/>
        <v/>
      </c>
      <c r="S270" s="174" t="str">
        <f t="shared" si="24"/>
        <v/>
      </c>
      <c r="T270" s="174" t="str">
        <f t="shared" si="24"/>
        <v/>
      </c>
      <c r="U270" s="174" t="str">
        <f t="shared" si="24"/>
        <v/>
      </c>
      <c r="V270" s="174" t="str">
        <f t="shared" si="24"/>
        <v/>
      </c>
      <c r="W270" s="174" t="str">
        <f t="shared" si="24"/>
        <v/>
      </c>
      <c r="X270" s="174" t="str">
        <f t="shared" si="24"/>
        <v/>
      </c>
      <c r="Y270" s="174" t="str">
        <f t="shared" si="24"/>
        <v/>
      </c>
      <c r="Z270" s="174" t="str">
        <f t="shared" si="24"/>
        <v/>
      </c>
      <c r="AA270" s="174" t="str">
        <f t="shared" si="24"/>
        <v/>
      </c>
      <c r="AB270" s="174" t="str">
        <f t="shared" si="24"/>
        <v/>
      </c>
      <c r="AC270" s="174" t="str">
        <f t="shared" si="24"/>
        <v/>
      </c>
      <c r="AD270" s="174" t="str">
        <f t="shared" si="24"/>
        <v/>
      </c>
      <c r="AE270" s="174" t="str">
        <f t="shared" si="24"/>
        <v/>
      </c>
      <c r="AF270" s="174" t="str">
        <f t="shared" si="24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5">IF(B238&lt;100,"",B238-1500)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3004" priority="339">
      <formula>B$9&gt;=20/24</formula>
    </cfRule>
    <cfRule type="expression" dxfId="13003" priority="340">
      <formula>AND(B$9&gt;=14/24,B$9&lt;20/24)</formula>
    </cfRule>
    <cfRule type="expression" dxfId="13002" priority="341">
      <formula>AND(B$9&gt;=8/24,B$9&lt;14/24)</formula>
    </cfRule>
    <cfRule type="expression" dxfId="13001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3000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2999" priority="336">
      <formula>$AH12=0</formula>
    </cfRule>
  </conditionalFormatting>
  <conditionalFormatting sqref="A114">
    <cfRule type="expression" dxfId="12998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2997" priority="333">
      <formula>$AH45=0</formula>
    </cfRule>
  </conditionalFormatting>
  <conditionalFormatting sqref="A98">
    <cfRule type="expression" dxfId="12996" priority="332">
      <formula>$AH98=0</formula>
    </cfRule>
  </conditionalFormatting>
  <conditionalFormatting sqref="A18">
    <cfRule type="expression" dxfId="12995" priority="331">
      <formula>$AH18=0</formula>
    </cfRule>
  </conditionalFormatting>
  <conditionalFormatting sqref="A196:A201">
    <cfRule type="expression" dxfId="12994" priority="330">
      <formula>$AH196=0</formula>
    </cfRule>
  </conditionalFormatting>
  <conditionalFormatting sqref="A190:A195">
    <cfRule type="expression" dxfId="12993" priority="329">
      <formula>$AH190=0</formula>
    </cfRule>
  </conditionalFormatting>
  <conditionalFormatting sqref="A58">
    <cfRule type="expression" dxfId="12992" priority="328">
      <formula>$AH58=0</formula>
    </cfRule>
  </conditionalFormatting>
  <conditionalFormatting sqref="A94">
    <cfRule type="expression" dxfId="12991" priority="327">
      <formula>$AH94=0</formula>
    </cfRule>
  </conditionalFormatting>
  <conditionalFormatting sqref="AD99:AF99 E99:X99">
    <cfRule type="expression" dxfId="12990" priority="323">
      <formula>E$9&gt;=20/24</formula>
    </cfRule>
    <cfRule type="expression" dxfId="12989" priority="324">
      <formula>AND(E$9&gt;=14/24,E$9&lt;20/24)</formula>
    </cfRule>
    <cfRule type="expression" dxfId="12988" priority="325">
      <formula>AND(E$9&gt;=8/24,E$9&lt;14/24)</formula>
    </cfRule>
    <cfRule type="expression" dxfId="12987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2986" priority="345">
      <formula>C$9&gt;=20/24</formula>
    </cfRule>
    <cfRule type="expression" dxfId="12985" priority="346">
      <formula>AND(C$9&gt;=14/24,C$9&lt;20/24)</formula>
    </cfRule>
    <cfRule type="expression" dxfId="12984" priority="347">
      <formula>AND(C$9&gt;=8/24,C$9&lt;14/24)</formula>
    </cfRule>
    <cfRule type="expression" dxfId="12983" priority="348">
      <formula>C$9&lt;8/24</formula>
    </cfRule>
  </conditionalFormatting>
  <conditionalFormatting sqref="A233">
    <cfRule type="expression" dxfId="12982" priority="349">
      <formula>$AH233=0</formula>
    </cfRule>
  </conditionalFormatting>
  <conditionalFormatting sqref="AG245">
    <cfRule type="expression" dxfId="12981" priority="350">
      <formula>B$9&gt;=20/24</formula>
    </cfRule>
    <cfRule type="expression" dxfId="12980" priority="351">
      <formula>AND(B$9&gt;=14/24,B$9&lt;20/24)</formula>
    </cfRule>
    <cfRule type="expression" dxfId="12979" priority="352">
      <formula>AND(B$9&gt;=8/24,B$9&lt;14/24)</formula>
    </cfRule>
    <cfRule type="expression" dxfId="12978" priority="353">
      <formula>B$9&lt;8/24</formula>
    </cfRule>
  </conditionalFormatting>
  <conditionalFormatting sqref="S8">
    <cfRule type="expression" dxfId="12977" priority="318">
      <formula>U$9&gt;=20/24</formula>
    </cfRule>
    <cfRule type="expression" dxfId="12976" priority="319">
      <formula>AND(U$9&gt;=14/24,U$9&lt;20/24)</formula>
    </cfRule>
    <cfRule type="expression" dxfId="12975" priority="320">
      <formula>AND(U$9&gt;=8/24,U$9&lt;14/24)</formula>
    </cfRule>
    <cfRule type="expression" dxfId="12974" priority="321">
      <formula>U$9&lt;8/24</formula>
    </cfRule>
  </conditionalFormatting>
  <conditionalFormatting sqref="AB8">
    <cfRule type="expression" dxfId="12973" priority="314">
      <formula>AD$9&gt;=20/24</formula>
    </cfRule>
    <cfRule type="expression" dxfId="12972" priority="315">
      <formula>AND(AD$9&gt;=14/24,AD$9&lt;20/24)</formula>
    </cfRule>
    <cfRule type="expression" dxfId="12971" priority="316">
      <formula>AND(AD$9&gt;=8/24,AD$9&lt;14/24)</formula>
    </cfRule>
    <cfRule type="expression" dxfId="12970" priority="317">
      <formula>AD$9&lt;8/24</formula>
    </cfRule>
  </conditionalFormatting>
  <conditionalFormatting sqref="AH245:AX245">
    <cfRule type="expression" dxfId="12969" priority="354">
      <formula>AG$9&gt;=20/24</formula>
    </cfRule>
    <cfRule type="expression" dxfId="12968" priority="355">
      <formula>AND(AG$9&gt;=14/24,AG$9&lt;20/24)</formula>
    </cfRule>
    <cfRule type="expression" dxfId="12967" priority="356">
      <formula>AND(AG$9&gt;=8/24,AG$9&lt;14/24)</formula>
    </cfRule>
    <cfRule type="expression" dxfId="12966" priority="357">
      <formula>AG$9&lt;8/24</formula>
    </cfRule>
  </conditionalFormatting>
  <conditionalFormatting sqref="T245">
    <cfRule type="expression" dxfId="12965" priority="358">
      <formula>AX$9&gt;=20/24</formula>
    </cfRule>
    <cfRule type="expression" dxfId="12964" priority="359">
      <formula>AND(AX$9&gt;=14/24,AX$9&lt;20/24)</formula>
    </cfRule>
    <cfRule type="expression" dxfId="12963" priority="360">
      <formula>AND(AX$9&gt;=8/24,AX$9&lt;14/24)</formula>
    </cfRule>
    <cfRule type="expression" dxfId="12962" priority="361">
      <formula>AX$9&lt;8/24</formula>
    </cfRule>
  </conditionalFormatting>
  <conditionalFormatting sqref="A115:A116">
    <cfRule type="expression" dxfId="12961" priority="313">
      <formula>$AH115=0</formula>
    </cfRule>
  </conditionalFormatting>
  <conditionalFormatting sqref="M54:Q56 N58 M57:N57 O57:Q58 E71:AF71 AB54:AF56 R58:AF58">
    <cfRule type="expression" dxfId="12960" priority="309">
      <formula>E$9&gt;=20/24</formula>
    </cfRule>
    <cfRule type="expression" dxfId="12959" priority="310">
      <formula>AND(E$9&gt;=14/24,E$9&lt;20/24)</formula>
    </cfRule>
    <cfRule type="expression" dxfId="12958" priority="311">
      <formula>AND(E$9&gt;=8/24,E$9&lt;14/24)</formula>
    </cfRule>
    <cfRule type="expression" dxfId="12957" priority="312">
      <formula>E$9&lt;8/24</formula>
    </cfRule>
  </conditionalFormatting>
  <conditionalFormatting sqref="M53:Q53 AB53:AF53">
    <cfRule type="expression" dxfId="12956" priority="305">
      <formula>M$9&gt;=20/24</formula>
    </cfRule>
    <cfRule type="expression" dxfId="12955" priority="306">
      <formula>AND(M$9&gt;=14/24,M$9&lt;20/24)</formula>
    </cfRule>
    <cfRule type="expression" dxfId="12954" priority="307">
      <formula>AND(M$9&gt;=8/24,M$9&lt;14/24)</formula>
    </cfRule>
    <cfRule type="expression" dxfId="12953" priority="308">
      <formula>M$9&lt;8/24</formula>
    </cfRule>
  </conditionalFormatting>
  <conditionalFormatting sqref="M53:Q56 N58 M57:N57 O57:Q58 AB53:AF56 R58:AF58">
    <cfRule type="expression" dxfId="12952" priority="304">
      <formula>M53&gt;$AG53</formula>
    </cfRule>
  </conditionalFormatting>
  <conditionalFormatting sqref="D86:AF86 M100:X106 X96:AF96 X47:AF47 E72:AF73 Y74:AF74 X67:AF69 AD100:AF106">
    <cfRule type="expression" dxfId="12951" priority="300">
      <formula>D$9&gt;=20/24</formula>
    </cfRule>
    <cfRule type="expression" dxfId="12950" priority="301">
      <formula>AND(D$9&gt;=14/24,D$9&lt;20/24)</formula>
    </cfRule>
    <cfRule type="expression" dxfId="12949" priority="302">
      <formula>AND(D$9&gt;=8/24,D$9&lt;14/24)</formula>
    </cfRule>
    <cfRule type="expression" dxfId="12948" priority="303">
      <formula>D$9&lt;8/24</formula>
    </cfRule>
  </conditionalFormatting>
  <conditionalFormatting sqref="X47:AF47 X67:AF69">
    <cfRule type="expression" dxfId="12947" priority="299">
      <formula>X47&gt;$AG47</formula>
    </cfRule>
  </conditionalFormatting>
  <conditionalFormatting sqref="R53:AA57 AB57:AF57">
    <cfRule type="expression" dxfId="12946" priority="295">
      <formula>R$9&gt;=20/24</formula>
    </cfRule>
    <cfRule type="expression" dxfId="12945" priority="296">
      <formula>AND(R$9&gt;=14/24,R$9&lt;20/24)</formula>
    </cfRule>
    <cfRule type="expression" dxfId="12944" priority="297">
      <formula>AND(R$9&gt;=8/24,R$9&lt;14/24)</formula>
    </cfRule>
    <cfRule type="expression" dxfId="12943" priority="298">
      <formula>R$9&lt;8/24</formula>
    </cfRule>
  </conditionalFormatting>
  <conditionalFormatting sqref="R53:AA57 AB57:AF57">
    <cfRule type="expression" dxfId="12942" priority="294">
      <formula>R53&gt;$AG53</formula>
    </cfRule>
  </conditionalFormatting>
  <conditionalFormatting sqref="C97:AF97 D88:AF88">
    <cfRule type="expression" dxfId="12941" priority="290">
      <formula>C$9&gt;=20/24</formula>
    </cfRule>
    <cfRule type="expression" dxfId="12940" priority="291">
      <formula>AND(C$9&gt;=14/24,C$9&lt;20/24)</formula>
    </cfRule>
    <cfRule type="expression" dxfId="12939" priority="292">
      <formula>AND(C$9&gt;=8/24,C$9&lt;14/24)</formula>
    </cfRule>
    <cfRule type="expression" dxfId="12938" priority="293">
      <formula>C$9&lt;8/24</formula>
    </cfRule>
  </conditionalFormatting>
  <conditionalFormatting sqref="T47:W47">
    <cfRule type="expression" dxfId="12937" priority="286">
      <formula>T$9&gt;=20/24</formula>
    </cfRule>
    <cfRule type="expression" dxfId="12936" priority="287">
      <formula>AND(T$9&gt;=14/24,T$9&lt;20/24)</formula>
    </cfRule>
    <cfRule type="expression" dxfId="12935" priority="288">
      <formula>AND(T$9&gt;=8/24,T$9&lt;14/24)</formula>
    </cfRule>
    <cfRule type="expression" dxfId="12934" priority="289">
      <formula>T$9&lt;8/24</formula>
    </cfRule>
  </conditionalFormatting>
  <conditionalFormatting sqref="T47:W47">
    <cfRule type="expression" dxfId="12933" priority="285">
      <formula>T47&gt;$AG47</formula>
    </cfRule>
  </conditionalFormatting>
  <conditionalFormatting sqref="E54:L55">
    <cfRule type="expression" dxfId="12932" priority="281">
      <formula>E$9&gt;=20/24</formula>
    </cfRule>
    <cfRule type="expression" dxfId="12931" priority="282">
      <formula>AND(E$9&gt;=14/24,E$9&lt;20/24)</formula>
    </cfRule>
    <cfRule type="expression" dxfId="12930" priority="283">
      <formula>AND(E$9&gt;=8/24,E$9&lt;14/24)</formula>
    </cfRule>
    <cfRule type="expression" dxfId="12929" priority="284">
      <formula>E$9&lt;8/24</formula>
    </cfRule>
  </conditionalFormatting>
  <conditionalFormatting sqref="E53:L53">
    <cfRule type="expression" dxfId="12928" priority="277">
      <formula>E$9&gt;=20/24</formula>
    </cfRule>
    <cfRule type="expression" dxfId="12927" priority="278">
      <formula>AND(E$9&gt;=14/24,E$9&lt;20/24)</formula>
    </cfRule>
    <cfRule type="expression" dxfId="12926" priority="279">
      <formula>AND(E$9&gt;=8/24,E$9&lt;14/24)</formula>
    </cfRule>
    <cfRule type="expression" dxfId="12925" priority="280">
      <formula>E$9&lt;8/24</formula>
    </cfRule>
  </conditionalFormatting>
  <conditionalFormatting sqref="E53:L55">
    <cfRule type="expression" dxfId="12924" priority="276">
      <formula>E53&gt;$AG53</formula>
    </cfRule>
  </conditionalFormatting>
  <conditionalFormatting sqref="AG70 AG87 T67:W69 E100:L106">
    <cfRule type="expression" dxfId="12923" priority="272">
      <formula>E$9&gt;=20/24</formula>
    </cfRule>
    <cfRule type="expression" dxfId="12922" priority="273">
      <formula>AND(E$9&gt;=14/24,E$9&lt;20/24)</formula>
    </cfRule>
    <cfRule type="expression" dxfId="12921" priority="274">
      <formula>AND(E$9&gt;=8/24,E$9&lt;14/24)</formula>
    </cfRule>
    <cfRule type="expression" dxfId="12920" priority="275">
      <formula>E$9&lt;8/24</formula>
    </cfRule>
  </conditionalFormatting>
  <conditionalFormatting sqref="AG48 AG66 AG70 T67:W69">
    <cfRule type="expression" dxfId="12919" priority="271">
      <formula>T48&gt;$AG48</formula>
    </cfRule>
  </conditionalFormatting>
  <conditionalFormatting sqref="A43">
    <cfRule type="expression" dxfId="12918" priority="265">
      <formula>$AH43=0</formula>
    </cfRule>
  </conditionalFormatting>
  <conditionalFormatting sqref="X91:AF95">
    <cfRule type="expression" dxfId="12917" priority="261">
      <formula>X$9&gt;=20/24</formula>
    </cfRule>
    <cfRule type="expression" dxfId="12916" priority="262">
      <formula>AND(X$9&gt;=14/24,X$9&lt;20/24)</formula>
    </cfRule>
    <cfRule type="expression" dxfId="12915" priority="263">
      <formula>AND(X$9&gt;=8/24,X$9&lt;14/24)</formula>
    </cfRule>
    <cfRule type="expression" dxfId="12914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12913" priority="257">
      <formula>E$9&gt;=20/24</formula>
    </cfRule>
    <cfRule type="expression" dxfId="12912" priority="258">
      <formula>AND(E$9&gt;=14/24,E$9&lt;20/24)</formula>
    </cfRule>
    <cfRule type="expression" dxfId="12911" priority="259">
      <formula>AND(E$9&gt;=8/24,E$9&lt;14/24)</formula>
    </cfRule>
    <cfRule type="expression" dxfId="12910" priority="260">
      <formula>E$9&lt;8/24</formula>
    </cfRule>
  </conditionalFormatting>
  <conditionalFormatting sqref="E49:AF51">
    <cfRule type="expression" dxfId="12909" priority="256">
      <formula>E49&gt;$AG49</formula>
    </cfRule>
  </conditionalFormatting>
  <conditionalFormatting sqref="AG52">
    <cfRule type="expression" dxfId="12908" priority="252">
      <formula>AG$9&gt;=20/24</formula>
    </cfRule>
    <cfRule type="expression" dxfId="12907" priority="253">
      <formula>AND(AG$9&gt;=14/24,AG$9&lt;20/24)</formula>
    </cfRule>
    <cfRule type="expression" dxfId="12906" priority="254">
      <formula>AND(AG$9&gt;=8/24,AG$9&lt;14/24)</formula>
    </cfRule>
    <cfRule type="expression" dxfId="12905" priority="255">
      <formula>AG$9&lt;8/24</formula>
    </cfRule>
  </conditionalFormatting>
  <conditionalFormatting sqref="AG52">
    <cfRule type="expression" dxfId="12904" priority="251">
      <formula>AG52&gt;$AG52</formula>
    </cfRule>
  </conditionalFormatting>
  <conditionalFormatting sqref="C107:AF107">
    <cfRule type="expression" dxfId="12903" priority="247">
      <formula>C$9&gt;=20/24</formula>
    </cfRule>
    <cfRule type="expression" dxfId="12902" priority="248">
      <formula>AND(C$9&gt;=14/24,C$9&lt;20/24)</formula>
    </cfRule>
    <cfRule type="expression" dxfId="12901" priority="249">
      <formula>AND(C$9&gt;=8/24,C$9&lt;14/24)</formula>
    </cfRule>
    <cfRule type="expression" dxfId="12900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2899" priority="245">
      <formula>$AH40=0</formula>
    </cfRule>
  </conditionalFormatting>
  <conditionalFormatting sqref="A90">
    <cfRule type="expression" dxfId="12898" priority="243">
      <formula>$AH90=0</formula>
    </cfRule>
  </conditionalFormatting>
  <conditionalFormatting sqref="A87">
    <cfRule type="expression" dxfId="12897" priority="244">
      <formula>$AH87=0</formula>
    </cfRule>
  </conditionalFormatting>
  <conditionalFormatting sqref="D110:AF110">
    <cfRule type="expression" dxfId="12896" priority="239">
      <formula>D$9&gt;=20/24</formula>
    </cfRule>
    <cfRule type="expression" dxfId="12895" priority="240">
      <formula>AND(D$9&gt;=14/24,D$9&lt;20/24)</formula>
    </cfRule>
    <cfRule type="expression" dxfId="12894" priority="241">
      <formula>AND(D$9&gt;=8/24,D$9&lt;14/24)</formula>
    </cfRule>
    <cfRule type="expression" dxfId="12893" priority="242">
      <formula>D$9&lt;8/24</formula>
    </cfRule>
  </conditionalFormatting>
  <conditionalFormatting sqref="A110">
    <cfRule type="expression" dxfId="12892" priority="238">
      <formula>$AH110=0</formula>
    </cfRule>
  </conditionalFormatting>
  <conditionalFormatting sqref="A21">
    <cfRule type="expression" dxfId="12891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2890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2889" priority="230">
      <formula>Y$9&gt;=20/24</formula>
    </cfRule>
    <cfRule type="expression" dxfId="12888" priority="231">
      <formula>AND(Y$9&gt;=14/24,Y$9&lt;20/24)</formula>
    </cfRule>
    <cfRule type="expression" dxfId="12887" priority="232">
      <formula>AND(Y$9&gt;=8/24,Y$9&lt;14/24)</formula>
    </cfRule>
    <cfRule type="expression" dxfId="12886" priority="233">
      <formula>Y$9&lt;8/24</formula>
    </cfRule>
  </conditionalFormatting>
  <conditionalFormatting sqref="Y100:AC106">
    <cfRule type="expression" dxfId="12885" priority="226">
      <formula>Y$9&gt;=20/24</formula>
    </cfRule>
    <cfRule type="expression" dxfId="12884" priority="227">
      <formula>AND(Y$9&gt;=14/24,Y$9&lt;20/24)</formula>
    </cfRule>
    <cfRule type="expression" dxfId="12883" priority="228">
      <formula>AND(Y$9&gt;=8/24,Y$9&lt;14/24)</formula>
    </cfRule>
    <cfRule type="expression" dxfId="12882" priority="229">
      <formula>Y$9&lt;8/24</formula>
    </cfRule>
  </conditionalFormatting>
  <conditionalFormatting sqref="C109 C111:C116">
    <cfRule type="expression" dxfId="12881" priority="222">
      <formula>C$9&gt;=20/24</formula>
    </cfRule>
    <cfRule type="expression" dxfId="12880" priority="223">
      <formula>AND(C$9&gt;=14/24,C$9&lt;20/24)</formula>
    </cfRule>
    <cfRule type="expression" dxfId="12879" priority="224">
      <formula>AND(C$9&gt;=8/24,C$9&lt;14/24)</formula>
    </cfRule>
    <cfRule type="expression" dxfId="12878" priority="225">
      <formula>C$9&lt;8/24</formula>
    </cfRule>
  </conditionalFormatting>
  <conditionalFormatting sqref="C47:S47">
    <cfRule type="expression" dxfId="12877" priority="218">
      <formula>C$9&gt;=20/24</formula>
    </cfRule>
    <cfRule type="expression" dxfId="12876" priority="219">
      <formula>AND(C$9&gt;=14/24,C$9&lt;20/24)</formula>
    </cfRule>
    <cfRule type="expression" dxfId="12875" priority="220">
      <formula>AND(C$9&gt;=8/24,C$9&lt;14/24)</formula>
    </cfRule>
    <cfRule type="expression" dxfId="12874" priority="221">
      <formula>C$9&lt;8/24</formula>
    </cfRule>
  </conditionalFormatting>
  <conditionalFormatting sqref="C47:S47">
    <cfRule type="expression" dxfId="12873" priority="217">
      <formula>C47&gt;$AG47</formula>
    </cfRule>
  </conditionalFormatting>
  <conditionalFormatting sqref="C99:D99">
    <cfRule type="expression" dxfId="12872" priority="213">
      <formula>C$9&gt;=20/24</formula>
    </cfRule>
    <cfRule type="expression" dxfId="12871" priority="214">
      <formula>AND(C$9&gt;=14/24,C$9&lt;20/24)</formula>
    </cfRule>
    <cfRule type="expression" dxfId="12870" priority="215">
      <formula>AND(C$9&gt;=8/24,C$9&lt;14/24)</formula>
    </cfRule>
    <cfRule type="expression" dxfId="12869" priority="216">
      <formula>C$9&lt;8/24</formula>
    </cfRule>
  </conditionalFormatting>
  <conditionalFormatting sqref="C86 C96:W96 C83:AF85 D100:D106 E67:S69 E74:X76 Y75:AF76">
    <cfRule type="expression" dxfId="12868" priority="209">
      <formula>C$9&gt;=20/24</formula>
    </cfRule>
    <cfRule type="expression" dxfId="12867" priority="210">
      <formula>AND(C$9&gt;=14/24,C$9&lt;20/24)</formula>
    </cfRule>
    <cfRule type="expression" dxfId="12866" priority="211">
      <formula>AND(C$9&gt;=8/24,C$9&lt;14/24)</formula>
    </cfRule>
    <cfRule type="expression" dxfId="12865" priority="212">
      <formula>C$9&lt;8/24</formula>
    </cfRule>
  </conditionalFormatting>
  <conditionalFormatting sqref="E56:L57 E67:S69">
    <cfRule type="expression" dxfId="12864" priority="208">
      <formula>E56&gt;$AG56</formula>
    </cfRule>
  </conditionalFormatting>
  <conditionalFormatting sqref="E58:M58">
    <cfRule type="expression" dxfId="12863" priority="204">
      <formula>E$9&gt;=20/24</formula>
    </cfRule>
    <cfRule type="expression" dxfId="12862" priority="205">
      <formula>AND(E$9&gt;=14/24,E$9&lt;20/24)</formula>
    </cfRule>
    <cfRule type="expression" dxfId="12861" priority="206">
      <formula>AND(E$9&gt;=8/24,E$9&lt;14/24)</formula>
    </cfRule>
    <cfRule type="expression" dxfId="12860" priority="207">
      <formula>E$9&lt;8/24</formula>
    </cfRule>
  </conditionalFormatting>
  <conditionalFormatting sqref="E58:M58">
    <cfRule type="expression" dxfId="12859" priority="203">
      <formula>E58&gt;$AG58</formula>
    </cfRule>
  </conditionalFormatting>
  <conditionalFormatting sqref="B54:D57 B71:D71">
    <cfRule type="expression" dxfId="12858" priority="132">
      <formula>B$9&gt;=20/24</formula>
    </cfRule>
    <cfRule type="expression" dxfId="12857" priority="133">
      <formula>AND(B$9&gt;=14/24,B$9&lt;20/24)</formula>
    </cfRule>
    <cfRule type="expression" dxfId="12856" priority="134">
      <formula>AND(B$9&gt;=8/24,B$9&lt;14/24)</formula>
    </cfRule>
    <cfRule type="expression" dxfId="12855" priority="135">
      <formula>B$9&lt;8/24</formula>
    </cfRule>
  </conditionalFormatting>
  <conditionalFormatting sqref="C87:AF87 C89:AF89 C98:AF98 C70:AF70">
    <cfRule type="expression" dxfId="12854" priority="199">
      <formula>C$9&gt;=20/24</formula>
    </cfRule>
    <cfRule type="expression" dxfId="12853" priority="200">
      <formula>AND(C$9&gt;=14/24,C$9&lt;20/24)</formula>
    </cfRule>
    <cfRule type="expression" dxfId="12852" priority="201">
      <formula>AND(C$9&gt;=8/24,C$9&lt;14/24)</formula>
    </cfRule>
    <cfRule type="expression" dxfId="12851" priority="202">
      <formula>C$9&lt;8/24</formula>
    </cfRule>
  </conditionalFormatting>
  <conditionalFormatting sqref="C70:AF70 C65:AF66">
    <cfRule type="expression" dxfId="12850" priority="198">
      <formula>C65&gt;$AG65</formula>
    </cfRule>
  </conditionalFormatting>
  <conditionalFormatting sqref="C82:AF82">
    <cfRule type="expression" dxfId="12849" priority="194">
      <formula>C$9&gt;=20/24</formula>
    </cfRule>
    <cfRule type="expression" dxfId="12848" priority="195">
      <formula>AND(C$9&gt;=14/24,C$9&lt;20/24)</formula>
    </cfRule>
    <cfRule type="expression" dxfId="12847" priority="196">
      <formula>AND(C$9&gt;=8/24,C$9&lt;14/24)</formula>
    </cfRule>
    <cfRule type="expression" dxfId="12846" priority="197">
      <formula>C$9&lt;8/24</formula>
    </cfRule>
  </conditionalFormatting>
  <conditionalFormatting sqref="C91:W95">
    <cfRule type="expression" dxfId="12845" priority="190">
      <formula>C$9&gt;=20/24</formula>
    </cfRule>
    <cfRule type="expression" dxfId="12844" priority="191">
      <formula>AND(C$9&gt;=14/24,C$9&lt;20/24)</formula>
    </cfRule>
    <cfRule type="expression" dxfId="12843" priority="192">
      <formula>AND(C$9&gt;=8/24,C$9&lt;14/24)</formula>
    </cfRule>
    <cfRule type="expression" dxfId="12842" priority="193">
      <formula>C$9&lt;8/24</formula>
    </cfRule>
  </conditionalFormatting>
  <conditionalFormatting sqref="C52:AF52">
    <cfRule type="expression" dxfId="12841" priority="186">
      <formula>C$9&gt;=20/24</formula>
    </cfRule>
    <cfRule type="expression" dxfId="12840" priority="187">
      <formula>AND(C$9&gt;=14/24,C$9&lt;20/24)</formula>
    </cfRule>
    <cfRule type="expression" dxfId="12839" priority="188">
      <formula>AND(C$9&gt;=8/24,C$9&lt;14/24)</formula>
    </cfRule>
    <cfRule type="expression" dxfId="12838" priority="189">
      <formula>C$9&lt;8/24</formula>
    </cfRule>
  </conditionalFormatting>
  <conditionalFormatting sqref="C52:AF52">
    <cfRule type="expression" dxfId="12837" priority="185">
      <formula>C52&gt;$AG52</formula>
    </cfRule>
  </conditionalFormatting>
  <conditionalFormatting sqref="B49:D51">
    <cfRule type="expression" dxfId="12836" priority="100">
      <formula>B$9&gt;=20/24</formula>
    </cfRule>
    <cfRule type="expression" dxfId="12835" priority="101">
      <formula>AND(B$9&gt;=14/24,B$9&lt;20/24)</formula>
    </cfRule>
    <cfRule type="expression" dxfId="12834" priority="102">
      <formula>AND(B$9&gt;=8/24,B$9&lt;14/24)</formula>
    </cfRule>
    <cfRule type="expression" dxfId="12833" priority="103">
      <formula>B$9&lt;8/24</formula>
    </cfRule>
  </conditionalFormatting>
  <conditionalFormatting sqref="C110">
    <cfRule type="expression" dxfId="12832" priority="177">
      <formula>C$9&gt;=20/24</formula>
    </cfRule>
    <cfRule type="expression" dxfId="12831" priority="178">
      <formula>AND(C$9&gt;=14/24,C$9&lt;20/24)</formula>
    </cfRule>
    <cfRule type="expression" dxfId="12830" priority="179">
      <formula>AND(C$9&gt;=8/24,C$9&lt;14/24)</formula>
    </cfRule>
    <cfRule type="expression" dxfId="12829" priority="180">
      <formula>C$9&lt;8/24</formula>
    </cfRule>
  </conditionalFormatting>
  <conditionalFormatting sqref="N59:AF64">
    <cfRule type="expression" dxfId="12828" priority="173">
      <formula>N$9&gt;=20/24</formula>
    </cfRule>
    <cfRule type="expression" dxfId="12827" priority="174">
      <formula>AND(N$9&gt;=14/24,N$9&lt;20/24)</formula>
    </cfRule>
    <cfRule type="expression" dxfId="12826" priority="175">
      <formula>AND(N$9&gt;=8/24,N$9&lt;14/24)</formula>
    </cfRule>
    <cfRule type="expression" dxfId="12825" priority="176">
      <formula>N$9&lt;8/24</formula>
    </cfRule>
  </conditionalFormatting>
  <conditionalFormatting sqref="N59:AF64">
    <cfRule type="expression" dxfId="12824" priority="172">
      <formula>N59&gt;$AG59</formula>
    </cfRule>
  </conditionalFormatting>
  <conditionalFormatting sqref="AD13:AF15">
    <cfRule type="expression" dxfId="12823" priority="171">
      <formula>AD13&gt;$AG13</formula>
    </cfRule>
  </conditionalFormatting>
  <conditionalFormatting sqref="AD12:AF12">
    <cfRule type="expression" dxfId="12822" priority="167">
      <formula>AD$9&gt;=20/24</formula>
    </cfRule>
    <cfRule type="expression" dxfId="12821" priority="168">
      <formula>AND(AD$9&gt;=14/24,AD$9&lt;20/24)</formula>
    </cfRule>
    <cfRule type="expression" dxfId="12820" priority="169">
      <formula>AND(AD$9&gt;=8/24,AD$9&lt;14/24)</formula>
    </cfRule>
    <cfRule type="expression" dxfId="12819" priority="170">
      <formula>AD$9&lt;8/24</formula>
    </cfRule>
  </conditionalFormatting>
  <conditionalFormatting sqref="AD12:AF12">
    <cfRule type="expression" dxfId="12818" priority="166">
      <formula>AD12&gt;$AG12</formula>
    </cfRule>
  </conditionalFormatting>
  <conditionalFormatting sqref="AD13:AF15">
    <cfRule type="expression" dxfId="12817" priority="162">
      <formula>AD$9&gt;=20/24</formula>
    </cfRule>
    <cfRule type="expression" dxfId="12816" priority="163">
      <formula>AND(AD$9&gt;=14/24,AD$9&lt;20/24)</formula>
    </cfRule>
    <cfRule type="expression" dxfId="12815" priority="164">
      <formula>AND(AD$9&gt;=8/24,AD$9&lt;14/24)</formula>
    </cfRule>
    <cfRule type="expression" dxfId="12814" priority="165">
      <formula>AD$9&lt;8/24</formula>
    </cfRule>
  </conditionalFormatting>
  <conditionalFormatting sqref="G77:L78 M77:AF81">
    <cfRule type="expression" dxfId="12813" priority="154">
      <formula>G$9&gt;=20/24</formula>
    </cfRule>
    <cfRule type="expression" dxfId="12812" priority="155">
      <formula>AND(G$9&gt;=14/24,G$9&lt;20/24)</formula>
    </cfRule>
    <cfRule type="expression" dxfId="12811" priority="156">
      <formula>AND(G$9&gt;=8/24,G$9&lt;14/24)</formula>
    </cfRule>
    <cfRule type="expression" dxfId="12810" priority="157">
      <formula>G$9&lt;8/24</formula>
    </cfRule>
  </conditionalFormatting>
  <conditionalFormatting sqref="AL78:AN78 AL84:AN84 AN79:AN80">
    <cfRule type="expression" dxfId="12809" priority="150">
      <formula>AL$9&gt;=20/24</formula>
    </cfRule>
    <cfRule type="expression" dxfId="12808" priority="151">
      <formula>AND(AL$9&gt;=14/24,AL$9&lt;20/24)</formula>
    </cfRule>
    <cfRule type="expression" dxfId="12807" priority="152">
      <formula>AND(AL$9&gt;=8/24,AL$9&lt;14/24)</formula>
    </cfRule>
    <cfRule type="expression" dxfId="12806" priority="153">
      <formula>AL$9&lt;8/24</formula>
    </cfRule>
  </conditionalFormatting>
  <conditionalFormatting sqref="AN81:AN82">
    <cfRule type="expression" dxfId="12805" priority="146">
      <formula>AN$9&gt;=20/24</formula>
    </cfRule>
    <cfRule type="expression" dxfId="12804" priority="147">
      <formula>AND(AN$9&gt;=14/24,AN$9&lt;20/24)</formula>
    </cfRule>
    <cfRule type="expression" dxfId="12803" priority="148">
      <formula>AND(AN$9&gt;=8/24,AN$9&lt;14/24)</formula>
    </cfRule>
    <cfRule type="expression" dxfId="12802" priority="149">
      <formula>AN$9&lt;8/24</formula>
    </cfRule>
  </conditionalFormatting>
  <conditionalFormatting sqref="AL79:AM83">
    <cfRule type="expression" dxfId="12801" priority="363">
      <formula>AJ$9&gt;=20/24</formula>
    </cfRule>
    <cfRule type="expression" dxfId="12800" priority="364">
      <formula>AND(AJ$9&gt;=14/24,AJ$9&lt;20/24)</formula>
    </cfRule>
    <cfRule type="expression" dxfId="12799" priority="365">
      <formula>AND(AJ$9&gt;=8/24,AJ$9&lt;14/24)</formula>
    </cfRule>
    <cfRule type="expression" dxfId="12798" priority="366">
      <formula>AJ$9&lt;8/24</formula>
    </cfRule>
  </conditionalFormatting>
  <conditionalFormatting sqref="A117">
    <cfRule type="expression" dxfId="12797" priority="145">
      <formula>$AH117=0</formula>
    </cfRule>
  </conditionalFormatting>
  <conditionalFormatting sqref="B109 B111:B116 B12:AC15 B34:AF43 B45:AF45 B17:AF32">
    <cfRule type="expression" dxfId="12796" priority="141">
      <formula>B$9&gt;=20/24</formula>
    </cfRule>
    <cfRule type="expression" dxfId="12795" priority="142">
      <formula>AND(B$9&gt;=14/24,B$9&lt;20/24)</formula>
    </cfRule>
    <cfRule type="expression" dxfId="12794" priority="143">
      <formula>AND(B$9&gt;=8/24,B$9&lt;14/24)</formula>
    </cfRule>
    <cfRule type="expression" dxfId="12793" priority="144">
      <formula>B$9&lt;8/24</formula>
    </cfRule>
  </conditionalFormatting>
  <conditionalFormatting sqref="B12:AC15 B34:AF43 B45:AF45 B17:AF32">
    <cfRule type="expression" dxfId="12792" priority="140">
      <formula>B12&gt;$AG12</formula>
    </cfRule>
  </conditionalFormatting>
  <conditionalFormatting sqref="B99">
    <cfRule type="expression" dxfId="12791" priority="136">
      <formula>B$9&gt;=20/24</formula>
    </cfRule>
    <cfRule type="expression" dxfId="12790" priority="137">
      <formula>AND(B$9&gt;=14/24,B$9&lt;20/24)</formula>
    </cfRule>
    <cfRule type="expression" dxfId="12789" priority="138">
      <formula>AND(B$9&gt;=8/24,B$9&lt;14/24)</formula>
    </cfRule>
    <cfRule type="expression" dxfId="12788" priority="139">
      <formula>B$9&lt;8/24</formula>
    </cfRule>
  </conditionalFormatting>
  <conditionalFormatting sqref="B53:D53">
    <cfRule type="expression" dxfId="12787" priority="128">
      <formula>B$9&gt;=20/24</formula>
    </cfRule>
    <cfRule type="expression" dxfId="12786" priority="129">
      <formula>AND(B$9&gt;=14/24,B$9&lt;20/24)</formula>
    </cfRule>
    <cfRule type="expression" dxfId="12785" priority="130">
      <formula>AND(B$9&gt;=8/24,B$9&lt;14/24)</formula>
    </cfRule>
    <cfRule type="expression" dxfId="12784" priority="131">
      <formula>B$9&lt;8/24</formula>
    </cfRule>
  </conditionalFormatting>
  <conditionalFormatting sqref="B53:D57">
    <cfRule type="expression" dxfId="12783" priority="127">
      <formula>B53&gt;$AG53</formula>
    </cfRule>
  </conditionalFormatting>
  <conditionalFormatting sqref="B96 B86 B47 B100:C106 B67:D69 B72:D74">
    <cfRule type="expression" dxfId="12782" priority="123">
      <formula>B$9&gt;=20/24</formula>
    </cfRule>
    <cfRule type="expression" dxfId="12781" priority="124">
      <formula>AND(B$9&gt;=14/24,B$9&lt;20/24)</formula>
    </cfRule>
    <cfRule type="expression" dxfId="12780" priority="125">
      <formula>AND(B$9&gt;=8/24,B$9&lt;14/24)</formula>
    </cfRule>
    <cfRule type="expression" dxfId="12779" priority="126">
      <formula>B$9&lt;8/24</formula>
    </cfRule>
  </conditionalFormatting>
  <conditionalFormatting sqref="B47 B67:D69">
    <cfRule type="expression" dxfId="12778" priority="122">
      <formula>B47&gt;$AG47</formula>
    </cfRule>
  </conditionalFormatting>
  <conditionalFormatting sqref="B97 B88:C88">
    <cfRule type="expression" dxfId="12777" priority="118">
      <formula>B$9&gt;=20/24</formula>
    </cfRule>
    <cfRule type="expression" dxfId="12776" priority="119">
      <formula>AND(B$9&gt;=14/24,B$9&lt;20/24)</formula>
    </cfRule>
    <cfRule type="expression" dxfId="12775" priority="120">
      <formula>AND(B$9&gt;=8/24,B$9&lt;14/24)</formula>
    </cfRule>
    <cfRule type="expression" dxfId="12774" priority="121">
      <formula>B$9&lt;8/24</formula>
    </cfRule>
  </conditionalFormatting>
  <conditionalFormatting sqref="B46:AF46">
    <cfRule type="expression" dxfId="12773" priority="114">
      <formula>B$9&gt;=20/24</formula>
    </cfRule>
    <cfRule type="expression" dxfId="12772" priority="115">
      <formula>AND(B$9&gt;=14/24,B$9&lt;20/24)</formula>
    </cfRule>
    <cfRule type="expression" dxfId="12771" priority="116">
      <formula>AND(B$9&gt;=8/24,B$9&lt;14/24)</formula>
    </cfRule>
    <cfRule type="expression" dxfId="12770" priority="117">
      <formula>B$9&lt;8/24</formula>
    </cfRule>
  </conditionalFormatting>
  <conditionalFormatting sqref="B46:AF46">
    <cfRule type="expression" dxfId="12769" priority="113">
      <formula>B46&gt;$AG46</formula>
    </cfRule>
  </conditionalFormatting>
  <conditionalFormatting sqref="B58:D58">
    <cfRule type="expression" dxfId="12768" priority="109">
      <formula>B$9&gt;=20/24</formula>
    </cfRule>
    <cfRule type="expression" dxfId="12767" priority="110">
      <formula>AND(B$9&gt;=14/24,B$9&lt;20/24)</formula>
    </cfRule>
    <cfRule type="expression" dxfId="12766" priority="111">
      <formula>AND(B$9&gt;=8/24,B$9&lt;14/24)</formula>
    </cfRule>
    <cfRule type="expression" dxfId="12765" priority="112">
      <formula>B$9&lt;8/24</formula>
    </cfRule>
  </conditionalFormatting>
  <conditionalFormatting sqref="B58:D58">
    <cfRule type="expression" dxfId="12764" priority="108">
      <formula>B58&gt;$AG58</formula>
    </cfRule>
  </conditionalFormatting>
  <conditionalFormatting sqref="B91:B95">
    <cfRule type="expression" dxfId="12763" priority="104">
      <formula>B$9&gt;=20/24</formula>
    </cfRule>
    <cfRule type="expression" dxfId="12762" priority="105">
      <formula>AND(B$9&gt;=14/24,B$9&lt;20/24)</formula>
    </cfRule>
    <cfRule type="expression" dxfId="12761" priority="106">
      <formula>AND(B$9&gt;=8/24,B$9&lt;14/24)</formula>
    </cfRule>
    <cfRule type="expression" dxfId="12760" priority="107">
      <formula>B$9&lt;8/24</formula>
    </cfRule>
  </conditionalFormatting>
  <conditionalFormatting sqref="B49:D51">
    <cfRule type="expression" dxfId="12759" priority="99">
      <formula>B49&gt;$AG49</formula>
    </cfRule>
  </conditionalFormatting>
  <conditionalFormatting sqref="B107">
    <cfRule type="expression" dxfId="12758" priority="95">
      <formula>B$9&gt;=20/24</formula>
    </cfRule>
    <cfRule type="expression" dxfId="12757" priority="96">
      <formula>AND(B$9&gt;=14/24,B$9&lt;20/24)</formula>
    </cfRule>
    <cfRule type="expression" dxfId="12756" priority="97">
      <formula>AND(B$9&gt;=8/24,B$9&lt;14/24)</formula>
    </cfRule>
    <cfRule type="expression" dxfId="12755" priority="98">
      <formula>B$9&lt;8/24</formula>
    </cfRule>
  </conditionalFormatting>
  <conditionalFormatting sqref="B110">
    <cfRule type="expression" dxfId="12754" priority="91">
      <formula>B$9&gt;=20/24</formula>
    </cfRule>
    <cfRule type="expression" dxfId="12753" priority="92">
      <formula>AND(B$9&gt;=14/24,B$9&lt;20/24)</formula>
    </cfRule>
    <cfRule type="expression" dxfId="12752" priority="93">
      <formula>AND(B$9&gt;=8/24,B$9&lt;14/24)</formula>
    </cfRule>
    <cfRule type="expression" dxfId="12751" priority="94">
      <formula>B$9&lt;8/24</formula>
    </cfRule>
  </conditionalFormatting>
  <conditionalFormatting sqref="B83:B85 B75:D76">
    <cfRule type="expression" dxfId="12750" priority="87">
      <formula>B$9&gt;=20/24</formula>
    </cfRule>
    <cfRule type="expression" dxfId="12749" priority="88">
      <formula>AND(B$9&gt;=14/24,B$9&lt;20/24)</formula>
    </cfRule>
    <cfRule type="expression" dxfId="12748" priority="89">
      <formula>AND(B$9&gt;=8/24,B$9&lt;14/24)</formula>
    </cfRule>
    <cfRule type="expression" dxfId="12747" priority="90">
      <formula>B$9&lt;8/24</formula>
    </cfRule>
  </conditionalFormatting>
  <conditionalFormatting sqref="B89 B98 B70 B87">
    <cfRule type="expression" dxfId="12746" priority="83">
      <formula>B$9&gt;=20/24</formula>
    </cfRule>
    <cfRule type="expression" dxfId="12745" priority="84">
      <formula>AND(B$9&gt;=14/24,B$9&lt;20/24)</formula>
    </cfRule>
    <cfRule type="expression" dxfId="12744" priority="85">
      <formula>AND(B$9&gt;=8/24,B$9&lt;14/24)</formula>
    </cfRule>
    <cfRule type="expression" dxfId="12743" priority="86">
      <formula>B$9&lt;8/24</formula>
    </cfRule>
  </conditionalFormatting>
  <conditionalFormatting sqref="B65:B66 B70 B48:AF48">
    <cfRule type="expression" dxfId="12742" priority="82">
      <formula>B48&gt;$AG48</formula>
    </cfRule>
  </conditionalFormatting>
  <conditionalFormatting sqref="B82">
    <cfRule type="expression" dxfId="12741" priority="78">
      <formula>B$9&gt;=20/24</formula>
    </cfRule>
    <cfRule type="expression" dxfId="12740" priority="79">
      <formula>AND(B$9&gt;=14/24,B$9&lt;20/24)</formula>
    </cfRule>
    <cfRule type="expression" dxfId="12739" priority="80">
      <formula>AND(B$9&gt;=8/24,B$9&lt;14/24)</formula>
    </cfRule>
    <cfRule type="expression" dxfId="12738" priority="81">
      <formula>B$9&lt;8/24</formula>
    </cfRule>
  </conditionalFormatting>
  <conditionalFormatting sqref="B52">
    <cfRule type="expression" dxfId="12737" priority="74">
      <formula>B$9&gt;=20/24</formula>
    </cfRule>
    <cfRule type="expression" dxfId="12736" priority="75">
      <formula>AND(B$9&gt;=14/24,B$9&lt;20/24)</formula>
    </cfRule>
    <cfRule type="expression" dxfId="12735" priority="76">
      <formula>AND(B$9&gt;=8/24,B$9&lt;14/24)</formula>
    </cfRule>
    <cfRule type="expression" dxfId="12734" priority="77">
      <formula>B$9&lt;8/24</formula>
    </cfRule>
  </conditionalFormatting>
  <conditionalFormatting sqref="B52">
    <cfRule type="expression" dxfId="12733" priority="73">
      <formula>B52&gt;$AG52</formula>
    </cfRule>
  </conditionalFormatting>
  <conditionalFormatting sqref="B59:M64">
    <cfRule type="expression" dxfId="12732" priority="65">
      <formula>B$9&gt;=20/24</formula>
    </cfRule>
    <cfRule type="expression" dxfId="12731" priority="66">
      <formula>AND(B$9&gt;=14/24,B$9&lt;20/24)</formula>
    </cfRule>
    <cfRule type="expression" dxfId="12730" priority="67">
      <formula>AND(B$9&gt;=8/24,B$9&lt;14/24)</formula>
    </cfRule>
    <cfRule type="expression" dxfId="12729" priority="68">
      <formula>B$9&lt;8/24</formula>
    </cfRule>
  </conditionalFormatting>
  <conditionalFormatting sqref="B59:M64">
    <cfRule type="expression" dxfId="12728" priority="64">
      <formula>B59&gt;$AG59</formula>
    </cfRule>
  </conditionalFormatting>
  <conditionalFormatting sqref="B77:F81 G79:L81">
    <cfRule type="expression" dxfId="12727" priority="60">
      <formula>B$9&gt;=20/24</formula>
    </cfRule>
    <cfRule type="expression" dxfId="12726" priority="61">
      <formula>AND(B$9&gt;=14/24,B$9&lt;20/24)</formula>
    </cfRule>
    <cfRule type="expression" dxfId="12725" priority="62">
      <formula>AND(B$9&gt;=8/24,B$9&lt;14/24)</formula>
    </cfRule>
    <cfRule type="expression" dxfId="12724" priority="63">
      <formula>B$9&lt;8/24</formula>
    </cfRule>
  </conditionalFormatting>
  <conditionalFormatting sqref="A11">
    <cfRule type="expression" dxfId="12723" priority="59">
      <formula>$AH11=0</formula>
    </cfRule>
  </conditionalFormatting>
  <conditionalFormatting sqref="AD11:AF11">
    <cfRule type="expression" dxfId="12722" priority="55">
      <formula>AD$9&gt;=20/24</formula>
    </cfRule>
    <cfRule type="expression" dxfId="12721" priority="56">
      <formula>AND(AD$9&gt;=14/24,AD$9&lt;20/24)</formula>
    </cfRule>
    <cfRule type="expression" dxfId="12720" priority="57">
      <formula>AND(AD$9&gt;=8/24,AD$9&lt;14/24)</formula>
    </cfRule>
    <cfRule type="expression" dxfId="12719" priority="58">
      <formula>AD$9&lt;8/24</formula>
    </cfRule>
  </conditionalFormatting>
  <conditionalFormatting sqref="AD11:AF11">
    <cfRule type="expression" dxfId="12718" priority="54">
      <formula>AD11&gt;$AG11</formula>
    </cfRule>
  </conditionalFormatting>
  <conditionalFormatting sqref="B11:AC11">
    <cfRule type="expression" dxfId="12717" priority="50">
      <formula>B$9&gt;=20/24</formula>
    </cfRule>
    <cfRule type="expression" dxfId="12716" priority="51">
      <formula>AND(B$9&gt;=14/24,B$9&lt;20/24)</formula>
    </cfRule>
    <cfRule type="expression" dxfId="12715" priority="52">
      <formula>AND(B$9&gt;=8/24,B$9&lt;14/24)</formula>
    </cfRule>
    <cfRule type="expression" dxfId="12714" priority="53">
      <formula>B$9&lt;8/24</formula>
    </cfRule>
  </conditionalFormatting>
  <conditionalFormatting sqref="B11:AC11">
    <cfRule type="expression" dxfId="12713" priority="49">
      <formula>B11&gt;$AG11</formula>
    </cfRule>
  </conditionalFormatting>
  <conditionalFormatting sqref="A16">
    <cfRule type="expression" dxfId="12712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B16:AF16">
    <cfRule type="expression" dxfId="12711" priority="38">
      <formula>B$9&gt;=20/24</formula>
    </cfRule>
    <cfRule type="expression" dxfId="12710" priority="39">
      <formula>AND(B$9&gt;=14/24,B$9&lt;20/24)</formula>
    </cfRule>
    <cfRule type="expression" dxfId="12709" priority="40">
      <formula>AND(B$9&gt;=8/24,B$9&lt;14/24)</formula>
    </cfRule>
    <cfRule type="expression" dxfId="12708" priority="41">
      <formula>B$9&lt;8/24</formula>
    </cfRule>
  </conditionalFormatting>
  <conditionalFormatting sqref="B16:AF16">
    <cfRule type="expression" dxfId="12707" priority="37">
      <formula>B16&gt;$AG16</formula>
    </cfRule>
  </conditionalFormatting>
  <conditionalFormatting sqref="A33">
    <cfRule type="expression" dxfId="12706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12705" priority="26">
      <formula>B$9&gt;=20/24</formula>
    </cfRule>
    <cfRule type="expression" dxfId="12704" priority="27">
      <formula>AND(B$9&gt;=14/24,B$9&lt;20/24)</formula>
    </cfRule>
    <cfRule type="expression" dxfId="12703" priority="28">
      <formula>AND(B$9&gt;=8/24,B$9&lt;14/24)</formula>
    </cfRule>
    <cfRule type="expression" dxfId="12702" priority="29">
      <formula>B$9&lt;8/24</formula>
    </cfRule>
  </conditionalFormatting>
  <conditionalFormatting sqref="B33:AF33">
    <cfRule type="expression" dxfId="12701" priority="25">
      <formula>B33&gt;$AG33</formula>
    </cfRule>
  </conditionalFormatting>
  <conditionalFormatting sqref="A44">
    <cfRule type="expression" dxfId="12700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12699" priority="14">
      <formula>B$9&gt;=20/24</formula>
    </cfRule>
    <cfRule type="expression" dxfId="12698" priority="15">
      <formula>AND(B$9&gt;=14/24,B$9&lt;20/24)</formula>
    </cfRule>
    <cfRule type="expression" dxfId="12697" priority="16">
      <formula>AND(B$9&gt;=8/24,B$9&lt;14/24)</formula>
    </cfRule>
    <cfRule type="expression" dxfId="12696" priority="17">
      <formula>B$9&lt;8/24</formula>
    </cfRule>
  </conditionalFormatting>
  <conditionalFormatting sqref="B44:AF44">
    <cfRule type="expression" dxfId="12695" priority="13">
      <formula>B44&gt;$AG44</formula>
    </cfRule>
  </conditionalFormatting>
  <conditionalFormatting sqref="B117">
    <cfRule type="expression" dxfId="12694" priority="1">
      <formula>B$9&gt;=20/24</formula>
    </cfRule>
    <cfRule type="expression" dxfId="12693" priority="2">
      <formula>AND(B$9&gt;=14/24,B$9&lt;20/24)</formula>
    </cfRule>
    <cfRule type="expression" dxfId="12692" priority="3">
      <formula>AND(B$9&gt;=8/24,B$9&lt;14/24)</formula>
    </cfRule>
    <cfRule type="expression" dxfId="12691" priority="4">
      <formula>B$9&lt;8/24</formula>
    </cfRule>
  </conditionalFormatting>
  <conditionalFormatting sqref="D117:AF117">
    <cfRule type="expression" dxfId="12690" priority="9">
      <formula>D$9&gt;=20/24</formula>
    </cfRule>
    <cfRule type="expression" dxfId="12689" priority="10">
      <formula>AND(D$9&gt;=14/24,D$9&lt;20/24)</formula>
    </cfRule>
    <cfRule type="expression" dxfId="12688" priority="11">
      <formula>AND(D$9&gt;=8/24,D$9&lt;14/24)</formula>
    </cfRule>
    <cfRule type="expression" dxfId="12687" priority="12">
      <formula>D$9&lt;8/24</formula>
    </cfRule>
  </conditionalFormatting>
  <conditionalFormatting sqref="C117">
    <cfRule type="expression" dxfId="12686" priority="5">
      <formula>C$9&gt;=20/24</formula>
    </cfRule>
    <cfRule type="expression" dxfId="12685" priority="6">
      <formula>AND(C$9&gt;=14/24,C$9&lt;20/24)</formula>
    </cfRule>
    <cfRule type="expression" dxfId="12684" priority="7">
      <formula>AND(C$9&gt;=8/24,C$9&lt;14/24)</formula>
    </cfRule>
    <cfRule type="expression" dxfId="12683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0D7158B6-8CF7-456F-945C-0057DD8A9C0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72F75006-75A7-433C-912C-55D2F9ADF19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EBA3DE78-A7A8-4871-BCD3-E73AF866736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9E8C4198-5A90-4330-8243-3399EB30F89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CC651C9D-0DB9-4E3B-9DF4-A952DD4D260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2F8A4449-5318-46A7-A287-F2D9B8CD235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3A078377-A857-4D0B-A7BA-986694E25D9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7E263B34-F348-4309-999D-9C9ECF4E6F3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CJ278"/>
  <sheetViews>
    <sheetView topLeftCell="C1" zoomScaleNormal="100" workbookViewId="0">
      <pane ySplit="10" topLeftCell="A47" activePane="bottomLeft" state="frozen"/>
      <selection activeCell="Z85" sqref="Z85"/>
      <selection pane="bottomLeft" activeCell="AH11" sqref="AH11:AI11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8.57031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2080/02/4</v>
      </c>
      <c r="C4" s="191"/>
      <c r="D4" s="191"/>
      <c r="E4" s="192" t="str">
        <f ca="1">"2079/"&amp;"12/"&amp;INT(MID(CELL("filename",G6),FIND("]",CELL("filename",G6))+1,200))</f>
        <v>2079/12/4</v>
      </c>
      <c r="F4" s="192"/>
      <c r="G4" s="192"/>
      <c r="H4" s="192" t="str">
        <f ca="1">TEXT(E4,"dddd")</f>
        <v>Monday</v>
      </c>
      <c r="I4" s="192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231.9</v>
      </c>
      <c r="C5" s="30">
        <f t="shared" si="0"/>
        <v>227</v>
      </c>
      <c r="D5" s="30">
        <f t="shared" si="0"/>
        <v>166.6</v>
      </c>
      <c r="E5" s="30">
        <f t="shared" si="0"/>
        <v>223.8</v>
      </c>
      <c r="F5" s="30">
        <f t="shared" si="0"/>
        <v>264</v>
      </c>
      <c r="G5" s="30">
        <f t="shared" si="0"/>
        <v>216</v>
      </c>
      <c r="H5" s="30">
        <f t="shared" si="0"/>
        <v>295.2</v>
      </c>
      <c r="I5" s="30">
        <f t="shared" si="0"/>
        <v>346</v>
      </c>
      <c r="J5" s="30">
        <f t="shared" si="0"/>
        <v>343</v>
      </c>
      <c r="K5" s="30">
        <f t="shared" si="0"/>
        <v>315.60000000000002</v>
      </c>
      <c r="L5" s="30">
        <f t="shared" si="0"/>
        <v>336</v>
      </c>
      <c r="M5" s="30">
        <f t="shared" si="0"/>
        <v>336</v>
      </c>
      <c r="N5" s="30">
        <f t="shared" si="0"/>
        <v>288</v>
      </c>
      <c r="O5" s="30">
        <f t="shared" si="0"/>
        <v>375.5</v>
      </c>
      <c r="P5" s="30">
        <f t="shared" si="0"/>
        <v>393.9</v>
      </c>
      <c r="Q5" s="30">
        <f t="shared" si="0"/>
        <v>380.5</v>
      </c>
      <c r="R5" s="30">
        <f t="shared" si="0"/>
        <v>246</v>
      </c>
      <c r="S5" s="30">
        <f t="shared" si="0"/>
        <v>141.1</v>
      </c>
      <c r="T5" s="30">
        <f t="shared" si="0"/>
        <v>151.1</v>
      </c>
      <c r="U5" s="30">
        <f t="shared" si="0"/>
        <v>409.6</v>
      </c>
      <c r="V5" s="30">
        <f t="shared" si="0"/>
        <v>420.9</v>
      </c>
      <c r="W5" s="30">
        <f t="shared" si="0"/>
        <v>423.5</v>
      </c>
      <c r="X5" s="30">
        <f t="shared" si="0"/>
        <v>420.3</v>
      </c>
      <c r="Y5" s="30">
        <f t="shared" si="0"/>
        <v>425.9</v>
      </c>
      <c r="Z5" s="30">
        <f t="shared" si="0"/>
        <v>381</v>
      </c>
      <c r="AA5" s="30">
        <f t="shared" si="0"/>
        <v>325.3</v>
      </c>
      <c r="AB5" s="30">
        <f t="shared" si="0"/>
        <v>307</v>
      </c>
      <c r="AC5" s="30">
        <f t="shared" si="0"/>
        <v>283</v>
      </c>
      <c r="AD5" s="30">
        <f t="shared" si="0"/>
        <v>265.89999999999998</v>
      </c>
      <c r="AE5" s="30">
        <f t="shared" si="0"/>
        <v>230.7</v>
      </c>
      <c r="AF5" s="30">
        <f>B82</f>
        <v>214.3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1455MW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Load=1056</v>
      </c>
      <c r="B7" s="35">
        <f t="shared" ref="B7:AF7" si="1">B89</f>
        <v>1143.8399999999999</v>
      </c>
      <c r="C7" s="35">
        <f t="shared" si="1"/>
        <v>1165.44</v>
      </c>
      <c r="D7" s="35">
        <f t="shared" si="1"/>
        <v>1157.2400000000002</v>
      </c>
      <c r="E7" s="35">
        <f t="shared" si="1"/>
        <v>1056.1400000000001</v>
      </c>
      <c r="F7" s="35">
        <f t="shared" si="1"/>
        <v>1126.44</v>
      </c>
      <c r="G7" s="35">
        <f t="shared" si="1"/>
        <v>1163.24</v>
      </c>
      <c r="H7" s="35">
        <f t="shared" si="1"/>
        <v>1093.04</v>
      </c>
      <c r="I7" s="35">
        <f t="shared" si="1"/>
        <v>1172.6400000000001</v>
      </c>
      <c r="J7" s="35">
        <f t="shared" si="1"/>
        <v>1304.44</v>
      </c>
      <c r="K7" s="35">
        <f t="shared" si="1"/>
        <v>1370.74</v>
      </c>
      <c r="L7" s="35">
        <f t="shared" si="1"/>
        <v>1393.3400000000001</v>
      </c>
      <c r="M7" s="35">
        <f t="shared" si="1"/>
        <v>1404.1399999999999</v>
      </c>
      <c r="N7" s="35">
        <f>N89</f>
        <v>1454.74</v>
      </c>
      <c r="O7" s="35">
        <f t="shared" si="1"/>
        <v>1432.14</v>
      </c>
      <c r="P7" s="35">
        <f t="shared" si="1"/>
        <v>1418.94</v>
      </c>
      <c r="Q7" s="35">
        <f t="shared" si="1"/>
        <v>1429.54</v>
      </c>
      <c r="R7" s="35">
        <f t="shared" si="1"/>
        <v>1456.94</v>
      </c>
      <c r="S7" s="35">
        <f t="shared" si="1"/>
        <v>1428.8400000000001</v>
      </c>
      <c r="T7" s="35">
        <f t="shared" si="1"/>
        <v>1469.8400000000001</v>
      </c>
      <c r="U7" s="35">
        <f t="shared" si="1"/>
        <v>1475.8400000000001</v>
      </c>
      <c r="V7" s="35">
        <f t="shared" si="1"/>
        <v>1489.3400000000001</v>
      </c>
      <c r="W7" s="35">
        <f t="shared" si="1"/>
        <v>1406.3400000000001</v>
      </c>
      <c r="X7" s="35">
        <f t="shared" si="1"/>
        <v>1358.3400000000001</v>
      </c>
      <c r="Y7" s="35">
        <f t="shared" si="1"/>
        <v>1485.24</v>
      </c>
      <c r="Z7" s="35">
        <f t="shared" si="1"/>
        <v>1558.3400000000001</v>
      </c>
      <c r="AA7" s="35">
        <f t="shared" si="1"/>
        <v>1680.94</v>
      </c>
      <c r="AB7" s="35">
        <f t="shared" si="1"/>
        <v>1665.7</v>
      </c>
      <c r="AC7" s="35">
        <f t="shared" si="1"/>
        <v>1653.4</v>
      </c>
      <c r="AD7" s="35">
        <f t="shared" si="1"/>
        <v>1553.2</v>
      </c>
      <c r="AE7" s="35">
        <f t="shared" si="1"/>
        <v>1425</v>
      </c>
      <c r="AF7" s="35">
        <f t="shared" si="1"/>
        <v>1395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26</v>
      </c>
      <c r="C11" s="45">
        <v>30</v>
      </c>
      <c r="D11" s="45">
        <v>30</v>
      </c>
      <c r="E11" s="45">
        <v>30</v>
      </c>
      <c r="F11" s="45">
        <v>30</v>
      </c>
      <c r="G11" s="45">
        <v>30</v>
      </c>
      <c r="H11" s="45">
        <v>30</v>
      </c>
      <c r="I11" s="45">
        <v>29</v>
      </c>
      <c r="J11" s="45">
        <v>30</v>
      </c>
      <c r="K11" s="45">
        <v>30.4</v>
      </c>
      <c r="L11" s="45">
        <v>30.4</v>
      </c>
      <c r="M11" s="45">
        <v>30.4</v>
      </c>
      <c r="N11" s="45">
        <v>30.4</v>
      </c>
      <c r="O11" s="45">
        <v>30.4</v>
      </c>
      <c r="P11" s="45">
        <v>30.4</v>
      </c>
      <c r="Q11" s="45">
        <v>29</v>
      </c>
      <c r="R11" s="45">
        <v>29</v>
      </c>
      <c r="S11" s="45">
        <v>29</v>
      </c>
      <c r="T11" s="45">
        <v>29</v>
      </c>
      <c r="U11" s="45">
        <v>29</v>
      </c>
      <c r="V11" s="45">
        <v>29</v>
      </c>
      <c r="W11" s="45">
        <v>29</v>
      </c>
      <c r="X11" s="45">
        <v>29</v>
      </c>
      <c r="Y11" s="45">
        <v>29</v>
      </c>
      <c r="Z11" s="45">
        <v>29</v>
      </c>
      <c r="AA11" s="45">
        <v>29</v>
      </c>
      <c r="AB11" s="45">
        <v>30</v>
      </c>
      <c r="AC11" s="45">
        <v>30</v>
      </c>
      <c r="AD11" s="45">
        <v>30</v>
      </c>
      <c r="AE11" s="45">
        <v>30</v>
      </c>
      <c r="AF11" s="45">
        <v>30</v>
      </c>
      <c r="AG11" s="46">
        <v>86</v>
      </c>
      <c r="AH11" s="47">
        <f t="shared" ref="AH11:AH74" si="2">MAX(B11:AF11)</f>
        <v>30.4</v>
      </c>
      <c r="AI11" s="48">
        <f t="shared" ref="AI11:AI74" si="3">MIN(B11:AF11)</f>
        <v>26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15.1</v>
      </c>
      <c r="C12" s="45">
        <v>15.1</v>
      </c>
      <c r="D12" s="45">
        <v>15.1</v>
      </c>
      <c r="E12" s="45">
        <v>15.1</v>
      </c>
      <c r="F12" s="45">
        <v>15.1</v>
      </c>
      <c r="G12" s="45">
        <v>17.7</v>
      </c>
      <c r="H12" s="45">
        <v>17.7</v>
      </c>
      <c r="I12" s="45">
        <v>17.7</v>
      </c>
      <c r="J12" s="45">
        <v>17.7</v>
      </c>
      <c r="K12" s="45">
        <v>17.7</v>
      </c>
      <c r="L12" s="45">
        <v>17.7</v>
      </c>
      <c r="M12" s="45">
        <v>17.7</v>
      </c>
      <c r="N12" s="45">
        <v>17.7</v>
      </c>
      <c r="O12" s="45">
        <v>17.7</v>
      </c>
      <c r="P12" s="45">
        <v>17.7</v>
      </c>
      <c r="Q12" s="45">
        <v>15.6</v>
      </c>
      <c r="R12" s="45">
        <v>15.6</v>
      </c>
      <c r="S12" s="45">
        <v>15.6</v>
      </c>
      <c r="T12" s="45">
        <v>15.6</v>
      </c>
      <c r="U12" s="45">
        <v>15.6</v>
      </c>
      <c r="V12" s="45">
        <v>15.6</v>
      </c>
      <c r="W12" s="45">
        <v>15.6</v>
      </c>
      <c r="X12" s="45">
        <v>15.6</v>
      </c>
      <c r="Y12" s="45">
        <v>15.6</v>
      </c>
      <c r="Z12" s="45">
        <v>16.2</v>
      </c>
      <c r="AA12" s="45">
        <v>16.2</v>
      </c>
      <c r="AB12" s="45">
        <v>16.2</v>
      </c>
      <c r="AC12" s="45">
        <v>16.2</v>
      </c>
      <c r="AD12" s="45">
        <v>16.2</v>
      </c>
      <c r="AE12" s="45">
        <v>16.2</v>
      </c>
      <c r="AF12" s="45">
        <v>15.7</v>
      </c>
      <c r="AG12" s="46">
        <v>52.4</v>
      </c>
      <c r="AH12" s="47">
        <f t="shared" si="2"/>
        <v>17.7</v>
      </c>
      <c r="AI12" s="48">
        <f t="shared" si="3"/>
        <v>15.1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50.2</v>
      </c>
      <c r="C13" s="45">
        <v>50.2</v>
      </c>
      <c r="D13" s="45">
        <v>50.2</v>
      </c>
      <c r="E13" s="45">
        <v>50.2</v>
      </c>
      <c r="F13" s="45">
        <v>50.2</v>
      </c>
      <c r="G13" s="45">
        <v>50</v>
      </c>
      <c r="H13" s="45">
        <v>50</v>
      </c>
      <c r="I13" s="45">
        <v>50</v>
      </c>
      <c r="J13" s="45">
        <v>50</v>
      </c>
      <c r="K13" s="45">
        <v>50.6</v>
      </c>
      <c r="L13" s="45">
        <v>50.6</v>
      </c>
      <c r="M13" s="45">
        <v>50.6</v>
      </c>
      <c r="N13" s="45">
        <v>50.6</v>
      </c>
      <c r="O13" s="45">
        <v>50.6</v>
      </c>
      <c r="P13" s="45">
        <v>50.6</v>
      </c>
      <c r="Q13" s="45">
        <v>50.3</v>
      </c>
      <c r="R13" s="45">
        <v>50.3</v>
      </c>
      <c r="S13" s="45">
        <v>50.3</v>
      </c>
      <c r="T13" s="45">
        <v>50.3</v>
      </c>
      <c r="U13" s="45">
        <v>50.3</v>
      </c>
      <c r="V13" s="45">
        <v>50.3</v>
      </c>
      <c r="W13" s="45">
        <v>50.3</v>
      </c>
      <c r="X13" s="45">
        <v>50.3</v>
      </c>
      <c r="Y13" s="45">
        <v>50.3</v>
      </c>
      <c r="Z13" s="45">
        <v>50.3</v>
      </c>
      <c r="AA13" s="45">
        <v>50.3</v>
      </c>
      <c r="AB13" s="45">
        <v>50.4</v>
      </c>
      <c r="AC13" s="45">
        <v>50.4</v>
      </c>
      <c r="AD13" s="45">
        <v>50.4</v>
      </c>
      <c r="AE13" s="45">
        <v>50.4</v>
      </c>
      <c r="AF13" s="45">
        <v>50.7</v>
      </c>
      <c r="AG13" s="50">
        <v>50</v>
      </c>
      <c r="AH13" s="47">
        <f t="shared" si="2"/>
        <v>50.7</v>
      </c>
      <c r="AI13" s="48">
        <f t="shared" si="3"/>
        <v>50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23.8</v>
      </c>
      <c r="C14" s="45">
        <v>23.8</v>
      </c>
      <c r="D14" s="45">
        <v>23.8</v>
      </c>
      <c r="E14" s="45">
        <v>23.8</v>
      </c>
      <c r="F14" s="45">
        <v>23.8</v>
      </c>
      <c r="G14" s="45">
        <v>23</v>
      </c>
      <c r="H14" s="45">
        <v>23</v>
      </c>
      <c r="I14" s="45">
        <v>23</v>
      </c>
      <c r="J14" s="45">
        <v>23</v>
      </c>
      <c r="K14" s="45">
        <v>22.6</v>
      </c>
      <c r="L14" s="45">
        <v>22.6</v>
      </c>
      <c r="M14" s="45">
        <v>22.6</v>
      </c>
      <c r="N14" s="45">
        <v>22.6</v>
      </c>
      <c r="O14" s="45">
        <v>22.6</v>
      </c>
      <c r="P14" s="45">
        <v>22.6</v>
      </c>
      <c r="Q14" s="45">
        <v>21.5</v>
      </c>
      <c r="R14" s="45">
        <v>21.5</v>
      </c>
      <c r="S14" s="45">
        <v>21.5</v>
      </c>
      <c r="T14" s="45">
        <v>21.5</v>
      </c>
      <c r="U14" s="45">
        <v>21.5</v>
      </c>
      <c r="V14" s="45">
        <v>21.5</v>
      </c>
      <c r="W14" s="45">
        <v>21.5</v>
      </c>
      <c r="X14" s="45">
        <v>21.5</v>
      </c>
      <c r="Y14" s="45">
        <v>21.5</v>
      </c>
      <c r="Z14" s="45">
        <v>21.5</v>
      </c>
      <c r="AA14" s="45">
        <v>21.5</v>
      </c>
      <c r="AB14" s="45">
        <v>22.8</v>
      </c>
      <c r="AC14" s="45">
        <v>22.8</v>
      </c>
      <c r="AD14" s="45">
        <v>22.8</v>
      </c>
      <c r="AE14" s="45">
        <v>22.8</v>
      </c>
      <c r="AF14" s="45">
        <v>24</v>
      </c>
      <c r="AG14" s="50">
        <v>45</v>
      </c>
      <c r="AH14" s="47">
        <f t="shared" si="2"/>
        <v>24</v>
      </c>
      <c r="AI14" s="48">
        <f t="shared" si="3"/>
        <v>21.5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22</v>
      </c>
      <c r="C15" s="45">
        <v>22</v>
      </c>
      <c r="D15" s="45">
        <v>22</v>
      </c>
      <c r="E15" s="45">
        <v>22</v>
      </c>
      <c r="F15" s="45">
        <v>22</v>
      </c>
      <c r="G15" s="45">
        <v>16</v>
      </c>
      <c r="H15" s="45">
        <v>16</v>
      </c>
      <c r="I15" s="45">
        <v>16</v>
      </c>
      <c r="J15" s="45">
        <v>16</v>
      </c>
      <c r="K15" s="45">
        <v>16</v>
      </c>
      <c r="L15" s="45">
        <v>16</v>
      </c>
      <c r="M15" s="45">
        <v>16</v>
      </c>
      <c r="N15" s="45">
        <v>16</v>
      </c>
      <c r="O15" s="45">
        <v>16</v>
      </c>
      <c r="P15" s="45">
        <v>16</v>
      </c>
      <c r="Q15" s="45">
        <v>16</v>
      </c>
      <c r="R15" s="45">
        <v>16</v>
      </c>
      <c r="S15" s="45">
        <v>16</v>
      </c>
      <c r="T15" s="45">
        <v>16</v>
      </c>
      <c r="U15" s="45">
        <v>16</v>
      </c>
      <c r="V15" s="45">
        <v>16</v>
      </c>
      <c r="W15" s="45">
        <v>16</v>
      </c>
      <c r="X15" s="45">
        <v>16</v>
      </c>
      <c r="Y15" s="45">
        <v>16</v>
      </c>
      <c r="Z15" s="45">
        <v>16</v>
      </c>
      <c r="AA15" s="45">
        <v>16</v>
      </c>
      <c r="AB15" s="45">
        <v>16</v>
      </c>
      <c r="AC15" s="45">
        <v>16</v>
      </c>
      <c r="AD15" s="45">
        <v>16</v>
      </c>
      <c r="AE15" s="45">
        <v>22</v>
      </c>
      <c r="AF15" s="45">
        <v>22</v>
      </c>
      <c r="AG15" s="50">
        <v>42</v>
      </c>
      <c r="AH15" s="47">
        <f t="shared" si="2"/>
        <v>22</v>
      </c>
      <c r="AI15" s="48">
        <f t="shared" si="3"/>
        <v>16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22</v>
      </c>
      <c r="C16" s="45">
        <v>22</v>
      </c>
      <c r="D16" s="45">
        <v>22</v>
      </c>
      <c r="E16" s="45">
        <v>22</v>
      </c>
      <c r="F16" s="45">
        <v>22</v>
      </c>
      <c r="G16" s="45">
        <v>22</v>
      </c>
      <c r="H16" s="45">
        <v>22</v>
      </c>
      <c r="I16" s="45">
        <v>22</v>
      </c>
      <c r="J16" s="45">
        <v>22</v>
      </c>
      <c r="K16" s="45">
        <v>22</v>
      </c>
      <c r="L16" s="45">
        <v>22</v>
      </c>
      <c r="M16" s="45">
        <v>22</v>
      </c>
      <c r="N16" s="45">
        <v>22</v>
      </c>
      <c r="O16" s="45">
        <v>22</v>
      </c>
      <c r="P16" s="45">
        <v>22</v>
      </c>
      <c r="Q16" s="45">
        <v>22</v>
      </c>
      <c r="R16" s="45">
        <v>22</v>
      </c>
      <c r="S16" s="45">
        <v>22</v>
      </c>
      <c r="T16" s="45">
        <v>22</v>
      </c>
      <c r="U16" s="45">
        <v>22</v>
      </c>
      <c r="V16" s="45">
        <v>22</v>
      </c>
      <c r="W16" s="45">
        <v>22</v>
      </c>
      <c r="X16" s="45">
        <v>22</v>
      </c>
      <c r="Y16" s="45">
        <v>22</v>
      </c>
      <c r="Z16" s="45">
        <v>22</v>
      </c>
      <c r="AA16" s="45">
        <v>22</v>
      </c>
      <c r="AB16" s="45">
        <v>22</v>
      </c>
      <c r="AC16" s="45">
        <v>22</v>
      </c>
      <c r="AD16" s="45">
        <v>22</v>
      </c>
      <c r="AE16" s="45">
        <v>22</v>
      </c>
      <c r="AF16" s="45">
        <v>22</v>
      </c>
      <c r="AG16" s="50">
        <v>36</v>
      </c>
      <c r="AH16" s="47">
        <f t="shared" si="2"/>
        <v>22</v>
      </c>
      <c r="AI16" s="48">
        <f t="shared" si="3"/>
        <v>22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14.6</v>
      </c>
      <c r="C17" s="45">
        <v>14.6</v>
      </c>
      <c r="D17" s="45">
        <v>14.6</v>
      </c>
      <c r="E17" s="45">
        <v>14.6</v>
      </c>
      <c r="F17" s="45">
        <v>14.6</v>
      </c>
      <c r="G17" s="45">
        <v>14.6</v>
      </c>
      <c r="H17" s="45">
        <v>14.6</v>
      </c>
      <c r="I17" s="45">
        <v>14.6</v>
      </c>
      <c r="J17" s="45">
        <v>14.6</v>
      </c>
      <c r="K17" s="45">
        <v>14.6</v>
      </c>
      <c r="L17" s="45">
        <v>14.6</v>
      </c>
      <c r="M17" s="45">
        <v>14.6</v>
      </c>
      <c r="N17" s="45">
        <v>14.6</v>
      </c>
      <c r="O17" s="45">
        <v>14.6</v>
      </c>
      <c r="P17" s="45">
        <v>14.6</v>
      </c>
      <c r="Q17" s="45">
        <v>14.6</v>
      </c>
      <c r="R17" s="45">
        <v>14.6</v>
      </c>
      <c r="S17" s="45">
        <v>14.6</v>
      </c>
      <c r="T17" s="45">
        <v>14.6</v>
      </c>
      <c r="U17" s="45">
        <v>14.6</v>
      </c>
      <c r="V17" s="45">
        <v>14.6</v>
      </c>
      <c r="W17" s="45">
        <v>14.6</v>
      </c>
      <c r="X17" s="45">
        <v>14.6</v>
      </c>
      <c r="Y17" s="45">
        <v>14.6</v>
      </c>
      <c r="Z17" s="45">
        <v>14.6</v>
      </c>
      <c r="AA17" s="45">
        <v>14.6</v>
      </c>
      <c r="AB17" s="45">
        <v>14.6</v>
      </c>
      <c r="AC17" s="45">
        <v>14.6</v>
      </c>
      <c r="AD17" s="45">
        <v>14.6</v>
      </c>
      <c r="AE17" s="45">
        <v>14.6</v>
      </c>
      <c r="AF17" s="45">
        <v>14.6</v>
      </c>
      <c r="AG17" s="50">
        <v>36</v>
      </c>
      <c r="AH17" s="47">
        <f t="shared" si="2"/>
        <v>14.6</v>
      </c>
      <c r="AI17" s="48">
        <f t="shared" si="3"/>
        <v>14.6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13.7</v>
      </c>
      <c r="H18" s="45">
        <v>13.7</v>
      </c>
      <c r="I18" s="45">
        <v>13.7</v>
      </c>
      <c r="J18" s="45">
        <v>13.7</v>
      </c>
      <c r="K18" s="45">
        <v>13.4</v>
      </c>
      <c r="L18" s="45">
        <v>13.4</v>
      </c>
      <c r="M18" s="45">
        <v>13.4</v>
      </c>
      <c r="N18" s="45">
        <v>13.4</v>
      </c>
      <c r="O18" s="45">
        <v>13.4</v>
      </c>
      <c r="P18" s="45">
        <v>13.4</v>
      </c>
      <c r="Q18" s="45">
        <v>12.4</v>
      </c>
      <c r="R18" s="45">
        <v>12.4</v>
      </c>
      <c r="S18" s="45">
        <v>12.4</v>
      </c>
      <c r="T18" s="45">
        <v>12.4</v>
      </c>
      <c r="U18" s="45">
        <v>12.4</v>
      </c>
      <c r="V18" s="45">
        <v>12.4</v>
      </c>
      <c r="W18" s="45">
        <v>12.4</v>
      </c>
      <c r="X18" s="45">
        <v>12.4</v>
      </c>
      <c r="Y18" s="45">
        <v>12.4</v>
      </c>
      <c r="Z18" s="45">
        <v>12.4</v>
      </c>
      <c r="AA18" s="45">
        <v>12.4</v>
      </c>
      <c r="AB18" s="45">
        <v>12.4</v>
      </c>
      <c r="AC18" s="45">
        <v>12.4</v>
      </c>
      <c r="AD18" s="45">
        <v>12.4</v>
      </c>
      <c r="AE18" s="45">
        <v>12.4</v>
      </c>
      <c r="AF18" s="45">
        <v>12.4</v>
      </c>
      <c r="AG18" s="51">
        <v>30</v>
      </c>
      <c r="AH18" s="47">
        <f t="shared" si="2"/>
        <v>13.7</v>
      </c>
      <c r="AI18" s="48">
        <f t="shared" si="3"/>
        <v>12.4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8.6999999999999993</v>
      </c>
      <c r="C19" s="45">
        <v>8.6999999999999993</v>
      </c>
      <c r="D19" s="45">
        <v>8.6999999999999993</v>
      </c>
      <c r="E19" s="45">
        <v>8.6999999999999993</v>
      </c>
      <c r="F19" s="45">
        <v>8.6999999999999993</v>
      </c>
      <c r="G19" s="45">
        <v>9</v>
      </c>
      <c r="H19" s="45">
        <v>9</v>
      </c>
      <c r="I19" s="45">
        <v>9</v>
      </c>
      <c r="J19" s="45">
        <v>9</v>
      </c>
      <c r="K19" s="45">
        <v>9</v>
      </c>
      <c r="L19" s="45">
        <v>9</v>
      </c>
      <c r="M19" s="45">
        <v>9</v>
      </c>
      <c r="N19" s="45">
        <v>9</v>
      </c>
      <c r="O19" s="45">
        <v>9</v>
      </c>
      <c r="P19" s="45">
        <v>9</v>
      </c>
      <c r="Q19" s="45">
        <v>7.2</v>
      </c>
      <c r="R19" s="45">
        <v>7.2</v>
      </c>
      <c r="S19" s="45">
        <v>7.2</v>
      </c>
      <c r="T19" s="45">
        <v>7.2</v>
      </c>
      <c r="U19" s="45">
        <v>7.2</v>
      </c>
      <c r="V19" s="45">
        <v>7.2</v>
      </c>
      <c r="W19" s="45">
        <v>7.2</v>
      </c>
      <c r="X19" s="45">
        <v>7.2</v>
      </c>
      <c r="Y19" s="45">
        <v>7.2</v>
      </c>
      <c r="Z19" s="45">
        <v>7.2</v>
      </c>
      <c r="AA19" s="45">
        <v>7.2</v>
      </c>
      <c r="AB19" s="45">
        <v>7.2</v>
      </c>
      <c r="AC19" s="45">
        <v>7.2</v>
      </c>
      <c r="AD19" s="45">
        <v>7.2</v>
      </c>
      <c r="AE19" s="45">
        <v>7.2</v>
      </c>
      <c r="AF19" s="45">
        <v>7.2</v>
      </c>
      <c r="AG19" s="50">
        <v>24.2</v>
      </c>
      <c r="AH19" s="47">
        <f t="shared" si="2"/>
        <v>9</v>
      </c>
      <c r="AI19" s="48">
        <f t="shared" si="3"/>
        <v>7.2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</v>
      </c>
      <c r="C20" s="45">
        <v>9</v>
      </c>
      <c r="D20" s="45">
        <v>9</v>
      </c>
      <c r="E20" s="45">
        <v>9</v>
      </c>
      <c r="F20" s="45">
        <v>9</v>
      </c>
      <c r="G20" s="45">
        <v>9</v>
      </c>
      <c r="H20" s="45">
        <v>9</v>
      </c>
      <c r="I20" s="45">
        <v>9</v>
      </c>
      <c r="J20" s="45">
        <v>9</v>
      </c>
      <c r="K20" s="45">
        <v>9</v>
      </c>
      <c r="L20" s="45">
        <v>9</v>
      </c>
      <c r="M20" s="45">
        <v>9</v>
      </c>
      <c r="N20" s="45">
        <v>9</v>
      </c>
      <c r="O20" s="45">
        <v>9</v>
      </c>
      <c r="P20" s="45">
        <v>9</v>
      </c>
      <c r="Q20" s="45">
        <v>9</v>
      </c>
      <c r="R20" s="45">
        <v>9</v>
      </c>
      <c r="S20" s="45">
        <v>9</v>
      </c>
      <c r="T20" s="45">
        <v>9</v>
      </c>
      <c r="U20" s="45">
        <v>9</v>
      </c>
      <c r="V20" s="45">
        <v>9</v>
      </c>
      <c r="W20" s="45">
        <v>9</v>
      </c>
      <c r="X20" s="45">
        <v>9</v>
      </c>
      <c r="Y20" s="45">
        <v>9</v>
      </c>
      <c r="Z20" s="45">
        <v>9</v>
      </c>
      <c r="AA20" s="45">
        <v>9</v>
      </c>
      <c r="AB20" s="45">
        <v>9</v>
      </c>
      <c r="AC20" s="45">
        <v>9</v>
      </c>
      <c r="AD20" s="45">
        <v>9</v>
      </c>
      <c r="AE20" s="45">
        <v>9</v>
      </c>
      <c r="AF20" s="45">
        <v>9</v>
      </c>
      <c r="AG20" s="50">
        <v>28</v>
      </c>
      <c r="AH20" s="47">
        <f t="shared" si="2"/>
        <v>9</v>
      </c>
      <c r="AI20" s="48">
        <f t="shared" si="3"/>
        <v>9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30</v>
      </c>
      <c r="AH21" s="47">
        <f t="shared" si="2"/>
        <v>14</v>
      </c>
      <c r="AI21" s="48">
        <f t="shared" si="3"/>
        <v>14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13.1</v>
      </c>
      <c r="C22" s="45">
        <v>13.1</v>
      </c>
      <c r="D22" s="45">
        <v>13.1</v>
      </c>
      <c r="E22" s="45">
        <v>13.1</v>
      </c>
      <c r="F22" s="45">
        <v>13.1</v>
      </c>
      <c r="G22" s="45">
        <v>13.1</v>
      </c>
      <c r="H22" s="45">
        <v>13.1</v>
      </c>
      <c r="I22" s="45">
        <v>13.1</v>
      </c>
      <c r="J22" s="45">
        <v>13.1</v>
      </c>
      <c r="K22" s="45">
        <v>13.1</v>
      </c>
      <c r="L22" s="45">
        <v>13.1</v>
      </c>
      <c r="M22" s="45">
        <v>13.1</v>
      </c>
      <c r="N22" s="45">
        <v>13.1</v>
      </c>
      <c r="O22" s="45">
        <v>13.1</v>
      </c>
      <c r="P22" s="45">
        <v>13.1</v>
      </c>
      <c r="Q22" s="45">
        <v>13.3</v>
      </c>
      <c r="R22" s="45">
        <v>13.3</v>
      </c>
      <c r="S22" s="45">
        <v>13.3</v>
      </c>
      <c r="T22" s="45">
        <v>13.3</v>
      </c>
      <c r="U22" s="45">
        <v>13.3</v>
      </c>
      <c r="V22" s="45">
        <v>13.3</v>
      </c>
      <c r="W22" s="45">
        <v>13.3</v>
      </c>
      <c r="X22" s="45">
        <v>13.3</v>
      </c>
      <c r="Y22" s="45">
        <v>13.3</v>
      </c>
      <c r="Z22" s="45">
        <v>13.3</v>
      </c>
      <c r="AA22" s="45">
        <v>13.3</v>
      </c>
      <c r="AB22" s="45">
        <v>13.3</v>
      </c>
      <c r="AC22" s="45">
        <v>13.3</v>
      </c>
      <c r="AD22" s="45">
        <v>13.3</v>
      </c>
      <c r="AE22" s="45">
        <v>13.3</v>
      </c>
      <c r="AF22" s="45">
        <v>13.3</v>
      </c>
      <c r="AG22" s="50">
        <v>25</v>
      </c>
      <c r="AH22" s="47">
        <f t="shared" si="2"/>
        <v>13.3</v>
      </c>
      <c r="AI22" s="48">
        <f t="shared" si="3"/>
        <v>13.1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0</v>
      </c>
      <c r="L23" s="45">
        <v>0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0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0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12</v>
      </c>
      <c r="C25" s="45">
        <v>12</v>
      </c>
      <c r="D25" s="45">
        <v>12</v>
      </c>
      <c r="E25" s="45">
        <v>12</v>
      </c>
      <c r="F25" s="45">
        <v>12</v>
      </c>
      <c r="G25" s="45">
        <v>12</v>
      </c>
      <c r="H25" s="45">
        <v>12</v>
      </c>
      <c r="I25" s="45">
        <v>12</v>
      </c>
      <c r="J25" s="45">
        <v>12</v>
      </c>
      <c r="K25" s="45">
        <v>12</v>
      </c>
      <c r="L25" s="45">
        <v>12</v>
      </c>
      <c r="M25" s="45">
        <v>12</v>
      </c>
      <c r="N25" s="45">
        <v>12</v>
      </c>
      <c r="O25" s="45">
        <v>12</v>
      </c>
      <c r="P25" s="45">
        <v>12</v>
      </c>
      <c r="Q25" s="45">
        <v>12</v>
      </c>
      <c r="R25" s="45">
        <v>12</v>
      </c>
      <c r="S25" s="45">
        <v>12</v>
      </c>
      <c r="T25" s="45">
        <v>12</v>
      </c>
      <c r="U25" s="45">
        <v>12</v>
      </c>
      <c r="V25" s="45">
        <v>12</v>
      </c>
      <c r="W25" s="45">
        <v>12</v>
      </c>
      <c r="X25" s="45">
        <v>12</v>
      </c>
      <c r="Y25" s="45">
        <v>12</v>
      </c>
      <c r="Z25" s="45">
        <v>12</v>
      </c>
      <c r="AA25" s="45">
        <v>12</v>
      </c>
      <c r="AB25" s="45">
        <v>12</v>
      </c>
      <c r="AC25" s="45">
        <v>12</v>
      </c>
      <c r="AD25" s="45">
        <v>12</v>
      </c>
      <c r="AE25" s="45">
        <v>12</v>
      </c>
      <c r="AF25" s="45">
        <v>12</v>
      </c>
      <c r="AG25" s="50">
        <v>25</v>
      </c>
      <c r="AH25" s="47">
        <f t="shared" si="2"/>
        <v>12</v>
      </c>
      <c r="AI25" s="48">
        <f t="shared" si="3"/>
        <v>12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6</v>
      </c>
      <c r="C26" s="45">
        <v>6</v>
      </c>
      <c r="D26" s="45">
        <v>6</v>
      </c>
      <c r="E26" s="45">
        <v>6</v>
      </c>
      <c r="F26" s="45">
        <v>6</v>
      </c>
      <c r="G26" s="45">
        <v>6</v>
      </c>
      <c r="H26" s="45">
        <v>6</v>
      </c>
      <c r="I26" s="45">
        <v>6</v>
      </c>
      <c r="J26" s="45">
        <v>6</v>
      </c>
      <c r="K26" s="45">
        <v>6</v>
      </c>
      <c r="L26" s="45">
        <v>6</v>
      </c>
      <c r="M26" s="45">
        <v>6</v>
      </c>
      <c r="N26" s="45">
        <v>6</v>
      </c>
      <c r="O26" s="45">
        <v>6</v>
      </c>
      <c r="P26" s="45">
        <v>6</v>
      </c>
      <c r="Q26" s="45">
        <v>6.8</v>
      </c>
      <c r="R26" s="45">
        <v>6.8</v>
      </c>
      <c r="S26" s="45">
        <v>6.8</v>
      </c>
      <c r="T26" s="45">
        <v>6.8</v>
      </c>
      <c r="U26" s="45">
        <v>6.8</v>
      </c>
      <c r="V26" s="45">
        <v>6.8</v>
      </c>
      <c r="W26" s="45">
        <v>6.8</v>
      </c>
      <c r="X26" s="45">
        <v>6.8</v>
      </c>
      <c r="Y26" s="45">
        <v>6.8</v>
      </c>
      <c r="Z26" s="45">
        <v>6.8</v>
      </c>
      <c r="AA26" s="45">
        <v>6.8</v>
      </c>
      <c r="AB26" s="45">
        <v>6.8</v>
      </c>
      <c r="AC26" s="45">
        <v>6.8</v>
      </c>
      <c r="AD26" s="45">
        <v>6.8</v>
      </c>
      <c r="AE26" s="45">
        <v>6.8</v>
      </c>
      <c r="AF26" s="45">
        <v>6.8</v>
      </c>
      <c r="AG26" s="50">
        <v>23.5</v>
      </c>
      <c r="AH26" s="47">
        <f t="shared" si="2"/>
        <v>6.8</v>
      </c>
      <c r="AI26" s="48">
        <f t="shared" si="3"/>
        <v>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>
        <v>3</v>
      </c>
      <c r="Y27" s="45">
        <v>3</v>
      </c>
      <c r="Z27" s="45">
        <v>3</v>
      </c>
      <c r="AA27" s="45">
        <v>3</v>
      </c>
      <c r="AB27" s="45">
        <v>3</v>
      </c>
      <c r="AC27" s="45">
        <v>3</v>
      </c>
      <c r="AD27" s="45">
        <v>3</v>
      </c>
      <c r="AE27" s="45">
        <v>3</v>
      </c>
      <c r="AF27" s="45">
        <v>3</v>
      </c>
      <c r="AG27" s="50">
        <v>22.2</v>
      </c>
      <c r="AH27" s="47">
        <f t="shared" si="2"/>
        <v>3</v>
      </c>
      <c r="AI27" s="48">
        <f t="shared" si="3"/>
        <v>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0">
        <v>22.1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18</v>
      </c>
      <c r="C30" s="45">
        <v>18</v>
      </c>
      <c r="D30" s="45">
        <v>24.1</v>
      </c>
      <c r="E30" s="45">
        <v>24.1</v>
      </c>
      <c r="F30" s="45">
        <v>24.1</v>
      </c>
      <c r="G30" s="45">
        <v>24.1</v>
      </c>
      <c r="H30" s="45">
        <v>24.1</v>
      </c>
      <c r="I30" s="45">
        <v>24.1</v>
      </c>
      <c r="J30" s="45">
        <v>24.1</v>
      </c>
      <c r="K30" s="45">
        <v>24.1</v>
      </c>
      <c r="L30" s="45">
        <v>24.1</v>
      </c>
      <c r="M30" s="45">
        <v>24.1</v>
      </c>
      <c r="N30" s="45">
        <v>24.1</v>
      </c>
      <c r="O30" s="45">
        <v>24.1</v>
      </c>
      <c r="P30" s="45">
        <v>24.1</v>
      </c>
      <c r="Q30" s="45">
        <v>22</v>
      </c>
      <c r="R30" s="45">
        <v>22</v>
      </c>
      <c r="S30" s="45">
        <v>22</v>
      </c>
      <c r="T30" s="45">
        <v>22</v>
      </c>
      <c r="U30" s="45">
        <v>22</v>
      </c>
      <c r="V30" s="45">
        <v>22</v>
      </c>
      <c r="W30" s="45">
        <v>22</v>
      </c>
      <c r="X30" s="45">
        <v>22</v>
      </c>
      <c r="Y30" s="45">
        <v>22</v>
      </c>
      <c r="Z30" s="45">
        <v>22</v>
      </c>
      <c r="AA30" s="45">
        <v>22</v>
      </c>
      <c r="AB30" s="45">
        <v>22</v>
      </c>
      <c r="AC30" s="45">
        <v>22</v>
      </c>
      <c r="AD30" s="45">
        <v>22</v>
      </c>
      <c r="AE30" s="45">
        <v>22</v>
      </c>
      <c r="AF30" s="45">
        <v>22</v>
      </c>
      <c r="AG30" s="50">
        <v>22</v>
      </c>
      <c r="AH30" s="47">
        <f t="shared" si="2"/>
        <v>24.1</v>
      </c>
      <c r="AI30" s="48">
        <f t="shared" si="3"/>
        <v>18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16</v>
      </c>
      <c r="AD31" s="45">
        <v>10</v>
      </c>
      <c r="AE31" s="45">
        <v>10</v>
      </c>
      <c r="AF31" s="45">
        <v>4</v>
      </c>
      <c r="AG31" s="50">
        <v>20</v>
      </c>
      <c r="AH31" s="47">
        <f t="shared" si="2"/>
        <v>16</v>
      </c>
      <c r="AI31" s="48">
        <f t="shared" si="3"/>
        <v>4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50">
        <v>18</v>
      </c>
      <c r="AH32" s="47">
        <f t="shared" si="2"/>
        <v>8</v>
      </c>
      <c r="AI32" s="48">
        <f t="shared" si="3"/>
        <v>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2</v>
      </c>
      <c r="C35" s="45">
        <v>2</v>
      </c>
      <c r="D35" s="45">
        <v>2</v>
      </c>
      <c r="E35" s="45">
        <v>2</v>
      </c>
      <c r="F35" s="45">
        <v>2</v>
      </c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>
        <v>2</v>
      </c>
      <c r="Q35" s="45">
        <v>2</v>
      </c>
      <c r="R35" s="45">
        <v>2</v>
      </c>
      <c r="S35" s="45">
        <v>2</v>
      </c>
      <c r="T35" s="45">
        <v>2</v>
      </c>
      <c r="U35" s="45">
        <v>2</v>
      </c>
      <c r="V35" s="45">
        <v>2</v>
      </c>
      <c r="W35" s="45">
        <v>2</v>
      </c>
      <c r="X35" s="45">
        <v>2</v>
      </c>
      <c r="Y35" s="45">
        <v>2</v>
      </c>
      <c r="Z35" s="45">
        <v>2</v>
      </c>
      <c r="AA35" s="45">
        <v>2</v>
      </c>
      <c r="AB35" s="45">
        <v>2</v>
      </c>
      <c r="AC35" s="45">
        <v>2</v>
      </c>
      <c r="AD35" s="45">
        <v>2</v>
      </c>
      <c r="AE35" s="45">
        <v>2</v>
      </c>
      <c r="AF35" s="45">
        <v>2</v>
      </c>
      <c r="AG35" s="50">
        <v>13.6</v>
      </c>
      <c r="AH35" s="47">
        <f t="shared" si="2"/>
        <v>2</v>
      </c>
      <c r="AI35" s="48">
        <f t="shared" si="3"/>
        <v>2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3</v>
      </c>
      <c r="C36" s="45">
        <v>3</v>
      </c>
      <c r="D36" s="45">
        <v>3</v>
      </c>
      <c r="E36" s="45">
        <v>3</v>
      </c>
      <c r="F36" s="45">
        <v>3</v>
      </c>
      <c r="G36" s="45">
        <v>3</v>
      </c>
      <c r="H36" s="45">
        <v>3</v>
      </c>
      <c r="I36" s="45">
        <v>3</v>
      </c>
      <c r="J36" s="45">
        <v>3</v>
      </c>
      <c r="K36" s="45">
        <v>3</v>
      </c>
      <c r="L36" s="45">
        <v>3</v>
      </c>
      <c r="M36" s="45">
        <v>3</v>
      </c>
      <c r="N36" s="45">
        <v>3</v>
      </c>
      <c r="O36" s="45">
        <v>3</v>
      </c>
      <c r="P36" s="45">
        <v>3</v>
      </c>
      <c r="Q36" s="45">
        <v>3</v>
      </c>
      <c r="R36" s="45">
        <v>3</v>
      </c>
      <c r="S36" s="45">
        <v>3</v>
      </c>
      <c r="T36" s="45">
        <v>3</v>
      </c>
      <c r="U36" s="45">
        <v>3</v>
      </c>
      <c r="V36" s="45">
        <v>3</v>
      </c>
      <c r="W36" s="45">
        <v>3</v>
      </c>
      <c r="X36" s="45">
        <v>3</v>
      </c>
      <c r="Y36" s="45">
        <v>3</v>
      </c>
      <c r="Z36" s="45">
        <v>3</v>
      </c>
      <c r="AA36" s="45">
        <v>3</v>
      </c>
      <c r="AB36" s="45">
        <v>3</v>
      </c>
      <c r="AC36" s="45">
        <v>3</v>
      </c>
      <c r="AD36" s="45">
        <v>3</v>
      </c>
      <c r="AE36" s="45">
        <v>3</v>
      </c>
      <c r="AF36" s="45">
        <v>3</v>
      </c>
      <c r="AG36" s="50">
        <v>13</v>
      </c>
      <c r="AH36" s="47">
        <f t="shared" si="2"/>
        <v>3</v>
      </c>
      <c r="AI36" s="48">
        <f t="shared" si="3"/>
        <v>3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0">
        <v>12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4</v>
      </c>
      <c r="C38" s="45">
        <v>4</v>
      </c>
      <c r="D38" s="45">
        <v>4</v>
      </c>
      <c r="E38" s="45">
        <v>4</v>
      </c>
      <c r="F38" s="45">
        <v>4</v>
      </c>
      <c r="G38" s="45">
        <v>4</v>
      </c>
      <c r="H38" s="45">
        <v>4</v>
      </c>
      <c r="I38" s="45">
        <v>4</v>
      </c>
      <c r="J38" s="45">
        <v>4</v>
      </c>
      <c r="K38" s="45">
        <v>4</v>
      </c>
      <c r="L38" s="45">
        <v>4</v>
      </c>
      <c r="M38" s="45">
        <v>4</v>
      </c>
      <c r="N38" s="45">
        <v>4</v>
      </c>
      <c r="O38" s="45">
        <v>4</v>
      </c>
      <c r="P38" s="45">
        <v>4</v>
      </c>
      <c r="Q38" s="45">
        <v>4</v>
      </c>
      <c r="R38" s="45">
        <v>4</v>
      </c>
      <c r="S38" s="45">
        <v>4</v>
      </c>
      <c r="T38" s="45">
        <v>4</v>
      </c>
      <c r="U38" s="45">
        <v>4</v>
      </c>
      <c r="V38" s="45">
        <v>4</v>
      </c>
      <c r="W38" s="45">
        <v>4</v>
      </c>
      <c r="X38" s="45">
        <v>4</v>
      </c>
      <c r="Y38" s="45">
        <v>4</v>
      </c>
      <c r="Z38" s="45">
        <v>4</v>
      </c>
      <c r="AA38" s="45">
        <v>4</v>
      </c>
      <c r="AB38" s="45">
        <v>4</v>
      </c>
      <c r="AC38" s="45">
        <v>4</v>
      </c>
      <c r="AD38" s="45">
        <v>4</v>
      </c>
      <c r="AE38" s="45">
        <v>4</v>
      </c>
      <c r="AF38" s="45">
        <v>4</v>
      </c>
      <c r="AG38" s="50">
        <v>12</v>
      </c>
      <c r="AH38" s="47">
        <f t="shared" si="2"/>
        <v>4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>
        <v>3</v>
      </c>
      <c r="AB39" s="45">
        <v>3</v>
      </c>
      <c r="AC39" s="45">
        <v>3</v>
      </c>
      <c r="AD39" s="45">
        <v>3</v>
      </c>
      <c r="AE39" s="45">
        <v>3</v>
      </c>
      <c r="AF39" s="45">
        <v>3</v>
      </c>
      <c r="AG39" s="50">
        <v>12</v>
      </c>
      <c r="AH39" s="47">
        <f t="shared" si="2"/>
        <v>3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52">
        <v>22</v>
      </c>
      <c r="AH40" s="47">
        <f t="shared" si="2"/>
        <v>2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>
        <v>3.6</v>
      </c>
      <c r="Q41" s="45">
        <v>3.6</v>
      </c>
      <c r="R41" s="45">
        <v>3.6</v>
      </c>
      <c r="S41" s="45">
        <v>3.6</v>
      </c>
      <c r="T41" s="45">
        <v>3.6</v>
      </c>
      <c r="U41" s="45">
        <v>3.6</v>
      </c>
      <c r="V41" s="45">
        <v>3.6</v>
      </c>
      <c r="W41" s="45">
        <v>3.6</v>
      </c>
      <c r="X41" s="45">
        <v>3.6</v>
      </c>
      <c r="Y41" s="45">
        <v>3.6</v>
      </c>
      <c r="Z41" s="45">
        <v>3.6</v>
      </c>
      <c r="AA41" s="45">
        <v>3.6</v>
      </c>
      <c r="AB41" s="45">
        <v>3.6</v>
      </c>
      <c r="AC41" s="45">
        <v>3.6</v>
      </c>
      <c r="AD41" s="45">
        <v>3.6</v>
      </c>
      <c r="AE41" s="45">
        <v>3.6</v>
      </c>
      <c r="AF41" s="45">
        <v>3.6</v>
      </c>
      <c r="AG41" s="51">
        <v>11.88</v>
      </c>
      <c r="AH41" s="47">
        <f t="shared" si="2"/>
        <v>3.6</v>
      </c>
      <c r="AI41" s="48">
        <f t="shared" si="3"/>
        <v>3.6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3</v>
      </c>
      <c r="C43" s="45">
        <v>3</v>
      </c>
      <c r="D43" s="45">
        <v>3</v>
      </c>
      <c r="E43" s="45">
        <v>3</v>
      </c>
      <c r="F43" s="45">
        <v>3</v>
      </c>
      <c r="G43" s="45">
        <v>3</v>
      </c>
      <c r="H43" s="45">
        <v>3</v>
      </c>
      <c r="I43" s="45">
        <v>3</v>
      </c>
      <c r="J43" s="45">
        <v>3</v>
      </c>
      <c r="K43" s="45">
        <v>3</v>
      </c>
      <c r="L43" s="45">
        <v>3</v>
      </c>
      <c r="M43" s="45">
        <v>3</v>
      </c>
      <c r="N43" s="45">
        <v>3</v>
      </c>
      <c r="O43" s="45">
        <v>3</v>
      </c>
      <c r="P43" s="45">
        <v>3</v>
      </c>
      <c r="Q43" s="45">
        <v>3</v>
      </c>
      <c r="R43" s="45">
        <v>3</v>
      </c>
      <c r="S43" s="45">
        <v>3</v>
      </c>
      <c r="T43" s="45">
        <v>3</v>
      </c>
      <c r="U43" s="45">
        <v>3</v>
      </c>
      <c r="V43" s="45">
        <v>3</v>
      </c>
      <c r="W43" s="45">
        <v>3</v>
      </c>
      <c r="X43" s="45">
        <v>3</v>
      </c>
      <c r="Y43" s="45">
        <v>3</v>
      </c>
      <c r="Z43" s="45">
        <v>3</v>
      </c>
      <c r="AA43" s="45">
        <v>3</v>
      </c>
      <c r="AB43" s="45">
        <v>3</v>
      </c>
      <c r="AC43" s="45">
        <v>3</v>
      </c>
      <c r="AD43" s="45">
        <v>3</v>
      </c>
      <c r="AE43" s="45">
        <v>3</v>
      </c>
      <c r="AF43" s="45">
        <v>3</v>
      </c>
      <c r="AG43" s="54">
        <v>10</v>
      </c>
      <c r="AH43" s="47">
        <f t="shared" si="2"/>
        <v>3</v>
      </c>
      <c r="AI43" s="48">
        <f t="shared" si="3"/>
        <v>3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>
        <v>3</v>
      </c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>
        <v>3</v>
      </c>
      <c r="Y44" s="45">
        <v>3</v>
      </c>
      <c r="Z44" s="45">
        <v>3</v>
      </c>
      <c r="AA44" s="45">
        <v>3</v>
      </c>
      <c r="AB44" s="45">
        <v>3</v>
      </c>
      <c r="AC44" s="45">
        <v>3</v>
      </c>
      <c r="AD44" s="45">
        <v>3</v>
      </c>
      <c r="AE44" s="45">
        <v>3</v>
      </c>
      <c r="AF44" s="45">
        <v>3</v>
      </c>
      <c r="AG44" s="54">
        <v>10</v>
      </c>
      <c r="AH44" s="47">
        <f t="shared" si="2"/>
        <v>3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150</v>
      </c>
      <c r="C46" s="56">
        <v>150</v>
      </c>
      <c r="D46" s="56">
        <v>150</v>
      </c>
      <c r="E46" s="56">
        <v>150</v>
      </c>
      <c r="F46" s="56">
        <v>150</v>
      </c>
      <c r="G46" s="56">
        <v>150</v>
      </c>
      <c r="H46" s="56">
        <v>150</v>
      </c>
      <c r="I46" s="56">
        <v>150</v>
      </c>
      <c r="J46" s="56">
        <v>150</v>
      </c>
      <c r="K46" s="56">
        <v>150</v>
      </c>
      <c r="L46" s="56">
        <v>150</v>
      </c>
      <c r="M46" s="56">
        <v>150</v>
      </c>
      <c r="N46" s="56">
        <v>150</v>
      </c>
      <c r="O46" s="56">
        <v>150</v>
      </c>
      <c r="P46" s="56">
        <v>150</v>
      </c>
      <c r="Q46" s="56">
        <v>150</v>
      </c>
      <c r="R46" s="56">
        <v>150</v>
      </c>
      <c r="S46" s="56">
        <v>150</v>
      </c>
      <c r="T46" s="56">
        <v>150</v>
      </c>
      <c r="U46" s="56">
        <v>150</v>
      </c>
      <c r="V46" s="56">
        <v>150</v>
      </c>
      <c r="W46" s="56">
        <v>150</v>
      </c>
      <c r="X46" s="56">
        <v>150</v>
      </c>
      <c r="Y46" s="56">
        <v>150</v>
      </c>
      <c r="Z46" s="56">
        <v>150</v>
      </c>
      <c r="AA46" s="56">
        <v>150</v>
      </c>
      <c r="AB46" s="56">
        <v>150</v>
      </c>
      <c r="AC46" s="56">
        <v>150</v>
      </c>
      <c r="AD46" s="56">
        <v>150</v>
      </c>
      <c r="AE46" s="56">
        <v>150</v>
      </c>
      <c r="AF46" s="56">
        <v>150</v>
      </c>
      <c r="AG46" s="54">
        <v>85</v>
      </c>
      <c r="AH46" s="47">
        <f t="shared" si="2"/>
        <v>150</v>
      </c>
      <c r="AI46" s="48">
        <f t="shared" si="3"/>
        <v>150</v>
      </c>
      <c r="AK46" s="49"/>
    </row>
    <row r="47" spans="1:88" ht="15.75" thickBot="1" x14ac:dyDescent="0.3">
      <c r="A47" s="57" t="s">
        <v>55</v>
      </c>
      <c r="B47" s="56"/>
      <c r="C47" s="58"/>
      <c r="D47" s="58"/>
      <c r="E47" s="58"/>
      <c r="F47" s="58"/>
      <c r="G47" s="58"/>
      <c r="H47" s="58">
        <v>85</v>
      </c>
      <c r="I47" s="58">
        <v>85</v>
      </c>
      <c r="J47" s="58">
        <v>85</v>
      </c>
      <c r="K47" s="58">
        <v>85</v>
      </c>
      <c r="L47" s="58">
        <v>80</v>
      </c>
      <c r="M47" s="58">
        <v>66</v>
      </c>
      <c r="N47" s="58">
        <v>66</v>
      </c>
      <c r="O47" s="58">
        <v>66</v>
      </c>
      <c r="P47" s="58">
        <v>66</v>
      </c>
      <c r="Q47" s="58">
        <f>46.2+27.56</f>
        <v>73.760000000000005</v>
      </c>
      <c r="R47" s="58">
        <f>46.2+27.56</f>
        <v>73.760000000000005</v>
      </c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85</v>
      </c>
      <c r="AI47" s="48">
        <f t="shared" si="3"/>
        <v>66</v>
      </c>
      <c r="AK47" s="49"/>
    </row>
    <row r="48" spans="1:88" ht="15.75" thickBot="1" x14ac:dyDescent="0.3">
      <c r="A48" s="59" t="s">
        <v>56</v>
      </c>
      <c r="B48" s="60">
        <f>SUM(B11:B46)</f>
        <v>511.8</v>
      </c>
      <c r="C48" s="60">
        <f t="shared" ref="C48:AF48" si="4">SUM(C11:C46)</f>
        <v>515.79999999999995</v>
      </c>
      <c r="D48" s="60">
        <f t="shared" si="4"/>
        <v>521.90000000000009</v>
      </c>
      <c r="E48" s="60">
        <f t="shared" si="4"/>
        <v>521.90000000000009</v>
      </c>
      <c r="F48" s="60">
        <f>SUM(F11:F46)</f>
        <v>521.90000000000009</v>
      </c>
      <c r="G48" s="60">
        <f>SUM(G11:G46)</f>
        <v>518.5</v>
      </c>
      <c r="H48" s="60">
        <f t="shared" si="4"/>
        <v>518.5</v>
      </c>
      <c r="I48" s="60">
        <f t="shared" si="4"/>
        <v>517.5</v>
      </c>
      <c r="J48" s="60">
        <f t="shared" si="4"/>
        <v>518.5</v>
      </c>
      <c r="K48" s="60">
        <f t="shared" si="4"/>
        <v>505.8</v>
      </c>
      <c r="L48" s="60">
        <f t="shared" si="4"/>
        <v>505.8</v>
      </c>
      <c r="M48" s="60">
        <f>SUM(M11:M46)</f>
        <v>518.79999999999995</v>
      </c>
      <c r="N48" s="60">
        <f t="shared" si="4"/>
        <v>518.79999999999995</v>
      </c>
      <c r="O48" s="60">
        <f t="shared" si="4"/>
        <v>518.79999999999995</v>
      </c>
      <c r="P48" s="60">
        <f t="shared" si="4"/>
        <v>518.79999999999995</v>
      </c>
      <c r="Q48" s="60">
        <f>SUM(Q11:Q46)</f>
        <v>510</v>
      </c>
      <c r="R48" s="60">
        <f t="shared" si="4"/>
        <v>510</v>
      </c>
      <c r="S48" s="60">
        <f t="shared" si="4"/>
        <v>510</v>
      </c>
      <c r="T48" s="60">
        <f t="shared" si="4"/>
        <v>510</v>
      </c>
      <c r="U48" s="60">
        <f t="shared" si="4"/>
        <v>510</v>
      </c>
      <c r="V48" s="60">
        <f t="shared" si="4"/>
        <v>497.00000000000006</v>
      </c>
      <c r="W48" s="60">
        <f t="shared" si="4"/>
        <v>510</v>
      </c>
      <c r="X48" s="60">
        <f t="shared" si="4"/>
        <v>510</v>
      </c>
      <c r="Y48" s="60">
        <f t="shared" si="4"/>
        <v>510</v>
      </c>
      <c r="Z48" s="60">
        <f t="shared" si="4"/>
        <v>510.6</v>
      </c>
      <c r="AA48" s="60">
        <f t="shared" si="4"/>
        <v>510.6</v>
      </c>
      <c r="AB48" s="60">
        <f t="shared" si="4"/>
        <v>513</v>
      </c>
      <c r="AC48" s="60">
        <f t="shared" si="4"/>
        <v>519</v>
      </c>
      <c r="AD48" s="60">
        <f t="shared" si="4"/>
        <v>513</v>
      </c>
      <c r="AE48" s="60">
        <f t="shared" si="4"/>
        <v>519</v>
      </c>
      <c r="AF48" s="60">
        <f t="shared" si="4"/>
        <v>514</v>
      </c>
      <c r="AG48" s="61">
        <f>SUM(AG12:AG46)</f>
        <v>875.68</v>
      </c>
      <c r="AH48" s="47">
        <f t="shared" si="2"/>
        <v>521.90000000000009</v>
      </c>
      <c r="AI48" s="48">
        <f t="shared" si="3"/>
        <v>497.00000000000006</v>
      </c>
      <c r="AK48" s="49"/>
    </row>
    <row r="49" spans="1:41" x14ac:dyDescent="0.25">
      <c r="A49" s="62" t="s">
        <v>57</v>
      </c>
      <c r="B49" s="45">
        <v>40</v>
      </c>
      <c r="C49" s="45">
        <v>40</v>
      </c>
      <c r="D49" s="45">
        <v>80</v>
      </c>
      <c r="E49" s="45">
        <v>40</v>
      </c>
      <c r="F49" s="45">
        <v>40</v>
      </c>
      <c r="G49" s="45">
        <v>40</v>
      </c>
      <c r="H49" s="45">
        <v>40</v>
      </c>
      <c r="I49" s="45">
        <v>40</v>
      </c>
      <c r="J49" s="45">
        <v>40</v>
      </c>
      <c r="K49" s="45">
        <v>80</v>
      </c>
      <c r="L49" s="45">
        <v>100</v>
      </c>
      <c r="M49" s="45">
        <v>100</v>
      </c>
      <c r="N49" s="63">
        <v>150</v>
      </c>
      <c r="O49" s="63">
        <v>140</v>
      </c>
      <c r="P49" s="45">
        <v>90</v>
      </c>
      <c r="Q49" s="45">
        <v>100</v>
      </c>
      <c r="R49" s="45">
        <v>110</v>
      </c>
      <c r="S49" s="45">
        <v>210</v>
      </c>
      <c r="T49" s="45">
        <v>350</v>
      </c>
      <c r="U49" s="45">
        <v>350</v>
      </c>
      <c r="V49" s="45">
        <v>120</v>
      </c>
      <c r="W49" s="45">
        <v>80</v>
      </c>
      <c r="X49" s="45">
        <v>60</v>
      </c>
      <c r="Y49" s="45">
        <v>90</v>
      </c>
      <c r="Z49" s="45">
        <v>90</v>
      </c>
      <c r="AA49" s="45">
        <v>220</v>
      </c>
      <c r="AB49" s="45">
        <v>242.6</v>
      </c>
      <c r="AC49" s="45">
        <v>242.6</v>
      </c>
      <c r="AD49" s="45">
        <v>245</v>
      </c>
      <c r="AE49" s="45">
        <v>260</v>
      </c>
      <c r="AF49" s="45">
        <v>290</v>
      </c>
      <c r="AG49" s="51">
        <v>456</v>
      </c>
      <c r="AH49" s="47">
        <f t="shared" si="2"/>
        <v>350</v>
      </c>
      <c r="AI49" s="48">
        <f t="shared" si="3"/>
        <v>40</v>
      </c>
      <c r="AK49" s="49"/>
    </row>
    <row r="50" spans="1:41" x14ac:dyDescent="0.25">
      <c r="A50" s="64" t="s">
        <v>58</v>
      </c>
      <c r="B50" s="65">
        <v>29</v>
      </c>
      <c r="C50" s="65">
        <v>29</v>
      </c>
      <c r="D50" s="65">
        <v>29</v>
      </c>
      <c r="E50" s="65">
        <v>29</v>
      </c>
      <c r="F50" s="65">
        <v>29</v>
      </c>
      <c r="G50" s="65">
        <v>29</v>
      </c>
      <c r="H50" s="65">
        <v>29</v>
      </c>
      <c r="I50" s="65">
        <v>29</v>
      </c>
      <c r="J50" s="65">
        <v>29</v>
      </c>
      <c r="K50" s="65">
        <v>29</v>
      </c>
      <c r="L50" s="65">
        <v>29</v>
      </c>
      <c r="M50" s="65">
        <v>29</v>
      </c>
      <c r="N50" s="65">
        <v>29</v>
      </c>
      <c r="O50" s="65">
        <v>29</v>
      </c>
      <c r="P50" s="65">
        <v>29</v>
      </c>
      <c r="Q50" s="65">
        <v>29</v>
      </c>
      <c r="R50" s="65">
        <v>29</v>
      </c>
      <c r="S50" s="65">
        <v>29</v>
      </c>
      <c r="T50" s="65">
        <v>29</v>
      </c>
      <c r="U50" s="65">
        <v>29</v>
      </c>
      <c r="V50" s="65">
        <v>29</v>
      </c>
      <c r="W50" s="65">
        <v>29</v>
      </c>
      <c r="X50" s="65">
        <v>29</v>
      </c>
      <c r="Y50" s="65">
        <v>29</v>
      </c>
      <c r="Z50" s="65">
        <v>29</v>
      </c>
      <c r="AA50" s="65">
        <v>29</v>
      </c>
      <c r="AB50" s="65">
        <v>29</v>
      </c>
      <c r="AC50" s="65">
        <v>29</v>
      </c>
      <c r="AD50" s="65">
        <v>29</v>
      </c>
      <c r="AE50" s="65">
        <v>29</v>
      </c>
      <c r="AF50" s="65">
        <v>29</v>
      </c>
      <c r="AG50" s="54">
        <v>60</v>
      </c>
      <c r="AH50" s="47">
        <f t="shared" si="2"/>
        <v>29</v>
      </c>
      <c r="AI50" s="48">
        <f t="shared" si="3"/>
        <v>29</v>
      </c>
      <c r="AK50" s="49"/>
    </row>
    <row r="51" spans="1:41" ht="15.75" thickBot="1" x14ac:dyDescent="0.3">
      <c r="A51" s="66" t="s">
        <v>59</v>
      </c>
      <c r="B51" s="67">
        <v>17.600000000000001</v>
      </c>
      <c r="C51" s="67">
        <v>17.600000000000001</v>
      </c>
      <c r="D51" s="67">
        <v>17.600000000000001</v>
      </c>
      <c r="E51" s="67">
        <v>17.600000000000001</v>
      </c>
      <c r="F51" s="67">
        <v>17.600000000000001</v>
      </c>
      <c r="G51" s="67">
        <v>17.600000000000001</v>
      </c>
      <c r="H51" s="67">
        <v>17.600000000000001</v>
      </c>
      <c r="I51" s="67">
        <v>17.600000000000001</v>
      </c>
      <c r="J51" s="67">
        <v>17.600000000000001</v>
      </c>
      <c r="K51" s="67">
        <v>17.600000000000001</v>
      </c>
      <c r="L51" s="67">
        <v>17.600000000000001</v>
      </c>
      <c r="M51" s="67">
        <v>17.600000000000001</v>
      </c>
      <c r="N51" s="67">
        <v>17.600000000000001</v>
      </c>
      <c r="O51" s="67">
        <v>17.600000000000001</v>
      </c>
      <c r="P51" s="67">
        <v>17.600000000000001</v>
      </c>
      <c r="Q51" s="67">
        <v>16.600000000000001</v>
      </c>
      <c r="R51" s="67">
        <v>16.600000000000001</v>
      </c>
      <c r="S51" s="67">
        <v>16.600000000000001</v>
      </c>
      <c r="T51" s="67">
        <v>16.600000000000001</v>
      </c>
      <c r="U51" s="67">
        <v>16.600000000000001</v>
      </c>
      <c r="V51" s="67">
        <v>16.600000000000001</v>
      </c>
      <c r="W51" s="67">
        <v>16.600000000000001</v>
      </c>
      <c r="X51" s="67">
        <v>16.600000000000001</v>
      </c>
      <c r="Y51" s="67">
        <v>16.600000000000001</v>
      </c>
      <c r="Z51" s="67">
        <v>16.600000000000001</v>
      </c>
      <c r="AA51" s="67">
        <v>16.600000000000001</v>
      </c>
      <c r="AB51" s="67">
        <v>16.600000000000001</v>
      </c>
      <c r="AC51" s="67">
        <v>16.600000000000001</v>
      </c>
      <c r="AD51" s="67">
        <v>16.600000000000001</v>
      </c>
      <c r="AE51" s="67">
        <v>19</v>
      </c>
      <c r="AF51" s="67">
        <v>21</v>
      </c>
      <c r="AG51" s="68">
        <v>22.1</v>
      </c>
      <c r="AH51" s="47">
        <f t="shared" si="2"/>
        <v>21</v>
      </c>
      <c r="AI51" s="48">
        <f t="shared" si="3"/>
        <v>16.600000000000001</v>
      </c>
      <c r="AK51" s="49"/>
    </row>
    <row r="52" spans="1:41" ht="15.75" thickBot="1" x14ac:dyDescent="0.3">
      <c r="A52" s="69" t="s">
        <v>60</v>
      </c>
      <c r="B52" s="60">
        <f>SUM(B49:B51)</f>
        <v>86.6</v>
      </c>
      <c r="C52" s="60">
        <f t="shared" ref="C52:AG52" si="5">SUM(C49:C51)</f>
        <v>86.6</v>
      </c>
      <c r="D52" s="60">
        <f t="shared" si="5"/>
        <v>126.6</v>
      </c>
      <c r="E52" s="60">
        <f t="shared" si="5"/>
        <v>86.6</v>
      </c>
      <c r="F52" s="60">
        <f>SUM(F49:F51)</f>
        <v>86.6</v>
      </c>
      <c r="G52" s="60">
        <f t="shared" si="5"/>
        <v>86.6</v>
      </c>
      <c r="H52" s="60">
        <f t="shared" si="5"/>
        <v>86.6</v>
      </c>
      <c r="I52" s="60">
        <f t="shared" si="5"/>
        <v>86.6</v>
      </c>
      <c r="J52" s="60">
        <f t="shared" si="5"/>
        <v>86.6</v>
      </c>
      <c r="K52" s="60">
        <f t="shared" si="5"/>
        <v>126.6</v>
      </c>
      <c r="L52" s="60">
        <f t="shared" si="5"/>
        <v>146.6</v>
      </c>
      <c r="M52" s="60">
        <f t="shared" si="5"/>
        <v>146.6</v>
      </c>
      <c r="N52" s="60">
        <f t="shared" si="5"/>
        <v>196.6</v>
      </c>
      <c r="O52" s="60">
        <f t="shared" si="5"/>
        <v>186.6</v>
      </c>
      <c r="P52" s="60">
        <f t="shared" si="5"/>
        <v>136.6</v>
      </c>
      <c r="Q52" s="60">
        <f>SUM(Q49:Q51)</f>
        <v>145.6</v>
      </c>
      <c r="R52" s="60">
        <f t="shared" si="5"/>
        <v>155.6</v>
      </c>
      <c r="S52" s="60">
        <f t="shared" si="5"/>
        <v>255.6</v>
      </c>
      <c r="T52" s="60">
        <f t="shared" si="5"/>
        <v>395.6</v>
      </c>
      <c r="U52" s="60">
        <f t="shared" si="5"/>
        <v>395.6</v>
      </c>
      <c r="V52" s="60">
        <f t="shared" si="5"/>
        <v>165.6</v>
      </c>
      <c r="W52" s="60">
        <f t="shared" si="5"/>
        <v>125.6</v>
      </c>
      <c r="X52" s="60">
        <f t="shared" si="5"/>
        <v>105.6</v>
      </c>
      <c r="Y52" s="60">
        <f t="shared" si="5"/>
        <v>135.6</v>
      </c>
      <c r="Z52" s="60">
        <f t="shared" si="5"/>
        <v>135.6</v>
      </c>
      <c r="AA52" s="60">
        <f t="shared" si="5"/>
        <v>265.60000000000002</v>
      </c>
      <c r="AB52" s="60">
        <f t="shared" si="5"/>
        <v>288.20000000000005</v>
      </c>
      <c r="AC52" s="60">
        <f t="shared" si="5"/>
        <v>288.20000000000005</v>
      </c>
      <c r="AD52" s="60">
        <f t="shared" si="5"/>
        <v>290.60000000000002</v>
      </c>
      <c r="AE52" s="60">
        <f t="shared" si="5"/>
        <v>308</v>
      </c>
      <c r="AF52" s="60">
        <f t="shared" si="5"/>
        <v>340</v>
      </c>
      <c r="AG52" s="61">
        <f t="shared" si="5"/>
        <v>538.1</v>
      </c>
      <c r="AH52" s="47">
        <f t="shared" si="2"/>
        <v>395.6</v>
      </c>
      <c r="AI52" s="48">
        <f t="shared" si="3"/>
        <v>86.6</v>
      </c>
      <c r="AK52" s="49"/>
    </row>
    <row r="53" spans="1:41" x14ac:dyDescent="0.25">
      <c r="A53" s="44" t="s">
        <v>61</v>
      </c>
      <c r="B53" s="45">
        <v>142.30000000000001</v>
      </c>
      <c r="C53" s="45">
        <v>142.30000000000001</v>
      </c>
      <c r="D53" s="45">
        <v>121.7</v>
      </c>
      <c r="E53" s="45">
        <v>111</v>
      </c>
      <c r="F53" s="45">
        <v>111</v>
      </c>
      <c r="G53" s="45">
        <v>111</v>
      </c>
      <c r="H53" s="45">
        <v>90</v>
      </c>
      <c r="I53" s="45">
        <v>90</v>
      </c>
      <c r="J53" s="45">
        <v>90</v>
      </c>
      <c r="K53" s="45">
        <v>90</v>
      </c>
      <c r="L53" s="45">
        <v>90</v>
      </c>
      <c r="M53" s="45">
        <v>90</v>
      </c>
      <c r="N53" s="45">
        <v>90</v>
      </c>
      <c r="O53" s="45">
        <v>96</v>
      </c>
      <c r="P53" s="45">
        <v>110</v>
      </c>
      <c r="Q53" s="45">
        <v>110</v>
      </c>
      <c r="R53" s="45">
        <v>121.6</v>
      </c>
      <c r="S53" s="45">
        <v>141</v>
      </c>
      <c r="T53" s="45">
        <v>141</v>
      </c>
      <c r="U53" s="45">
        <v>141</v>
      </c>
      <c r="V53" s="45">
        <v>141</v>
      </c>
      <c r="W53" s="45">
        <v>94.3</v>
      </c>
      <c r="X53" s="45">
        <v>81.5</v>
      </c>
      <c r="Y53" s="45">
        <v>61.3</v>
      </c>
      <c r="Z53" s="45">
        <v>100</v>
      </c>
      <c r="AA53" s="45">
        <v>110</v>
      </c>
      <c r="AB53" s="45">
        <v>123</v>
      </c>
      <c r="AC53" s="45">
        <v>123</v>
      </c>
      <c r="AD53" s="45">
        <v>116</v>
      </c>
      <c r="AE53" s="45">
        <v>116.2</v>
      </c>
      <c r="AF53" s="45">
        <v>123</v>
      </c>
      <c r="AG53" s="51">
        <v>144</v>
      </c>
      <c r="AH53" s="47">
        <f t="shared" si="2"/>
        <v>142.30000000000001</v>
      </c>
      <c r="AI53" s="48">
        <f t="shared" si="3"/>
        <v>61.3</v>
      </c>
      <c r="AK53" s="49"/>
    </row>
    <row r="54" spans="1:41" x14ac:dyDescent="0.25">
      <c r="A54" s="53" t="s">
        <v>62</v>
      </c>
      <c r="B54" s="65">
        <v>24.9</v>
      </c>
      <c r="C54" s="65">
        <v>24.9</v>
      </c>
      <c r="D54" s="65">
        <v>24.9</v>
      </c>
      <c r="E54" s="65">
        <v>34.9</v>
      </c>
      <c r="F54" s="65">
        <v>43</v>
      </c>
      <c r="G54" s="65">
        <v>43</v>
      </c>
      <c r="H54" s="65">
        <v>43</v>
      </c>
      <c r="I54" s="65">
        <v>44</v>
      </c>
      <c r="J54" s="65">
        <v>44</v>
      </c>
      <c r="K54" s="65">
        <v>70</v>
      </c>
      <c r="L54" s="65">
        <v>70</v>
      </c>
      <c r="M54" s="65">
        <v>70</v>
      </c>
      <c r="N54" s="65">
        <v>70</v>
      </c>
      <c r="O54" s="65">
        <v>60</v>
      </c>
      <c r="P54" s="65">
        <v>50</v>
      </c>
      <c r="Q54" s="65">
        <v>59.9</v>
      </c>
      <c r="R54" s="45">
        <v>50.1</v>
      </c>
      <c r="S54" s="45">
        <v>52</v>
      </c>
      <c r="T54" s="45">
        <v>53.6</v>
      </c>
      <c r="U54" s="45">
        <v>53.6</v>
      </c>
      <c r="V54" s="45">
        <v>53.6</v>
      </c>
      <c r="W54" s="45">
        <v>60</v>
      </c>
      <c r="X54" s="45">
        <v>60</v>
      </c>
      <c r="Y54" s="45">
        <v>57</v>
      </c>
      <c r="Z54" s="45">
        <v>57</v>
      </c>
      <c r="AA54" s="45">
        <v>70.5</v>
      </c>
      <c r="AB54" s="65">
        <v>69</v>
      </c>
      <c r="AC54" s="65">
        <v>69</v>
      </c>
      <c r="AD54" s="65">
        <v>60</v>
      </c>
      <c r="AE54" s="65">
        <v>49.3</v>
      </c>
      <c r="AF54" s="65">
        <v>32</v>
      </c>
      <c r="AG54" s="54">
        <v>70</v>
      </c>
      <c r="AH54" s="47">
        <f t="shared" si="2"/>
        <v>70.5</v>
      </c>
      <c r="AI54" s="48">
        <f t="shared" si="3"/>
        <v>24.9</v>
      </c>
      <c r="AK54" s="49"/>
    </row>
    <row r="55" spans="1:41" x14ac:dyDescent="0.25">
      <c r="A55" s="53" t="s">
        <v>63</v>
      </c>
      <c r="B55" s="65">
        <v>48.8</v>
      </c>
      <c r="C55" s="65">
        <v>48.8</v>
      </c>
      <c r="D55" s="65">
        <v>20</v>
      </c>
      <c r="E55" s="65">
        <v>20</v>
      </c>
      <c r="F55" s="65">
        <v>20</v>
      </c>
      <c r="G55" s="65">
        <v>20</v>
      </c>
      <c r="H55" s="65">
        <v>20</v>
      </c>
      <c r="I55" s="65">
        <v>15</v>
      </c>
      <c r="J55" s="65">
        <v>15</v>
      </c>
      <c r="K55" s="65">
        <v>22</v>
      </c>
      <c r="L55" s="65">
        <v>51</v>
      </c>
      <c r="M55" s="65">
        <v>51</v>
      </c>
      <c r="N55" s="65">
        <v>51</v>
      </c>
      <c r="O55" s="65">
        <v>58</v>
      </c>
      <c r="P55" s="65">
        <v>52.3</v>
      </c>
      <c r="Q55" s="65">
        <v>53.5</v>
      </c>
      <c r="R55" s="45">
        <v>58.8</v>
      </c>
      <c r="S55" s="45">
        <v>51</v>
      </c>
      <c r="T55" s="45">
        <v>54.2</v>
      </c>
      <c r="U55" s="45">
        <v>54.2</v>
      </c>
      <c r="V55" s="45">
        <v>54.2</v>
      </c>
      <c r="W55" s="45">
        <v>60</v>
      </c>
      <c r="X55" s="45">
        <v>48.4</v>
      </c>
      <c r="Y55" s="45">
        <v>62.3</v>
      </c>
      <c r="Z55" s="45">
        <v>62.3</v>
      </c>
      <c r="AA55" s="45">
        <v>70</v>
      </c>
      <c r="AB55" s="65">
        <v>64</v>
      </c>
      <c r="AC55" s="65">
        <v>64</v>
      </c>
      <c r="AD55" s="65">
        <v>55</v>
      </c>
      <c r="AE55" s="65">
        <v>49.8</v>
      </c>
      <c r="AF55" s="65">
        <v>38.5</v>
      </c>
      <c r="AG55" s="54">
        <v>69</v>
      </c>
      <c r="AH55" s="47">
        <f t="shared" si="2"/>
        <v>70</v>
      </c>
      <c r="AI55" s="48">
        <f t="shared" si="3"/>
        <v>15</v>
      </c>
      <c r="AK55" s="49"/>
    </row>
    <row r="56" spans="1:41" x14ac:dyDescent="0.25">
      <c r="A56" s="53" t="s">
        <v>64</v>
      </c>
      <c r="B56" s="65">
        <v>55</v>
      </c>
      <c r="C56" s="65">
        <v>55</v>
      </c>
      <c r="D56" s="65">
        <v>55</v>
      </c>
      <c r="E56" s="65">
        <v>55</v>
      </c>
      <c r="F56" s="65">
        <v>55</v>
      </c>
      <c r="G56" s="65">
        <v>55</v>
      </c>
      <c r="H56" s="65">
        <v>55</v>
      </c>
      <c r="I56" s="56">
        <v>60.2</v>
      </c>
      <c r="J56" s="56">
        <v>60.2</v>
      </c>
      <c r="K56" s="56">
        <v>60.2</v>
      </c>
      <c r="L56" s="56">
        <v>60.2</v>
      </c>
      <c r="M56" s="56">
        <v>60.2</v>
      </c>
      <c r="N56" s="56">
        <v>60.2</v>
      </c>
      <c r="O56" s="56">
        <v>60.2</v>
      </c>
      <c r="P56" s="56">
        <v>60.2</v>
      </c>
      <c r="Q56" s="56">
        <v>57.9</v>
      </c>
      <c r="R56" s="45">
        <v>57.9</v>
      </c>
      <c r="S56" s="45">
        <v>54.4</v>
      </c>
      <c r="T56" s="45">
        <v>56.5</v>
      </c>
      <c r="U56" s="45">
        <v>56.5</v>
      </c>
      <c r="V56" s="45">
        <v>56.5</v>
      </c>
      <c r="W56" s="45">
        <v>55.4</v>
      </c>
      <c r="X56" s="45">
        <v>55.4</v>
      </c>
      <c r="Y56" s="45">
        <v>55.4</v>
      </c>
      <c r="Z56" s="45">
        <v>55.4</v>
      </c>
      <c r="AA56" s="45">
        <v>55.4</v>
      </c>
      <c r="AB56" s="65">
        <v>54</v>
      </c>
      <c r="AC56" s="65">
        <v>54</v>
      </c>
      <c r="AD56" s="65">
        <v>56.2</v>
      </c>
      <c r="AE56" s="65">
        <v>57.7</v>
      </c>
      <c r="AF56" s="65">
        <v>57.7</v>
      </c>
      <c r="AG56" s="54">
        <v>60</v>
      </c>
      <c r="AH56" s="47">
        <f t="shared" si="2"/>
        <v>60.2</v>
      </c>
      <c r="AI56" s="48">
        <f t="shared" si="3"/>
        <v>54</v>
      </c>
      <c r="AK56" s="49"/>
    </row>
    <row r="57" spans="1:41" x14ac:dyDescent="0.25">
      <c r="A57" s="53" t="s">
        <v>65</v>
      </c>
      <c r="B57" s="45">
        <v>10</v>
      </c>
      <c r="C57" s="45">
        <v>10</v>
      </c>
      <c r="D57" s="45">
        <v>10</v>
      </c>
      <c r="E57" s="45">
        <v>10</v>
      </c>
      <c r="F57" s="45">
        <v>15</v>
      </c>
      <c r="G57" s="45">
        <v>15</v>
      </c>
      <c r="H57" s="45">
        <v>15</v>
      </c>
      <c r="I57" s="45">
        <v>15</v>
      </c>
      <c r="J57" s="45">
        <v>15</v>
      </c>
      <c r="K57" s="45">
        <v>24</v>
      </c>
      <c r="L57" s="45">
        <v>25</v>
      </c>
      <c r="M57" s="45">
        <v>25</v>
      </c>
      <c r="N57" s="45">
        <v>25</v>
      </c>
      <c r="O57" s="45">
        <v>25</v>
      </c>
      <c r="P57" s="45">
        <v>25</v>
      </c>
      <c r="Q57" s="45">
        <v>14.9</v>
      </c>
      <c r="R57" s="45">
        <v>14.9</v>
      </c>
      <c r="S57" s="45">
        <v>9.4</v>
      </c>
      <c r="T57" s="45">
        <v>9.4</v>
      </c>
      <c r="U57" s="45">
        <v>9.4</v>
      </c>
      <c r="V57" s="45">
        <v>9.4</v>
      </c>
      <c r="W57" s="45">
        <v>9.4</v>
      </c>
      <c r="X57" s="45">
        <v>9.4</v>
      </c>
      <c r="Y57" s="45">
        <v>0</v>
      </c>
      <c r="Z57" s="45">
        <v>0</v>
      </c>
      <c r="AA57" s="45">
        <v>0</v>
      </c>
      <c r="AB57" s="45">
        <v>14.9</v>
      </c>
      <c r="AC57" s="45">
        <v>14.9</v>
      </c>
      <c r="AD57" s="45">
        <v>14.9</v>
      </c>
      <c r="AE57" s="45">
        <v>14.9</v>
      </c>
      <c r="AF57" s="45">
        <v>14.9</v>
      </c>
      <c r="AG57" s="54">
        <v>30</v>
      </c>
      <c r="AH57" s="47">
        <f t="shared" si="2"/>
        <v>25</v>
      </c>
      <c r="AI57" s="48">
        <f t="shared" si="3"/>
        <v>0</v>
      </c>
      <c r="AK57" s="49"/>
    </row>
    <row r="58" spans="1:41" x14ac:dyDescent="0.25">
      <c r="A58" s="53" t="s">
        <v>66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7.4</v>
      </c>
      <c r="N58" s="45">
        <v>7</v>
      </c>
      <c r="O58" s="45">
        <v>15.2</v>
      </c>
      <c r="P58" s="45">
        <v>16.2</v>
      </c>
      <c r="Q58" s="45">
        <v>15.4</v>
      </c>
      <c r="R58" s="65">
        <v>15.1</v>
      </c>
      <c r="S58" s="65">
        <v>12</v>
      </c>
      <c r="T58" s="65">
        <v>11</v>
      </c>
      <c r="U58" s="65">
        <v>7</v>
      </c>
      <c r="V58" s="65">
        <v>5</v>
      </c>
      <c r="W58" s="65">
        <v>1.4</v>
      </c>
      <c r="X58" s="65">
        <v>0.1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16.2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17</v>
      </c>
      <c r="C59" s="65">
        <v>17</v>
      </c>
      <c r="D59" s="65">
        <v>17</v>
      </c>
      <c r="E59" s="65">
        <v>17</v>
      </c>
      <c r="F59" s="65">
        <v>17</v>
      </c>
      <c r="G59" s="65">
        <v>17</v>
      </c>
      <c r="H59" s="65">
        <v>17</v>
      </c>
      <c r="I59" s="65">
        <v>17</v>
      </c>
      <c r="J59" s="65">
        <v>17</v>
      </c>
      <c r="K59" s="65">
        <v>17</v>
      </c>
      <c r="L59" s="65">
        <v>17</v>
      </c>
      <c r="M59" s="65">
        <v>17</v>
      </c>
      <c r="N59" s="65">
        <v>17</v>
      </c>
      <c r="O59" s="65">
        <v>17</v>
      </c>
      <c r="P59" s="65">
        <v>17</v>
      </c>
      <c r="Q59" s="65">
        <v>15</v>
      </c>
      <c r="R59" s="65">
        <v>15</v>
      </c>
      <c r="S59" s="65">
        <v>15</v>
      </c>
      <c r="T59" s="65">
        <v>15</v>
      </c>
      <c r="U59" s="65">
        <v>15</v>
      </c>
      <c r="V59" s="65">
        <v>15</v>
      </c>
      <c r="W59" s="65">
        <v>15</v>
      </c>
      <c r="X59" s="65">
        <v>15</v>
      </c>
      <c r="Y59" s="65">
        <v>15</v>
      </c>
      <c r="Z59" s="65">
        <v>15</v>
      </c>
      <c r="AA59" s="65">
        <v>15</v>
      </c>
      <c r="AB59" s="65">
        <v>15</v>
      </c>
      <c r="AC59" s="65">
        <v>15</v>
      </c>
      <c r="AD59" s="65">
        <v>15</v>
      </c>
      <c r="AE59" s="65">
        <v>15</v>
      </c>
      <c r="AF59" s="65">
        <v>15</v>
      </c>
      <c r="AG59" s="54">
        <v>24</v>
      </c>
      <c r="AH59" s="47">
        <f t="shared" si="2"/>
        <v>17</v>
      </c>
      <c r="AI59" s="48">
        <f t="shared" si="3"/>
        <v>15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12.3</v>
      </c>
      <c r="C61" s="65">
        <v>12.3</v>
      </c>
      <c r="D61" s="65">
        <v>12.3</v>
      </c>
      <c r="E61" s="65">
        <v>12.3</v>
      </c>
      <c r="F61" s="65">
        <v>12.3</v>
      </c>
      <c r="G61" s="65">
        <v>12.3</v>
      </c>
      <c r="H61" s="65">
        <v>12.3</v>
      </c>
      <c r="I61" s="65">
        <v>12.5</v>
      </c>
      <c r="J61" s="65">
        <v>12.5</v>
      </c>
      <c r="K61" s="65">
        <v>12.5</v>
      </c>
      <c r="L61" s="65">
        <v>12.5</v>
      </c>
      <c r="M61" s="65">
        <v>12.5</v>
      </c>
      <c r="N61" s="65">
        <v>12.5</v>
      </c>
      <c r="O61" s="65">
        <v>12.5</v>
      </c>
      <c r="P61" s="65">
        <v>12.5</v>
      </c>
      <c r="Q61" s="65">
        <v>13.6</v>
      </c>
      <c r="R61" s="65">
        <v>13.6</v>
      </c>
      <c r="S61" s="65">
        <v>13.6</v>
      </c>
      <c r="T61" s="65">
        <v>13.6</v>
      </c>
      <c r="U61" s="65">
        <v>13.6</v>
      </c>
      <c r="V61" s="65">
        <v>13.6</v>
      </c>
      <c r="W61" s="65">
        <v>13.6</v>
      </c>
      <c r="X61" s="65">
        <v>13.6</v>
      </c>
      <c r="Y61" s="65">
        <v>13.6</v>
      </c>
      <c r="Z61" s="65">
        <v>13.6</v>
      </c>
      <c r="AA61" s="65">
        <v>13.6</v>
      </c>
      <c r="AB61" s="65">
        <v>13.6</v>
      </c>
      <c r="AC61" s="65">
        <v>13.6</v>
      </c>
      <c r="AD61" s="65">
        <v>13.6</v>
      </c>
      <c r="AE61" s="65">
        <v>13.6</v>
      </c>
      <c r="AF61" s="65">
        <v>13.6</v>
      </c>
      <c r="AG61" s="54">
        <v>14.1</v>
      </c>
      <c r="AH61" s="47">
        <f t="shared" si="2"/>
        <v>13.6</v>
      </c>
      <c r="AI61" s="48">
        <f t="shared" si="3"/>
        <v>12.3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10.199999999999999</v>
      </c>
      <c r="C62" s="65">
        <v>10.199999999999999</v>
      </c>
      <c r="D62" s="65">
        <v>10.199999999999999</v>
      </c>
      <c r="E62" s="65">
        <v>10.199999999999999</v>
      </c>
      <c r="F62" s="65">
        <v>10.199999999999999</v>
      </c>
      <c r="G62" s="65">
        <v>10.199999999999999</v>
      </c>
      <c r="H62" s="65">
        <v>8.5</v>
      </c>
      <c r="I62" s="65">
        <v>8.5</v>
      </c>
      <c r="J62" s="65">
        <v>8.5</v>
      </c>
      <c r="K62" s="65">
        <v>8.5</v>
      </c>
      <c r="L62" s="65">
        <v>8.5</v>
      </c>
      <c r="M62" s="65">
        <v>8.5</v>
      </c>
      <c r="N62" s="65">
        <v>8.5</v>
      </c>
      <c r="O62" s="65">
        <v>8.5</v>
      </c>
      <c r="P62" s="65">
        <v>8.5</v>
      </c>
      <c r="Q62" s="65">
        <v>8.5</v>
      </c>
      <c r="R62" s="65">
        <v>8.5</v>
      </c>
      <c r="S62" s="65">
        <v>8.5</v>
      </c>
      <c r="T62" s="65">
        <v>8.5</v>
      </c>
      <c r="U62" s="65">
        <v>8.5</v>
      </c>
      <c r="V62" s="65">
        <v>8.5</v>
      </c>
      <c r="W62" s="65">
        <v>8.5</v>
      </c>
      <c r="X62" s="65">
        <v>8.5</v>
      </c>
      <c r="Y62" s="65">
        <v>8.5</v>
      </c>
      <c r="Z62" s="65">
        <v>8.5</v>
      </c>
      <c r="AA62" s="65">
        <v>8.5</v>
      </c>
      <c r="AB62" s="65">
        <v>8.5</v>
      </c>
      <c r="AC62" s="65">
        <v>8.5</v>
      </c>
      <c r="AD62" s="65">
        <v>8.5</v>
      </c>
      <c r="AE62" s="65">
        <v>8.5</v>
      </c>
      <c r="AF62" s="65">
        <v>8.5</v>
      </c>
      <c r="AG62" s="54">
        <v>14</v>
      </c>
      <c r="AH62" s="47">
        <f t="shared" si="2"/>
        <v>10.199999999999999</v>
      </c>
      <c r="AI62" s="48">
        <f t="shared" si="3"/>
        <v>8.5</v>
      </c>
      <c r="AK62" s="49"/>
    </row>
    <row r="63" spans="1:41" x14ac:dyDescent="0.25">
      <c r="A63" s="53" t="s">
        <v>71</v>
      </c>
      <c r="B63" s="65">
        <v>5.0999999999999996</v>
      </c>
      <c r="C63" s="65">
        <v>5.0999999999999996</v>
      </c>
      <c r="D63" s="65">
        <v>5.0999999999999996</v>
      </c>
      <c r="E63" s="65">
        <v>5.0999999999999996</v>
      </c>
      <c r="F63" s="65">
        <v>5.0999999999999996</v>
      </c>
      <c r="G63" s="65">
        <v>5.0999999999999996</v>
      </c>
      <c r="H63" s="65">
        <v>5.6</v>
      </c>
      <c r="I63" s="65">
        <v>5.6</v>
      </c>
      <c r="J63" s="65">
        <v>5.6</v>
      </c>
      <c r="K63" s="65">
        <v>5.6</v>
      </c>
      <c r="L63" s="65">
        <v>5.6</v>
      </c>
      <c r="M63" s="65">
        <v>5.6</v>
      </c>
      <c r="N63" s="65">
        <v>5.6</v>
      </c>
      <c r="O63" s="65">
        <v>5.6</v>
      </c>
      <c r="P63" s="65">
        <v>5.6</v>
      </c>
      <c r="Q63" s="65">
        <v>5.0999999999999996</v>
      </c>
      <c r="R63" s="65">
        <v>5.0999999999999996</v>
      </c>
      <c r="S63" s="65">
        <v>5.0999999999999996</v>
      </c>
      <c r="T63" s="65">
        <v>5.0999999999999996</v>
      </c>
      <c r="U63" s="65">
        <v>5.0999999999999996</v>
      </c>
      <c r="V63" s="65">
        <v>5.0999999999999996</v>
      </c>
      <c r="W63" s="65">
        <v>5.0999999999999996</v>
      </c>
      <c r="X63" s="65">
        <v>5.0999999999999996</v>
      </c>
      <c r="Y63" s="65">
        <v>5.0999999999999996</v>
      </c>
      <c r="Z63" s="65">
        <v>5.0999999999999996</v>
      </c>
      <c r="AA63" s="65">
        <v>5.0999999999999996</v>
      </c>
      <c r="AB63" s="65">
        <v>5.0999999999999996</v>
      </c>
      <c r="AC63" s="65">
        <v>5.0999999999999996</v>
      </c>
      <c r="AD63" s="65">
        <v>5.0999999999999996</v>
      </c>
      <c r="AE63" s="65">
        <v>5.0999999999999996</v>
      </c>
      <c r="AF63" s="65">
        <v>5.0999999999999996</v>
      </c>
      <c r="AG63" s="54">
        <v>10.050000000000001</v>
      </c>
      <c r="AH63" s="47">
        <f t="shared" si="2"/>
        <v>5.6</v>
      </c>
      <c r="AI63" s="48">
        <f t="shared" si="3"/>
        <v>5.0999999999999996</v>
      </c>
      <c r="AK63" s="49"/>
    </row>
    <row r="64" spans="1:41" x14ac:dyDescent="0.25">
      <c r="A64" s="53" t="s">
        <v>72</v>
      </c>
      <c r="B64" s="65">
        <v>2</v>
      </c>
      <c r="C64" s="65">
        <v>2</v>
      </c>
      <c r="D64" s="65">
        <v>2</v>
      </c>
      <c r="E64" s="65">
        <v>2</v>
      </c>
      <c r="F64" s="65">
        <v>2</v>
      </c>
      <c r="G64" s="65">
        <v>2</v>
      </c>
      <c r="H64" s="65">
        <v>2</v>
      </c>
      <c r="I64" s="65">
        <v>2</v>
      </c>
      <c r="J64" s="65">
        <v>2</v>
      </c>
      <c r="K64" s="65">
        <v>2</v>
      </c>
      <c r="L64" s="65">
        <v>2</v>
      </c>
      <c r="M64" s="65">
        <v>2</v>
      </c>
      <c r="N64" s="65">
        <v>2</v>
      </c>
      <c r="O64" s="65">
        <v>2</v>
      </c>
      <c r="P64" s="65">
        <v>2</v>
      </c>
      <c r="Q64" s="65">
        <v>2</v>
      </c>
      <c r="R64" s="65">
        <v>2</v>
      </c>
      <c r="S64" s="65">
        <v>2</v>
      </c>
      <c r="T64" s="65">
        <v>2</v>
      </c>
      <c r="U64" s="65">
        <v>2</v>
      </c>
      <c r="V64" s="65">
        <v>2</v>
      </c>
      <c r="W64" s="65">
        <v>2</v>
      </c>
      <c r="X64" s="65">
        <v>2</v>
      </c>
      <c r="Y64" s="65">
        <v>2</v>
      </c>
      <c r="Z64" s="65">
        <v>2</v>
      </c>
      <c r="AA64" s="65">
        <v>2</v>
      </c>
      <c r="AB64" s="65">
        <v>2</v>
      </c>
      <c r="AC64" s="65">
        <v>2</v>
      </c>
      <c r="AD64" s="65">
        <v>2</v>
      </c>
      <c r="AE64" s="65">
        <v>2</v>
      </c>
      <c r="AF64" s="65">
        <v>2</v>
      </c>
      <c r="AG64" s="54">
        <v>6.2</v>
      </c>
      <c r="AH64" s="47">
        <f t="shared" si="2"/>
        <v>2</v>
      </c>
      <c r="AI64" s="48">
        <f t="shared" si="3"/>
        <v>2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/>
      <c r="AC65" s="72"/>
      <c r="AD65" s="72"/>
      <c r="AE65" s="72"/>
      <c r="AF65" s="72"/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f>SUM(B53:B65)</f>
        <v>331.14000000000004</v>
      </c>
      <c r="C66" s="60">
        <f t="shared" ref="C66:AG66" si="6">SUM(C53:C65)</f>
        <v>331.14000000000004</v>
      </c>
      <c r="D66" s="60">
        <f t="shared" si="6"/>
        <v>281.74</v>
      </c>
      <c r="E66" s="60">
        <f t="shared" si="6"/>
        <v>281.04000000000002</v>
      </c>
      <c r="F66" s="60">
        <f>SUM(F53:F65)</f>
        <v>294.14000000000004</v>
      </c>
      <c r="G66" s="60">
        <f>SUM(G53:G65)</f>
        <v>294.14000000000004</v>
      </c>
      <c r="H66" s="60">
        <f t="shared" si="6"/>
        <v>271.94000000000005</v>
      </c>
      <c r="I66" s="60">
        <f t="shared" si="6"/>
        <v>273.34000000000003</v>
      </c>
      <c r="J66" s="60">
        <f t="shared" si="6"/>
        <v>273.34000000000003</v>
      </c>
      <c r="K66" s="60">
        <f t="shared" si="6"/>
        <v>315.34000000000003</v>
      </c>
      <c r="L66" s="60">
        <f t="shared" si="6"/>
        <v>345.34000000000003</v>
      </c>
      <c r="M66" s="60">
        <f>SUM(M53:M65)</f>
        <v>352.74</v>
      </c>
      <c r="N66" s="60">
        <f>SUM(N53:N65)</f>
        <v>352.34000000000003</v>
      </c>
      <c r="O66" s="60">
        <f t="shared" si="6"/>
        <v>363.54</v>
      </c>
      <c r="P66" s="60">
        <f t="shared" si="6"/>
        <v>362.84000000000003</v>
      </c>
      <c r="Q66" s="60">
        <f>SUM(Q53:Q65)</f>
        <v>359.34000000000003</v>
      </c>
      <c r="R66" s="60">
        <f t="shared" si="6"/>
        <v>366.14000000000004</v>
      </c>
      <c r="S66" s="60">
        <f t="shared" si="6"/>
        <v>367.54</v>
      </c>
      <c r="T66" s="60">
        <f t="shared" si="6"/>
        <v>373.44000000000005</v>
      </c>
      <c r="U66" s="60">
        <f t="shared" si="6"/>
        <v>369.44000000000005</v>
      </c>
      <c r="V66" s="60">
        <f t="shared" si="6"/>
        <v>367.44000000000005</v>
      </c>
      <c r="W66" s="60">
        <f t="shared" si="6"/>
        <v>328.24</v>
      </c>
      <c r="X66" s="60">
        <f t="shared" si="6"/>
        <v>302.54000000000008</v>
      </c>
      <c r="Y66" s="60">
        <f t="shared" si="6"/>
        <v>283.74000000000007</v>
      </c>
      <c r="Z66" s="60">
        <f t="shared" si="6"/>
        <v>322.44000000000005</v>
      </c>
      <c r="AA66" s="60">
        <f t="shared" si="6"/>
        <v>353.64000000000004</v>
      </c>
      <c r="AB66" s="60">
        <f t="shared" si="6"/>
        <v>369.1</v>
      </c>
      <c r="AC66" s="60">
        <f t="shared" si="6"/>
        <v>369.1</v>
      </c>
      <c r="AD66" s="60">
        <f t="shared" si="6"/>
        <v>346.3</v>
      </c>
      <c r="AE66" s="60">
        <f t="shared" si="6"/>
        <v>332.1</v>
      </c>
      <c r="AF66" s="60">
        <f t="shared" si="6"/>
        <v>310.3</v>
      </c>
      <c r="AG66" s="61">
        <f t="shared" si="6"/>
        <v>489.91</v>
      </c>
      <c r="AH66" s="47">
        <f t="shared" si="2"/>
        <v>373.44000000000005</v>
      </c>
      <c r="AI66" s="48">
        <f t="shared" si="3"/>
        <v>271.94000000000005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14</v>
      </c>
      <c r="P67" s="45">
        <v>14</v>
      </c>
      <c r="Q67" s="45">
        <v>14</v>
      </c>
      <c r="R67" s="45">
        <v>30</v>
      </c>
      <c r="S67" s="45">
        <v>30</v>
      </c>
      <c r="T67" s="45">
        <v>30</v>
      </c>
      <c r="U67" s="45">
        <v>30</v>
      </c>
      <c r="V67" s="45">
        <v>30</v>
      </c>
      <c r="W67" s="45">
        <v>14</v>
      </c>
      <c r="X67" s="45">
        <v>10</v>
      </c>
      <c r="Y67" s="45">
        <v>10</v>
      </c>
      <c r="Z67" s="45">
        <v>30</v>
      </c>
      <c r="AA67" s="45">
        <v>30</v>
      </c>
      <c r="AB67" s="45">
        <v>30</v>
      </c>
      <c r="AC67" s="45">
        <v>30</v>
      </c>
      <c r="AD67" s="45">
        <v>14</v>
      </c>
      <c r="AE67" s="45">
        <v>0</v>
      </c>
      <c r="AF67" s="45">
        <v>0</v>
      </c>
      <c r="AG67" s="51">
        <v>60</v>
      </c>
      <c r="AH67" s="47">
        <f t="shared" si="2"/>
        <v>30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7.8</v>
      </c>
      <c r="P68" s="65">
        <v>7.8</v>
      </c>
      <c r="Q68" s="65">
        <v>4.9000000000000004</v>
      </c>
      <c r="R68" s="65">
        <v>10.199999999999999</v>
      </c>
      <c r="S68" s="65">
        <v>14.4</v>
      </c>
      <c r="T68" s="65">
        <v>14.4</v>
      </c>
      <c r="U68" s="65">
        <v>14.4</v>
      </c>
      <c r="V68" s="65">
        <v>14.4</v>
      </c>
      <c r="W68" s="65">
        <v>5.6</v>
      </c>
      <c r="X68" s="65">
        <v>4.9000000000000004</v>
      </c>
      <c r="Y68" s="65">
        <v>3.8</v>
      </c>
      <c r="Z68" s="65">
        <v>10.1</v>
      </c>
      <c r="AA68" s="65">
        <v>14.7</v>
      </c>
      <c r="AB68" s="65">
        <v>14.7</v>
      </c>
      <c r="AC68" s="65">
        <v>14.7</v>
      </c>
      <c r="AD68" s="65">
        <v>4.5999999999999996</v>
      </c>
      <c r="AE68" s="65">
        <v>0</v>
      </c>
      <c r="AF68" s="65">
        <v>0</v>
      </c>
      <c r="AG68" s="54">
        <v>32</v>
      </c>
      <c r="AH68" s="47">
        <f t="shared" si="2"/>
        <v>14.7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3.4</v>
      </c>
      <c r="P69" s="67">
        <v>3.4</v>
      </c>
      <c r="Q69" s="67">
        <v>1.8</v>
      </c>
      <c r="R69" s="67">
        <v>4.5</v>
      </c>
      <c r="S69" s="67">
        <v>5.3</v>
      </c>
      <c r="T69" s="67">
        <v>5.3</v>
      </c>
      <c r="U69" s="67">
        <v>5.3</v>
      </c>
      <c r="V69" s="67">
        <v>5.3</v>
      </c>
      <c r="W69" s="67">
        <v>2</v>
      </c>
      <c r="X69" s="67">
        <v>1.8</v>
      </c>
      <c r="Y69" s="67">
        <v>1.8</v>
      </c>
      <c r="Z69" s="67">
        <v>3.7</v>
      </c>
      <c r="AA69" s="67">
        <v>5.4</v>
      </c>
      <c r="AB69" s="67">
        <v>5.4</v>
      </c>
      <c r="AC69" s="67">
        <v>5.4</v>
      </c>
      <c r="AD69" s="67">
        <v>1.7</v>
      </c>
      <c r="AE69" s="67">
        <v>0</v>
      </c>
      <c r="AF69" s="67">
        <v>0</v>
      </c>
      <c r="AG69" s="68">
        <v>14</v>
      </c>
      <c r="AH69" s="47">
        <f t="shared" si="2"/>
        <v>5.4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f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>M67+M68+M69</f>
        <v>0</v>
      </c>
      <c r="N70" s="60">
        <f>N67+N68+N69</f>
        <v>0</v>
      </c>
      <c r="O70" s="60">
        <f t="shared" ref="O70:AF70" si="7">O67+O68+O69</f>
        <v>25.2</v>
      </c>
      <c r="P70" s="60">
        <f t="shared" si="7"/>
        <v>25.2</v>
      </c>
      <c r="Q70" s="60">
        <f>Q67+Q68+Q69</f>
        <v>20.7</v>
      </c>
      <c r="R70" s="60">
        <f t="shared" si="7"/>
        <v>44.7</v>
      </c>
      <c r="S70" s="60">
        <f t="shared" si="7"/>
        <v>49.699999999999996</v>
      </c>
      <c r="T70" s="60">
        <f t="shared" si="7"/>
        <v>49.699999999999996</v>
      </c>
      <c r="U70" s="60">
        <f t="shared" si="7"/>
        <v>49.699999999999996</v>
      </c>
      <c r="V70" s="60">
        <f t="shared" si="7"/>
        <v>49.699999999999996</v>
      </c>
      <c r="W70" s="60">
        <f t="shared" si="7"/>
        <v>21.6</v>
      </c>
      <c r="X70" s="60">
        <f t="shared" si="7"/>
        <v>16.7</v>
      </c>
      <c r="Y70" s="60">
        <f t="shared" si="7"/>
        <v>15.600000000000001</v>
      </c>
      <c r="Z70" s="60">
        <f t="shared" si="7"/>
        <v>43.800000000000004</v>
      </c>
      <c r="AA70" s="60">
        <f t="shared" si="7"/>
        <v>50.1</v>
      </c>
      <c r="AB70" s="60">
        <f t="shared" si="7"/>
        <v>50.1</v>
      </c>
      <c r="AC70" s="60">
        <f t="shared" si="7"/>
        <v>50.1</v>
      </c>
      <c r="AD70" s="60">
        <f t="shared" si="7"/>
        <v>20.3</v>
      </c>
      <c r="AE70" s="60">
        <f t="shared" si="7"/>
        <v>0</v>
      </c>
      <c r="AF70" s="60">
        <f t="shared" si="7"/>
        <v>0</v>
      </c>
      <c r="AG70" s="61">
        <f>SUM(AG67:AG69)</f>
        <v>106</v>
      </c>
      <c r="AH70" s="47">
        <f t="shared" si="2"/>
        <v>50.1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55.3</v>
      </c>
      <c r="C71" s="45">
        <v>55.9</v>
      </c>
      <c r="D71" s="45">
        <v>53</v>
      </c>
      <c r="E71" s="45" t="s">
        <v>257</v>
      </c>
      <c r="F71" s="45">
        <v>57.2</v>
      </c>
      <c r="G71" s="45">
        <v>42</v>
      </c>
      <c r="H71" s="45">
        <v>30</v>
      </c>
      <c r="I71" s="45">
        <v>50.2</v>
      </c>
      <c r="J71" s="45">
        <v>69</v>
      </c>
      <c r="K71" s="45">
        <v>52</v>
      </c>
      <c r="L71" s="45">
        <v>55.6</v>
      </c>
      <c r="M71" s="45">
        <v>52</v>
      </c>
      <c r="N71" s="45">
        <v>52</v>
      </c>
      <c r="O71" s="45">
        <v>58</v>
      </c>
      <c r="P71" s="45">
        <v>65.5</v>
      </c>
      <c r="Q71" s="45">
        <v>68.900000000000006</v>
      </c>
      <c r="R71" s="45">
        <v>70.5</v>
      </c>
      <c r="S71" s="45">
        <v>61</v>
      </c>
      <c r="T71" s="45">
        <v>69.599999999999994</v>
      </c>
      <c r="U71" s="45">
        <v>69.599999999999994</v>
      </c>
      <c r="V71" s="45">
        <v>67.599999999999994</v>
      </c>
      <c r="W71" s="45">
        <v>57.4</v>
      </c>
      <c r="X71" s="45">
        <v>55</v>
      </c>
      <c r="Y71" s="45">
        <v>55.3</v>
      </c>
      <c r="Z71" s="45">
        <v>60.2</v>
      </c>
      <c r="AA71" s="45">
        <v>58</v>
      </c>
      <c r="AB71" s="45">
        <v>65</v>
      </c>
      <c r="AC71" s="45">
        <v>72</v>
      </c>
      <c r="AD71" s="45">
        <v>71</v>
      </c>
      <c r="AE71" s="45">
        <v>71.900000000000006</v>
      </c>
      <c r="AF71" s="45">
        <v>66.8</v>
      </c>
      <c r="AG71" s="51"/>
      <c r="AH71" s="47">
        <f t="shared" si="2"/>
        <v>72</v>
      </c>
      <c r="AI71" s="48">
        <f t="shared" si="3"/>
        <v>30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153</v>
      </c>
      <c r="C73" s="65">
        <v>170</v>
      </c>
      <c r="D73" s="65">
        <v>168</v>
      </c>
      <c r="E73" s="65">
        <v>160.6</v>
      </c>
      <c r="F73" s="65">
        <v>160.6</v>
      </c>
      <c r="G73" s="65">
        <v>216</v>
      </c>
      <c r="H73" s="65">
        <v>180</v>
      </c>
      <c r="I73" s="65">
        <v>239</v>
      </c>
      <c r="J73" s="65">
        <v>271</v>
      </c>
      <c r="K73" s="65">
        <v>285</v>
      </c>
      <c r="L73" s="65">
        <v>255</v>
      </c>
      <c r="M73" s="65">
        <v>279</v>
      </c>
      <c r="N73" s="65">
        <v>279</v>
      </c>
      <c r="O73" s="65">
        <v>220</v>
      </c>
      <c r="P73" s="65">
        <v>300</v>
      </c>
      <c r="Q73" s="65">
        <v>315</v>
      </c>
      <c r="R73" s="65">
        <v>300</v>
      </c>
      <c r="S73" s="65">
        <v>165</v>
      </c>
      <c r="T73" s="65">
        <v>51.5</v>
      </c>
      <c r="U73" s="65">
        <v>51.5</v>
      </c>
      <c r="V73" s="65">
        <v>289</v>
      </c>
      <c r="W73" s="65">
        <v>316</v>
      </c>
      <c r="X73" s="65">
        <v>315</v>
      </c>
      <c r="Y73" s="65">
        <v>309</v>
      </c>
      <c r="Z73" s="65">
        <v>317</v>
      </c>
      <c r="AA73" s="65">
        <v>252</v>
      </c>
      <c r="AB73" s="65">
        <v>213</v>
      </c>
      <c r="AC73" s="65">
        <v>215</v>
      </c>
      <c r="AD73" s="65">
        <v>190</v>
      </c>
      <c r="AE73" s="65">
        <v>172</v>
      </c>
      <c r="AF73" s="65">
        <v>141.9</v>
      </c>
      <c r="AG73" s="75"/>
      <c r="AH73" s="47">
        <f t="shared" si="2"/>
        <v>317</v>
      </c>
      <c r="AI73" s="48">
        <f t="shared" si="3"/>
        <v>51.5</v>
      </c>
      <c r="AK73" s="49"/>
    </row>
    <row r="74" spans="1:40" x14ac:dyDescent="0.25">
      <c r="A74" s="53" t="s">
        <v>82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10</v>
      </c>
      <c r="T74" s="76">
        <v>10</v>
      </c>
      <c r="U74" s="76">
        <v>20</v>
      </c>
      <c r="V74" s="76">
        <v>43</v>
      </c>
      <c r="W74" s="76">
        <v>37.5</v>
      </c>
      <c r="X74" s="76">
        <v>43.5</v>
      </c>
      <c r="Y74" s="76">
        <v>46</v>
      </c>
      <c r="Z74" s="76">
        <v>38.700000000000003</v>
      </c>
      <c r="AA74" s="65">
        <v>40</v>
      </c>
      <c r="AB74" s="65">
        <v>37.299999999999997</v>
      </c>
      <c r="AC74" s="65">
        <v>10</v>
      </c>
      <c r="AD74" s="65">
        <v>12</v>
      </c>
      <c r="AE74" s="65">
        <v>12</v>
      </c>
      <c r="AF74" s="65">
        <v>12</v>
      </c>
      <c r="AG74" s="75"/>
      <c r="AH74" s="47">
        <f t="shared" si="2"/>
        <v>46</v>
      </c>
      <c r="AI74" s="48">
        <f t="shared" si="3"/>
        <v>0</v>
      </c>
      <c r="AK74" s="49"/>
    </row>
    <row r="75" spans="1:40" x14ac:dyDescent="0.25">
      <c r="A75" s="53" t="s">
        <v>83</v>
      </c>
      <c r="B75" s="45">
        <v>0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>
        <v>0</v>
      </c>
      <c r="T75" s="45">
        <v>0</v>
      </c>
      <c r="U75" s="45">
        <v>0</v>
      </c>
      <c r="V75" s="45">
        <v>0</v>
      </c>
      <c r="W75" s="45">
        <v>0</v>
      </c>
      <c r="X75" s="45">
        <v>0</v>
      </c>
      <c r="Y75" s="45">
        <v>0</v>
      </c>
      <c r="Z75" s="45">
        <v>0</v>
      </c>
      <c r="AA75" s="45">
        <v>21</v>
      </c>
      <c r="AB75" s="45">
        <v>0</v>
      </c>
      <c r="AC75" s="45">
        <v>0</v>
      </c>
      <c r="AD75" s="45">
        <v>0</v>
      </c>
      <c r="AE75" s="45">
        <v>0</v>
      </c>
      <c r="AF75" s="45">
        <v>0</v>
      </c>
      <c r="AG75" s="75"/>
      <c r="AH75" s="47">
        <f t="shared" ref="AH75:AH117" si="8">MAX(B75:AF75)</f>
        <v>21</v>
      </c>
      <c r="AI75" s="48">
        <f t="shared" ref="AI75:AI117" si="9">MIN(B75:AF75)</f>
        <v>0</v>
      </c>
      <c r="AK75" s="49"/>
    </row>
    <row r="76" spans="1:40" x14ac:dyDescent="0.25">
      <c r="A76" s="53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8"/>
        <v>5</v>
      </c>
      <c r="AI76" s="48">
        <f t="shared" si="9"/>
        <v>0</v>
      </c>
      <c r="AK76" s="49"/>
    </row>
    <row r="77" spans="1:40" ht="15.75" thickBot="1" x14ac:dyDescent="0.3">
      <c r="A77" s="53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8"/>
        <v>0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6</v>
      </c>
      <c r="C78" s="77">
        <v>6</v>
      </c>
      <c r="D78" s="77">
        <v>6</v>
      </c>
      <c r="E78" s="77">
        <v>6</v>
      </c>
      <c r="F78" s="77">
        <v>6</v>
      </c>
      <c r="G78" s="77">
        <v>6</v>
      </c>
      <c r="H78" s="77">
        <v>6</v>
      </c>
      <c r="I78" s="77">
        <v>6</v>
      </c>
      <c r="J78" s="77">
        <v>6</v>
      </c>
      <c r="K78" s="77">
        <v>6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8"/>
        <v>6</v>
      </c>
      <c r="AI78" s="48">
        <f t="shared" si="9"/>
        <v>5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8"/>
        <v>0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f>SUMIF(B71:B81,"&gt;0")</f>
        <v>214.3</v>
      </c>
      <c r="C82" s="60">
        <f t="shared" ref="C82:AF82" si="10">SUMIF(C71:C81,"&gt;0")</f>
        <v>231.9</v>
      </c>
      <c r="D82" s="60">
        <f t="shared" si="10"/>
        <v>227</v>
      </c>
      <c r="E82" s="60">
        <f t="shared" si="10"/>
        <v>166.6</v>
      </c>
      <c r="F82" s="60">
        <f>SUMIF(F71:F81,"&gt;0")</f>
        <v>223.8</v>
      </c>
      <c r="G82" s="60">
        <f t="shared" si="10"/>
        <v>264</v>
      </c>
      <c r="H82" s="60">
        <f t="shared" si="10"/>
        <v>216</v>
      </c>
      <c r="I82" s="60">
        <f t="shared" si="10"/>
        <v>295.2</v>
      </c>
      <c r="J82" s="60">
        <f t="shared" si="10"/>
        <v>346</v>
      </c>
      <c r="K82" s="60">
        <f t="shared" si="10"/>
        <v>343</v>
      </c>
      <c r="L82" s="60">
        <f t="shared" si="10"/>
        <v>315.60000000000002</v>
      </c>
      <c r="M82" s="60">
        <f>SUMIF(M71:M81,"&gt;0")</f>
        <v>336</v>
      </c>
      <c r="N82" s="60">
        <f>SUMIF(N71:N81,"&gt;0")</f>
        <v>336</v>
      </c>
      <c r="O82" s="60">
        <f t="shared" si="10"/>
        <v>288</v>
      </c>
      <c r="P82" s="60">
        <f t="shared" si="10"/>
        <v>375.5</v>
      </c>
      <c r="Q82" s="60">
        <f>SUMIF(Q71:Q81,"&gt;0")</f>
        <v>393.9</v>
      </c>
      <c r="R82" s="60">
        <f t="shared" si="10"/>
        <v>380.5</v>
      </c>
      <c r="S82" s="60">
        <f t="shared" si="10"/>
        <v>246</v>
      </c>
      <c r="T82" s="60">
        <f t="shared" si="10"/>
        <v>141.1</v>
      </c>
      <c r="U82" s="60">
        <f t="shared" si="10"/>
        <v>151.1</v>
      </c>
      <c r="V82" s="60">
        <f t="shared" si="10"/>
        <v>409.6</v>
      </c>
      <c r="W82" s="60">
        <f t="shared" si="10"/>
        <v>420.9</v>
      </c>
      <c r="X82" s="60">
        <f t="shared" si="10"/>
        <v>423.5</v>
      </c>
      <c r="Y82" s="60">
        <f t="shared" si="10"/>
        <v>420.3</v>
      </c>
      <c r="Z82" s="60">
        <f t="shared" si="10"/>
        <v>425.9</v>
      </c>
      <c r="AA82" s="60">
        <f t="shared" si="10"/>
        <v>381</v>
      </c>
      <c r="AB82" s="60">
        <f t="shared" si="10"/>
        <v>325.3</v>
      </c>
      <c r="AC82" s="60">
        <f t="shared" si="10"/>
        <v>307</v>
      </c>
      <c r="AD82" s="60">
        <f t="shared" si="10"/>
        <v>283</v>
      </c>
      <c r="AE82" s="60">
        <f t="shared" si="10"/>
        <v>265.89999999999998</v>
      </c>
      <c r="AF82" s="60">
        <f t="shared" si="10"/>
        <v>230.7</v>
      </c>
      <c r="AG82" s="88">
        <f>SUM(AG71:AG81)</f>
        <v>0</v>
      </c>
      <c r="AH82" s="47">
        <f t="shared" si="8"/>
        <v>425.9</v>
      </c>
      <c r="AI82" s="48">
        <f t="shared" si="9"/>
        <v>141.1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f>B48+B52+B70+B66+B82+B86</f>
        <v>1143.8399999999999</v>
      </c>
      <c r="C87" s="95">
        <f t="shared" ref="C87:AG87" si="11">C48+C52+C70+C66+C82+C86</f>
        <v>1165.44</v>
      </c>
      <c r="D87" s="95">
        <f t="shared" si="11"/>
        <v>1157.2400000000002</v>
      </c>
      <c r="E87" s="95">
        <f t="shared" si="11"/>
        <v>1056.1400000000001</v>
      </c>
      <c r="F87" s="95">
        <f>F48+F52+F70+F66+F82+F86</f>
        <v>1126.44</v>
      </c>
      <c r="G87" s="95">
        <f t="shared" si="11"/>
        <v>1163.24</v>
      </c>
      <c r="H87" s="95">
        <f t="shared" si="11"/>
        <v>1093.04</v>
      </c>
      <c r="I87" s="95">
        <f t="shared" si="11"/>
        <v>1172.6400000000001</v>
      </c>
      <c r="J87" s="95">
        <f t="shared" si="11"/>
        <v>1224.44</v>
      </c>
      <c r="K87" s="95">
        <f t="shared" si="11"/>
        <v>1290.74</v>
      </c>
      <c r="L87" s="95">
        <f t="shared" si="11"/>
        <v>1313.3400000000001</v>
      </c>
      <c r="M87" s="95">
        <f t="shared" si="11"/>
        <v>1354.1399999999999</v>
      </c>
      <c r="N87" s="95">
        <f>N48+N52+N70+N66+N82+N86</f>
        <v>1403.74</v>
      </c>
      <c r="O87" s="95">
        <f t="shared" si="11"/>
        <v>1382.14</v>
      </c>
      <c r="P87" s="95">
        <f t="shared" si="11"/>
        <v>1418.94</v>
      </c>
      <c r="Q87" s="95">
        <f>Q48+Q52+Q70+Q66+Q82+Q86</f>
        <v>1429.54</v>
      </c>
      <c r="R87" s="95">
        <f t="shared" si="11"/>
        <v>1456.94</v>
      </c>
      <c r="S87" s="95">
        <f t="shared" si="11"/>
        <v>1428.8400000000001</v>
      </c>
      <c r="T87" s="95">
        <f t="shared" si="11"/>
        <v>1469.8400000000001</v>
      </c>
      <c r="U87" s="95">
        <f t="shared" si="11"/>
        <v>1475.8400000000001</v>
      </c>
      <c r="V87" s="95">
        <f t="shared" si="11"/>
        <v>1489.3400000000001</v>
      </c>
      <c r="W87" s="95">
        <f t="shared" si="11"/>
        <v>1406.3400000000001</v>
      </c>
      <c r="X87" s="95">
        <f t="shared" si="11"/>
        <v>1358.3400000000001</v>
      </c>
      <c r="Y87" s="95">
        <f t="shared" si="11"/>
        <v>1365.24</v>
      </c>
      <c r="Z87" s="95">
        <f t="shared" si="11"/>
        <v>1438.3400000000001</v>
      </c>
      <c r="AA87" s="95">
        <f t="shared" si="11"/>
        <v>1560.94</v>
      </c>
      <c r="AB87" s="95">
        <f t="shared" si="11"/>
        <v>1545.7</v>
      </c>
      <c r="AC87" s="95">
        <f t="shared" si="11"/>
        <v>1533.4</v>
      </c>
      <c r="AD87" s="95">
        <f t="shared" si="11"/>
        <v>1453.2</v>
      </c>
      <c r="AE87" s="95">
        <f t="shared" si="11"/>
        <v>1425</v>
      </c>
      <c r="AF87" s="95">
        <f t="shared" si="11"/>
        <v>1395</v>
      </c>
      <c r="AG87" s="61">
        <f t="shared" si="11"/>
        <v>2065.09</v>
      </c>
      <c r="AH87" s="47">
        <f>MAX(B87:AF87)</f>
        <v>1560.94</v>
      </c>
      <c r="AI87" s="48">
        <f>MIN(B87:AF87)</f>
        <v>1056.1400000000001</v>
      </c>
    </row>
    <row r="88" spans="1:40" ht="15.75" thickBot="1" x14ac:dyDescent="0.3">
      <c r="A88" s="96" t="s">
        <v>99</v>
      </c>
      <c r="B88" s="97"/>
      <c r="C88" s="97"/>
      <c r="D88" s="97"/>
      <c r="E88" s="97"/>
      <c r="F88" s="97"/>
      <c r="G88" s="97"/>
      <c r="H88" s="97"/>
      <c r="I88" s="97"/>
      <c r="J88" s="97">
        <f>80</f>
        <v>80</v>
      </c>
      <c r="K88" s="97">
        <f>80</f>
        <v>80</v>
      </c>
      <c r="L88" s="97">
        <f>80</f>
        <v>80</v>
      </c>
      <c r="M88" s="97">
        <v>50</v>
      </c>
      <c r="N88" s="97">
        <v>51</v>
      </c>
      <c r="O88" s="97">
        <v>50</v>
      </c>
      <c r="P88" s="97"/>
      <c r="Q88" s="97"/>
      <c r="R88" s="97"/>
      <c r="S88" s="97"/>
      <c r="T88" s="97"/>
      <c r="U88" s="97"/>
      <c r="V88" s="97"/>
      <c r="W88" s="97"/>
      <c r="X88" s="97"/>
      <c r="Y88" s="97">
        <v>120</v>
      </c>
      <c r="Z88" s="97">
        <v>120</v>
      </c>
      <c r="AA88" s="97">
        <v>120</v>
      </c>
      <c r="AB88" s="97">
        <v>120</v>
      </c>
      <c r="AC88" s="97">
        <v>120</v>
      </c>
      <c r="AD88" s="97">
        <v>100</v>
      </c>
      <c r="AE88" s="97"/>
      <c r="AF88" s="97"/>
      <c r="AG88" s="88"/>
      <c r="AH88" s="47">
        <f t="shared" si="8"/>
        <v>120</v>
      </c>
      <c r="AI88" s="48">
        <f t="shared" si="9"/>
        <v>50</v>
      </c>
    </row>
    <row r="89" spans="1:40" ht="15.75" thickBot="1" x14ac:dyDescent="0.3">
      <c r="A89" s="74" t="s">
        <v>100</v>
      </c>
      <c r="B89" s="95">
        <f>B87+B88</f>
        <v>1143.8399999999999</v>
      </c>
      <c r="C89" s="95">
        <f t="shared" ref="C89:AF89" si="12">C87+C88</f>
        <v>1165.44</v>
      </c>
      <c r="D89" s="95">
        <f t="shared" si="12"/>
        <v>1157.2400000000002</v>
      </c>
      <c r="E89" s="95">
        <f t="shared" si="12"/>
        <v>1056.1400000000001</v>
      </c>
      <c r="F89" s="95">
        <f>F87+F88</f>
        <v>1126.44</v>
      </c>
      <c r="G89" s="95">
        <f t="shared" si="12"/>
        <v>1163.24</v>
      </c>
      <c r="H89" s="95">
        <f t="shared" si="12"/>
        <v>1093.04</v>
      </c>
      <c r="I89" s="95">
        <f t="shared" si="12"/>
        <v>1172.6400000000001</v>
      </c>
      <c r="J89" s="95">
        <f t="shared" si="12"/>
        <v>1304.44</v>
      </c>
      <c r="K89" s="95">
        <f t="shared" si="12"/>
        <v>1370.74</v>
      </c>
      <c r="L89" s="95">
        <f t="shared" si="12"/>
        <v>1393.3400000000001</v>
      </c>
      <c r="M89" s="95">
        <f t="shared" si="12"/>
        <v>1404.1399999999999</v>
      </c>
      <c r="N89" s="95">
        <f>N87+N88</f>
        <v>1454.74</v>
      </c>
      <c r="O89" s="95">
        <f t="shared" si="12"/>
        <v>1432.14</v>
      </c>
      <c r="P89" s="95">
        <f t="shared" si="12"/>
        <v>1418.94</v>
      </c>
      <c r="Q89" s="95">
        <f>Q87+Q88</f>
        <v>1429.54</v>
      </c>
      <c r="R89" s="95">
        <f t="shared" si="12"/>
        <v>1456.94</v>
      </c>
      <c r="S89" s="95">
        <f t="shared" si="12"/>
        <v>1428.8400000000001</v>
      </c>
      <c r="T89" s="95">
        <f t="shared" si="12"/>
        <v>1469.8400000000001</v>
      </c>
      <c r="U89" s="95">
        <f t="shared" si="12"/>
        <v>1475.8400000000001</v>
      </c>
      <c r="V89" s="95">
        <f t="shared" si="12"/>
        <v>1489.3400000000001</v>
      </c>
      <c r="W89" s="95">
        <f t="shared" si="12"/>
        <v>1406.3400000000001</v>
      </c>
      <c r="X89" s="95">
        <f t="shared" si="12"/>
        <v>1358.3400000000001</v>
      </c>
      <c r="Y89" s="95">
        <f t="shared" si="12"/>
        <v>1485.24</v>
      </c>
      <c r="Z89" s="95">
        <f t="shared" si="12"/>
        <v>1558.3400000000001</v>
      </c>
      <c r="AA89" s="95">
        <f t="shared" si="12"/>
        <v>1680.94</v>
      </c>
      <c r="AB89" s="95">
        <f t="shared" si="12"/>
        <v>1665.7</v>
      </c>
      <c r="AC89" s="95">
        <f t="shared" si="12"/>
        <v>1653.4</v>
      </c>
      <c r="AD89" s="95">
        <f t="shared" si="12"/>
        <v>1553.2</v>
      </c>
      <c r="AE89" s="95">
        <f t="shared" si="12"/>
        <v>1425</v>
      </c>
      <c r="AF89" s="95">
        <f t="shared" si="12"/>
        <v>1395</v>
      </c>
      <c r="AG89" s="88">
        <f>AG86+AG82+AG70+AG66+AG48+AG88</f>
        <v>1526.99</v>
      </c>
      <c r="AH89" s="47">
        <f t="shared" si="8"/>
        <v>1680.94</v>
      </c>
      <c r="AI89" s="48">
        <f t="shared" si="9"/>
        <v>1056.1400000000001</v>
      </c>
    </row>
    <row r="90" spans="1:40" ht="15.75" thickBot="1" x14ac:dyDescent="0.3">
      <c r="A90" s="74" t="s">
        <v>101</v>
      </c>
      <c r="B90" s="95">
        <f>B89-B97</f>
        <v>1143.8399999999999</v>
      </c>
      <c r="C90" s="95">
        <f t="shared" ref="C90:AF90" si="13">C89-C97</f>
        <v>1165.44</v>
      </c>
      <c r="D90" s="95">
        <f t="shared" si="13"/>
        <v>1157.2400000000002</v>
      </c>
      <c r="E90" s="95">
        <f t="shared" si="13"/>
        <v>1056.1400000000001</v>
      </c>
      <c r="F90" s="95">
        <f>F89-F97</f>
        <v>1126.44</v>
      </c>
      <c r="G90" s="95">
        <f t="shared" si="13"/>
        <v>1163.24</v>
      </c>
      <c r="H90" s="95">
        <f t="shared" si="13"/>
        <v>1093.04</v>
      </c>
      <c r="I90" s="95">
        <f t="shared" si="13"/>
        <v>1172.6400000000001</v>
      </c>
      <c r="J90" s="95">
        <f t="shared" si="13"/>
        <v>1304.44</v>
      </c>
      <c r="K90" s="95">
        <f t="shared" si="13"/>
        <v>1370.74</v>
      </c>
      <c r="L90" s="95">
        <f t="shared" si="13"/>
        <v>1393.3400000000001</v>
      </c>
      <c r="M90" s="95">
        <f t="shared" si="13"/>
        <v>1404.1399999999999</v>
      </c>
      <c r="N90" s="95">
        <f>N89-N97</f>
        <v>1454.74</v>
      </c>
      <c r="O90" s="95">
        <f t="shared" si="13"/>
        <v>1432.14</v>
      </c>
      <c r="P90" s="95">
        <f t="shared" si="13"/>
        <v>1418.94</v>
      </c>
      <c r="Q90" s="95">
        <f>Q89-Q97</f>
        <v>1429.54</v>
      </c>
      <c r="R90" s="95">
        <f t="shared" si="13"/>
        <v>1456.94</v>
      </c>
      <c r="S90" s="95">
        <f t="shared" si="13"/>
        <v>1428.8400000000001</v>
      </c>
      <c r="T90" s="95">
        <f t="shared" si="13"/>
        <v>1469.8400000000001</v>
      </c>
      <c r="U90" s="95">
        <f t="shared" si="13"/>
        <v>1475.8400000000001</v>
      </c>
      <c r="V90" s="95">
        <f t="shared" si="13"/>
        <v>1489.3400000000001</v>
      </c>
      <c r="W90" s="95">
        <f t="shared" si="13"/>
        <v>1406.3400000000001</v>
      </c>
      <c r="X90" s="95">
        <f t="shared" si="13"/>
        <v>1358.3400000000001</v>
      </c>
      <c r="Y90" s="95">
        <f t="shared" si="13"/>
        <v>1485.24</v>
      </c>
      <c r="Z90" s="95">
        <f t="shared" si="13"/>
        <v>1558.3400000000001</v>
      </c>
      <c r="AA90" s="95">
        <f t="shared" si="13"/>
        <v>1680.94</v>
      </c>
      <c r="AB90" s="95">
        <f t="shared" si="13"/>
        <v>1665.7</v>
      </c>
      <c r="AC90" s="95">
        <f t="shared" si="13"/>
        <v>1653.4</v>
      </c>
      <c r="AD90" s="95">
        <f t="shared" si="13"/>
        <v>1553.2</v>
      </c>
      <c r="AE90" s="95">
        <f t="shared" si="13"/>
        <v>1425</v>
      </c>
      <c r="AF90" s="95">
        <f t="shared" si="13"/>
        <v>1395</v>
      </c>
      <c r="AG90" s="88"/>
      <c r="AH90" s="47">
        <f t="shared" si="8"/>
        <v>1680.94</v>
      </c>
      <c r="AI90" s="48">
        <f t="shared" si="9"/>
        <v>1056.1400000000001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f>B82-B97</f>
        <v>214.3</v>
      </c>
      <c r="C98" s="60">
        <f t="shared" ref="C98:AF98" si="14">C82-C97</f>
        <v>231.9</v>
      </c>
      <c r="D98" s="60">
        <f t="shared" si="14"/>
        <v>227</v>
      </c>
      <c r="E98" s="60">
        <f t="shared" si="14"/>
        <v>166.6</v>
      </c>
      <c r="F98" s="60">
        <f>F82-F97</f>
        <v>223.8</v>
      </c>
      <c r="G98" s="60">
        <f t="shared" si="14"/>
        <v>264</v>
      </c>
      <c r="H98" s="60">
        <f t="shared" si="14"/>
        <v>216</v>
      </c>
      <c r="I98" s="60">
        <f t="shared" si="14"/>
        <v>295.2</v>
      </c>
      <c r="J98" s="60">
        <f t="shared" si="14"/>
        <v>346</v>
      </c>
      <c r="K98" s="60">
        <f t="shared" si="14"/>
        <v>343</v>
      </c>
      <c r="L98" s="60">
        <f t="shared" si="14"/>
        <v>315.60000000000002</v>
      </c>
      <c r="M98" s="60">
        <f t="shared" si="14"/>
        <v>336</v>
      </c>
      <c r="N98" s="60">
        <f>N82-N97</f>
        <v>336</v>
      </c>
      <c r="O98" s="60">
        <f t="shared" si="14"/>
        <v>288</v>
      </c>
      <c r="P98" s="60">
        <f t="shared" si="14"/>
        <v>375.5</v>
      </c>
      <c r="Q98" s="60">
        <f>Q82-Q97</f>
        <v>393.9</v>
      </c>
      <c r="R98" s="60">
        <f t="shared" si="14"/>
        <v>380.5</v>
      </c>
      <c r="S98" s="60">
        <f t="shared" si="14"/>
        <v>246</v>
      </c>
      <c r="T98" s="60">
        <f t="shared" si="14"/>
        <v>141.1</v>
      </c>
      <c r="U98" s="60">
        <f t="shared" si="14"/>
        <v>151.1</v>
      </c>
      <c r="V98" s="60">
        <f t="shared" si="14"/>
        <v>409.6</v>
      </c>
      <c r="W98" s="60">
        <f t="shared" si="14"/>
        <v>420.9</v>
      </c>
      <c r="X98" s="60">
        <f t="shared" si="14"/>
        <v>423.5</v>
      </c>
      <c r="Y98" s="60">
        <f t="shared" si="14"/>
        <v>420.3</v>
      </c>
      <c r="Z98" s="60">
        <f t="shared" si="14"/>
        <v>425.9</v>
      </c>
      <c r="AA98" s="60">
        <f t="shared" si="14"/>
        <v>381</v>
      </c>
      <c r="AB98" s="60">
        <f t="shared" si="14"/>
        <v>325.3</v>
      </c>
      <c r="AC98" s="60">
        <f t="shared" si="14"/>
        <v>307</v>
      </c>
      <c r="AD98" s="60">
        <f t="shared" si="14"/>
        <v>283</v>
      </c>
      <c r="AE98" s="60">
        <f t="shared" si="14"/>
        <v>265.89999999999998</v>
      </c>
      <c r="AF98" s="60">
        <f t="shared" si="14"/>
        <v>230.7</v>
      </c>
      <c r="AG98" s="88"/>
      <c r="AH98" s="47">
        <f t="shared" si="8"/>
        <v>425.9</v>
      </c>
      <c r="AI98" s="48">
        <f t="shared" si="9"/>
        <v>141.1</v>
      </c>
    </row>
    <row r="99" spans="1:37" x14ac:dyDescent="0.25">
      <c r="A99" s="100" t="s">
        <v>107</v>
      </c>
      <c r="B99" s="101">
        <v>49.945</v>
      </c>
      <c r="C99" s="101">
        <v>50.329000000000001</v>
      </c>
      <c r="D99" s="101">
        <v>50.012999999999998</v>
      </c>
      <c r="E99" s="101">
        <v>49.853999999999999</v>
      </c>
      <c r="F99" s="101">
        <v>49.853999999999999</v>
      </c>
      <c r="G99" s="101">
        <v>50.093000000000004</v>
      </c>
      <c r="H99" s="101">
        <v>49.994999999999997</v>
      </c>
      <c r="I99" s="101">
        <v>50.048999999999999</v>
      </c>
      <c r="J99" s="101">
        <v>50.048999999999999</v>
      </c>
      <c r="K99" s="101">
        <v>49.917999999999999</v>
      </c>
      <c r="L99" s="101">
        <v>49.722999999999999</v>
      </c>
      <c r="M99" s="101">
        <v>49.932000000000002</v>
      </c>
      <c r="N99" s="101">
        <v>49.932000000000002</v>
      </c>
      <c r="O99" s="101">
        <v>49.86</v>
      </c>
      <c r="P99" s="101">
        <v>50.07</v>
      </c>
      <c r="Q99" s="101">
        <v>49.99</v>
      </c>
      <c r="R99" s="101">
        <v>50.02</v>
      </c>
      <c r="S99" s="101">
        <v>49.722999999999999</v>
      </c>
      <c r="T99" s="101">
        <v>49.776000000000003</v>
      </c>
      <c r="U99" s="101">
        <v>49.776000000000003</v>
      </c>
      <c r="V99" s="101">
        <v>50.069000000000003</v>
      </c>
      <c r="W99" s="101">
        <v>50.043999999999997</v>
      </c>
      <c r="X99" s="101">
        <v>50.033000000000001</v>
      </c>
      <c r="Y99" s="101">
        <v>50.167999999999999</v>
      </c>
      <c r="Z99" s="101">
        <v>49.997</v>
      </c>
      <c r="AA99" s="101">
        <v>49.906999999999996</v>
      </c>
      <c r="AB99" s="101">
        <v>50.02</v>
      </c>
      <c r="AC99" s="101">
        <v>49.963999999999999</v>
      </c>
      <c r="AD99" s="101">
        <v>49.927999999999997</v>
      </c>
      <c r="AE99" s="101">
        <v>49.984999999999999</v>
      </c>
      <c r="AF99" s="101">
        <v>49.828000000000003</v>
      </c>
      <c r="AG99" s="102"/>
      <c r="AH99" s="47">
        <f t="shared" si="8"/>
        <v>50.329000000000001</v>
      </c>
      <c r="AI99" s="48">
        <f t="shared" si="9"/>
        <v>49.722999999999999</v>
      </c>
    </row>
    <row r="100" spans="1:37" x14ac:dyDescent="0.25">
      <c r="A100" s="103" t="s">
        <v>108</v>
      </c>
      <c r="B100" s="65">
        <v>126.6</v>
      </c>
      <c r="C100" s="65">
        <v>125.9</v>
      </c>
      <c r="D100" s="65">
        <v>125.9</v>
      </c>
      <c r="E100" s="65">
        <v>127</v>
      </c>
      <c r="F100" s="65">
        <v>127</v>
      </c>
      <c r="G100" s="65">
        <v>127.9</v>
      </c>
      <c r="H100" s="65">
        <v>126.6</v>
      </c>
      <c r="I100" s="65">
        <v>127</v>
      </c>
      <c r="J100" s="65">
        <v>127</v>
      </c>
      <c r="K100" s="65">
        <v>125.1</v>
      </c>
      <c r="L100" s="65">
        <v>122.9</v>
      </c>
      <c r="M100" s="65">
        <v>123.9</v>
      </c>
      <c r="N100" s="65">
        <v>123.9</v>
      </c>
      <c r="O100" s="65">
        <v>124.7</v>
      </c>
      <c r="P100" s="65">
        <v>123.7</v>
      </c>
      <c r="Q100" s="65">
        <v>123.1</v>
      </c>
      <c r="R100" s="65">
        <v>122.2</v>
      </c>
      <c r="S100" s="65">
        <v>122.7</v>
      </c>
      <c r="T100" s="65">
        <v>123.7</v>
      </c>
      <c r="U100" s="65">
        <v>123.7</v>
      </c>
      <c r="V100" s="65">
        <v>125.2</v>
      </c>
      <c r="W100" s="65">
        <v>125.3</v>
      </c>
      <c r="X100" s="65">
        <v>127.3</v>
      </c>
      <c r="Y100" s="65">
        <v>126.8</v>
      </c>
      <c r="Z100" s="65">
        <v>126</v>
      </c>
      <c r="AA100" s="65">
        <v>125.6</v>
      </c>
      <c r="AB100" s="65">
        <v>126.6</v>
      </c>
      <c r="AC100" s="65">
        <v>126.6</v>
      </c>
      <c r="AD100" s="65">
        <v>124.6</v>
      </c>
      <c r="AE100" s="65">
        <v>125</v>
      </c>
      <c r="AF100" s="65">
        <v>125</v>
      </c>
      <c r="AG100" s="104"/>
      <c r="AH100" s="47">
        <f t="shared" si="8"/>
        <v>127.9</v>
      </c>
      <c r="AI100" s="48">
        <f t="shared" si="9"/>
        <v>122.2</v>
      </c>
    </row>
    <row r="101" spans="1:37" x14ac:dyDescent="0.25">
      <c r="A101" s="103" t="s">
        <v>109</v>
      </c>
      <c r="B101" s="65">
        <v>130.30000000000001</v>
      </c>
      <c r="C101" s="65">
        <v>130.69999999999999</v>
      </c>
      <c r="D101" s="65">
        <v>130.69999999999999</v>
      </c>
      <c r="E101" s="65">
        <v>131.19999999999999</v>
      </c>
      <c r="F101" s="65">
        <v>131.19999999999999</v>
      </c>
      <c r="G101" s="65">
        <v>131.6</v>
      </c>
      <c r="H101" s="65">
        <v>130.5</v>
      </c>
      <c r="I101" s="65">
        <v>130.30000000000001</v>
      </c>
      <c r="J101" s="65">
        <v>130.30000000000001</v>
      </c>
      <c r="K101" s="65">
        <v>127.7</v>
      </c>
      <c r="L101" s="65">
        <v>126.3</v>
      </c>
      <c r="M101" s="65">
        <v>127.8</v>
      </c>
      <c r="N101" s="65">
        <v>127.8</v>
      </c>
      <c r="O101" s="65">
        <v>128.80000000000001</v>
      </c>
      <c r="P101" s="65">
        <v>128.25</v>
      </c>
      <c r="Q101" s="65">
        <v>127.4</v>
      </c>
      <c r="R101" s="65">
        <v>126.89</v>
      </c>
      <c r="S101" s="65">
        <v>127</v>
      </c>
      <c r="T101" s="65">
        <v>127.8</v>
      </c>
      <c r="U101" s="65">
        <v>127.8</v>
      </c>
      <c r="V101" s="65">
        <v>129</v>
      </c>
      <c r="W101" s="65">
        <v>129.19999999999999</v>
      </c>
      <c r="X101" s="65">
        <v>130.69999999999999</v>
      </c>
      <c r="Y101" s="65">
        <v>129.69999999999999</v>
      </c>
      <c r="Z101" s="65">
        <v>129.4</v>
      </c>
      <c r="AA101" s="65">
        <v>128.30000000000001</v>
      </c>
      <c r="AB101" s="65">
        <v>129.9</v>
      </c>
      <c r="AC101" s="65">
        <v>129.9</v>
      </c>
      <c r="AD101" s="65">
        <v>129.9</v>
      </c>
      <c r="AE101" s="65">
        <v>129.6</v>
      </c>
      <c r="AF101" s="65">
        <v>129.6</v>
      </c>
      <c r="AG101" s="104"/>
      <c r="AH101" s="47">
        <f t="shared" si="8"/>
        <v>131.6</v>
      </c>
      <c r="AI101" s="48">
        <f t="shared" si="9"/>
        <v>126.3</v>
      </c>
    </row>
    <row r="102" spans="1:37" x14ac:dyDescent="0.25">
      <c r="A102" s="103" t="s">
        <v>110</v>
      </c>
      <c r="B102" s="65">
        <v>131.1</v>
      </c>
      <c r="C102" s="65">
        <v>128.69999999999999</v>
      </c>
      <c r="D102" s="65">
        <v>128.69999999999999</v>
      </c>
      <c r="E102" s="65">
        <v>127.5</v>
      </c>
      <c r="F102" s="65">
        <v>127.5</v>
      </c>
      <c r="G102" s="65">
        <v>130.19999999999999</v>
      </c>
      <c r="H102" s="65">
        <v>131.6</v>
      </c>
      <c r="I102" s="65">
        <v>129.6</v>
      </c>
      <c r="J102" s="65">
        <v>129.6</v>
      </c>
      <c r="K102" s="65">
        <v>129.30000000000001</v>
      </c>
      <c r="L102" s="65">
        <v>125.3</v>
      </c>
      <c r="M102" s="65">
        <v>128.80000000000001</v>
      </c>
      <c r="N102" s="65">
        <v>128.80000000000001</v>
      </c>
      <c r="O102" s="65">
        <v>127.4</v>
      </c>
      <c r="P102" s="65">
        <v>126.4</v>
      </c>
      <c r="Q102" s="65">
        <v>128</v>
      </c>
      <c r="R102" s="65">
        <v>125.8</v>
      </c>
      <c r="S102" s="65">
        <v>125.8</v>
      </c>
      <c r="T102" s="65">
        <v>125.3</v>
      </c>
      <c r="U102" s="65">
        <v>125.3</v>
      </c>
      <c r="V102" s="65">
        <v>125.5</v>
      </c>
      <c r="W102" s="65">
        <v>130.6</v>
      </c>
      <c r="X102" s="65">
        <v>129.80000000000001</v>
      </c>
      <c r="Y102" s="65">
        <v>130</v>
      </c>
      <c r="Z102" s="65">
        <v>127.9</v>
      </c>
      <c r="AA102" s="65">
        <v>127.1</v>
      </c>
      <c r="AB102" s="65">
        <v>128.69999999999999</v>
      </c>
      <c r="AC102" s="65">
        <v>128.69999999999999</v>
      </c>
      <c r="AD102" s="65">
        <v>128.69999999999999</v>
      </c>
      <c r="AE102" s="65">
        <v>127</v>
      </c>
      <c r="AF102" s="65">
        <v>127</v>
      </c>
      <c r="AG102" s="104"/>
      <c r="AH102" s="47">
        <f t="shared" si="8"/>
        <v>131.6</v>
      </c>
      <c r="AI102" s="48">
        <f t="shared" si="9"/>
        <v>125.3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>
        <v>131.19999999999999</v>
      </c>
      <c r="C104" s="106">
        <v>131.30000000000001</v>
      </c>
      <c r="D104" s="106">
        <v>131.30000000000001</v>
      </c>
      <c r="E104" s="106">
        <v>130.1</v>
      </c>
      <c r="F104" s="106">
        <v>130.1</v>
      </c>
      <c r="G104" s="106">
        <v>132.19999999999999</v>
      </c>
      <c r="H104" s="106">
        <v>134.30000000000001</v>
      </c>
      <c r="I104" s="106">
        <v>134.5</v>
      </c>
      <c r="J104" s="106">
        <v>134.5</v>
      </c>
      <c r="K104" s="106">
        <v>131</v>
      </c>
      <c r="L104" s="106">
        <v>130.6</v>
      </c>
      <c r="M104" s="106">
        <v>132.80000000000001</v>
      </c>
      <c r="N104" s="106">
        <v>132.80000000000001</v>
      </c>
      <c r="O104" s="106">
        <v>134.5</v>
      </c>
      <c r="P104" s="106">
        <v>134</v>
      </c>
      <c r="Q104" s="106">
        <v>131.4</v>
      </c>
      <c r="R104" s="106">
        <v>121.6</v>
      </c>
      <c r="S104" s="106">
        <v>129.80000000000001</v>
      </c>
      <c r="T104" s="106">
        <v>131.1</v>
      </c>
      <c r="U104" s="106">
        <v>131.1</v>
      </c>
      <c r="V104" s="106">
        <v>132</v>
      </c>
      <c r="W104" s="106">
        <v>130.5</v>
      </c>
      <c r="X104" s="106">
        <v>135.1</v>
      </c>
      <c r="Y104" s="106">
        <v>134.69999999999999</v>
      </c>
      <c r="Z104" s="106">
        <v>132.19999999999999</v>
      </c>
      <c r="AA104" s="106">
        <v>131</v>
      </c>
      <c r="AB104" s="106">
        <v>135</v>
      </c>
      <c r="AC104" s="106">
        <v>135</v>
      </c>
      <c r="AD104" s="106">
        <v>135</v>
      </c>
      <c r="AE104" s="106">
        <v>130.69999999999999</v>
      </c>
      <c r="AF104" s="106">
        <v>130.69999999999999</v>
      </c>
      <c r="AG104" s="107"/>
      <c r="AH104" s="47">
        <f t="shared" si="8"/>
        <v>135.1</v>
      </c>
      <c r="AI104" s="48">
        <f t="shared" si="9"/>
        <v>121.6</v>
      </c>
    </row>
    <row r="105" spans="1:37" x14ac:dyDescent="0.25">
      <c r="A105" s="103" t="s">
        <v>113</v>
      </c>
      <c r="B105" s="65">
        <v>124.2</v>
      </c>
      <c r="C105" s="65">
        <v>126.1</v>
      </c>
      <c r="D105" s="65">
        <v>126.1</v>
      </c>
      <c r="E105" s="65">
        <v>120</v>
      </c>
      <c r="F105" s="65">
        <v>120</v>
      </c>
      <c r="G105" s="65">
        <v>125.9</v>
      </c>
      <c r="H105" s="65">
        <v>129.9</v>
      </c>
      <c r="I105" s="65">
        <v>127.6</v>
      </c>
      <c r="J105" s="65">
        <v>127.6</v>
      </c>
      <c r="K105" s="65">
        <v>129.5</v>
      </c>
      <c r="L105" s="65">
        <v>129.6</v>
      </c>
      <c r="M105" s="65">
        <v>128</v>
      </c>
      <c r="N105" s="65">
        <v>128</v>
      </c>
      <c r="O105" s="65">
        <v>131</v>
      </c>
      <c r="P105" s="65">
        <v>131.19999999999999</v>
      </c>
      <c r="Q105" s="65">
        <v>134.30000000000001</v>
      </c>
      <c r="R105" s="65">
        <v>129.5</v>
      </c>
      <c r="S105" s="65">
        <v>128.6</v>
      </c>
      <c r="T105" s="65">
        <v>129.6</v>
      </c>
      <c r="U105" s="65">
        <v>129.6</v>
      </c>
      <c r="V105" s="65">
        <v>131.1</v>
      </c>
      <c r="W105" s="65">
        <v>128.80000000000001</v>
      </c>
      <c r="X105" s="65">
        <v>136.6</v>
      </c>
      <c r="Y105" s="65">
        <v>136.6</v>
      </c>
      <c r="Z105" s="65">
        <v>133.5</v>
      </c>
      <c r="AA105" s="65">
        <v>128.69999999999999</v>
      </c>
      <c r="AB105" s="65">
        <v>125</v>
      </c>
      <c r="AC105" s="65">
        <v>125</v>
      </c>
      <c r="AD105" s="65">
        <v>125</v>
      </c>
      <c r="AE105" s="65">
        <v>128</v>
      </c>
      <c r="AF105" s="65">
        <v>128</v>
      </c>
      <c r="AG105" s="104"/>
      <c r="AH105" s="47">
        <f t="shared" si="8"/>
        <v>136.6</v>
      </c>
      <c r="AI105" s="48">
        <f t="shared" si="9"/>
        <v>120</v>
      </c>
    </row>
    <row r="106" spans="1:37" ht="15.75" thickBot="1" x14ac:dyDescent="0.3">
      <c r="A106" s="103" t="s">
        <v>114</v>
      </c>
      <c r="B106" s="92">
        <v>65.400000000000006</v>
      </c>
      <c r="C106" s="92">
        <v>65.5</v>
      </c>
      <c r="D106" s="92">
        <v>65.5</v>
      </c>
      <c r="E106" s="92">
        <v>65.900000000000006</v>
      </c>
      <c r="F106" s="92">
        <v>65.900000000000006</v>
      </c>
      <c r="G106" s="92">
        <v>66.099999999999994</v>
      </c>
      <c r="H106" s="92">
        <v>65.400000000000006</v>
      </c>
      <c r="I106" s="92">
        <v>65.2</v>
      </c>
      <c r="J106" s="92">
        <v>65.2</v>
      </c>
      <c r="K106" s="92">
        <v>63.4</v>
      </c>
      <c r="L106" s="92">
        <v>63.5</v>
      </c>
      <c r="M106" s="92">
        <v>63.999000000000002</v>
      </c>
      <c r="N106" s="92">
        <v>63.999000000000002</v>
      </c>
      <c r="O106" s="92">
        <v>64.7</v>
      </c>
      <c r="P106" s="92">
        <v>64.400000000000006</v>
      </c>
      <c r="Q106" s="92">
        <v>63.7</v>
      </c>
      <c r="R106" s="92">
        <v>63.3</v>
      </c>
      <c r="S106" s="92">
        <v>63.7</v>
      </c>
      <c r="T106" s="92">
        <v>63.9</v>
      </c>
      <c r="U106" s="92">
        <v>63.9</v>
      </c>
      <c r="V106" s="92">
        <v>64.7</v>
      </c>
      <c r="W106" s="92">
        <v>64.8</v>
      </c>
      <c r="X106" s="92">
        <v>65.7</v>
      </c>
      <c r="Y106" s="92">
        <v>64.7</v>
      </c>
      <c r="Z106" s="92">
        <v>64.400000000000006</v>
      </c>
      <c r="AA106" s="92">
        <v>63.8</v>
      </c>
      <c r="AB106" s="92">
        <v>65</v>
      </c>
      <c r="AC106" s="92">
        <v>65</v>
      </c>
      <c r="AD106" s="92">
        <v>65</v>
      </c>
      <c r="AE106" s="92">
        <v>64.900000000000006</v>
      </c>
      <c r="AF106" s="92">
        <v>64.900000000000006</v>
      </c>
      <c r="AG106" s="108"/>
      <c r="AH106" s="47">
        <f t="shared" si="8"/>
        <v>66.099999999999994</v>
      </c>
      <c r="AI106" s="48">
        <f t="shared" si="9"/>
        <v>63.3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f>SUM(B18,B24,B27:B28,B56,B58:B59,B61,B63,B109:B113,B135,B141,B147,B156,B158,B170,B177,B180:B181,B188,B190,B192,B196:B198,B200:B202,B207,B213:B214,B216:B218,B226,B231)</f>
        <v>109.7</v>
      </c>
      <c r="C108" s="111">
        <f t="shared" ref="C108:AF108" si="15">SUM(C18,C24,C27:C28,C56,C58:C59,C61,C63,C109:C113,C135,C141,C147,C156,C158,C170,C177,C180:C181,C188,C190,C192,C196:C198,C200:C202,C207,C213:C214,C216:C218,C226,C231)</f>
        <v>79.239999999999981</v>
      </c>
      <c r="D108" s="111">
        <f t="shared" si="15"/>
        <v>81.639999999999986</v>
      </c>
      <c r="E108" s="111">
        <f t="shared" si="15"/>
        <v>67.539999999999978</v>
      </c>
      <c r="F108" s="111">
        <f>SUM(F18,F24,F27:F28,F56,F58:F59,F61,F63,F109:F113,F135,F141,F147,F156,F158,F170,F177,F180:F181,F188,F190,F192,F196:F198,F200:F202,F207,F213:F214,F216:F218,F226,F231)</f>
        <v>67.539999999999978</v>
      </c>
      <c r="G108" s="111">
        <f>SUM(G18,G24,G27:G28,G56,G58:G59,G61,G63,G109:G113,G135,G141,G147,G156,G158,G170,G177,G180:G181,G188,G190,G192,G196:G198,G200:G202,G207,G213:G214,G216:G218,G226,G231)</f>
        <v>123.74</v>
      </c>
      <c r="H108" s="111">
        <f t="shared" si="15"/>
        <v>144.63999999999999</v>
      </c>
      <c r="I108" s="111">
        <f t="shared" si="15"/>
        <v>180.34</v>
      </c>
      <c r="J108" s="111">
        <f t="shared" si="15"/>
        <v>180.34</v>
      </c>
      <c r="K108" s="111">
        <f t="shared" si="15"/>
        <v>244.14</v>
      </c>
      <c r="L108" s="111">
        <f t="shared" si="15"/>
        <v>259.44</v>
      </c>
      <c r="M108" s="111">
        <f>SUM(M18,M24,M27:M28,M56,M58:M59,M61,M63,M109:M113,M135,M141,M147,M156,M158,M170,M177,M180:M181,M188,M190,M192,M196:M198,M200:M202,M207,M213:M214,M216:M218,M226,M231)</f>
        <v>258.54000000000002</v>
      </c>
      <c r="N108" s="111">
        <f>SUM(N18,N24,N27:N28,N56,N58:N59,N61,N63,N109:N113,N135,N141,N147,N156,N158,N170,N177,N180:N181,N188,N190,N192,N196:N198,N200:N202,N207,N213:N214,N216:N218,N226,N231)</f>
        <v>258.14000000000004</v>
      </c>
      <c r="O108" s="111">
        <f t="shared" si="15"/>
        <v>222.03999999999996</v>
      </c>
      <c r="P108" s="111">
        <v>42</v>
      </c>
      <c r="Q108" s="111">
        <f t="shared" si="15"/>
        <v>236.50000000000003</v>
      </c>
      <c r="R108" s="111">
        <f t="shared" si="15"/>
        <v>215.89999999999998</v>
      </c>
      <c r="S108" s="111">
        <f t="shared" si="15"/>
        <v>236.3</v>
      </c>
      <c r="T108" s="111">
        <f t="shared" si="15"/>
        <v>233.1</v>
      </c>
      <c r="U108" s="111">
        <f t="shared" si="15"/>
        <v>229.1</v>
      </c>
      <c r="V108" s="111">
        <f t="shared" si="15"/>
        <v>247.3</v>
      </c>
      <c r="W108" s="111">
        <f t="shared" si="15"/>
        <v>238.7</v>
      </c>
      <c r="X108" s="111">
        <f t="shared" si="15"/>
        <v>242.39999999999998</v>
      </c>
      <c r="Y108" s="111">
        <f t="shared" si="15"/>
        <v>275.60000000000002</v>
      </c>
      <c r="Z108" s="111">
        <f t="shared" si="15"/>
        <v>297.89999999999998</v>
      </c>
      <c r="AA108" s="111">
        <f t="shared" si="15"/>
        <v>323</v>
      </c>
      <c r="AB108" s="111">
        <f t="shared" si="15"/>
        <v>289.39999999999998</v>
      </c>
      <c r="AC108" s="111">
        <f t="shared" si="15"/>
        <v>289.39999999999998</v>
      </c>
      <c r="AD108" s="111">
        <f t="shared" si="15"/>
        <v>205.59999999999997</v>
      </c>
      <c r="AE108" s="111">
        <f t="shared" si="15"/>
        <v>197.79999999999998</v>
      </c>
      <c r="AF108" s="111">
        <f t="shared" si="15"/>
        <v>116.79999999999997</v>
      </c>
      <c r="AG108" s="112"/>
      <c r="AH108" s="47">
        <f t="shared" si="8"/>
        <v>323</v>
      </c>
      <c r="AI108" s="48">
        <f t="shared" si="9"/>
        <v>42</v>
      </c>
    </row>
    <row r="109" spans="1:37" x14ac:dyDescent="0.25">
      <c r="A109" s="100"/>
      <c r="B109" s="113">
        <v>17.8</v>
      </c>
      <c r="C109" s="113">
        <v>-11.4</v>
      </c>
      <c r="D109" s="113">
        <v>-2.5</v>
      </c>
      <c r="E109" s="113">
        <v>-5.4</v>
      </c>
      <c r="F109" s="113">
        <v>-5.4</v>
      </c>
      <c r="G109" s="113">
        <v>-6.4</v>
      </c>
      <c r="H109" s="113">
        <v>-1.4</v>
      </c>
      <c r="I109" s="113">
        <v>-1.9</v>
      </c>
      <c r="J109" s="113">
        <v>-1.9</v>
      </c>
      <c r="K109" s="113">
        <v>15.6</v>
      </c>
      <c r="L109" s="113">
        <v>18</v>
      </c>
      <c r="M109" s="113">
        <v>16.100000000000001</v>
      </c>
      <c r="N109" s="113">
        <v>16.100000000000001</v>
      </c>
      <c r="O109" s="113">
        <v>23.2</v>
      </c>
      <c r="P109" s="113">
        <v>19.5</v>
      </c>
      <c r="Q109" s="113">
        <v>17</v>
      </c>
      <c r="R109" s="113">
        <v>15.2</v>
      </c>
      <c r="S109" s="113">
        <v>16.5</v>
      </c>
      <c r="T109" s="113">
        <v>13.2</v>
      </c>
      <c r="U109" s="113">
        <v>13.2</v>
      </c>
      <c r="V109" s="113">
        <v>25.8</v>
      </c>
      <c r="W109" s="113">
        <v>29.4</v>
      </c>
      <c r="X109" s="113">
        <v>24</v>
      </c>
      <c r="Y109" s="113">
        <v>27.6</v>
      </c>
      <c r="Z109" s="113">
        <v>34.6</v>
      </c>
      <c r="AA109" s="113">
        <v>36.6</v>
      </c>
      <c r="AB109" s="113">
        <v>36.799999999999997</v>
      </c>
      <c r="AC109" s="113">
        <v>36.799999999999997</v>
      </c>
      <c r="AD109" s="113">
        <v>24</v>
      </c>
      <c r="AE109" s="113">
        <v>20.399999999999999</v>
      </c>
      <c r="AF109" s="113">
        <v>7.7</v>
      </c>
      <c r="AG109" s="114">
        <v>75</v>
      </c>
      <c r="AH109" s="47">
        <f t="shared" si="8"/>
        <v>36.799999999999997</v>
      </c>
      <c r="AI109" s="48">
        <f t="shared" si="9"/>
        <v>-11.4</v>
      </c>
    </row>
    <row r="110" spans="1:37" x14ac:dyDescent="0.25">
      <c r="A110" s="103" t="s">
        <v>118</v>
      </c>
      <c r="B110" s="115">
        <v>30.5</v>
      </c>
      <c r="C110" s="115">
        <v>-4.3</v>
      </c>
      <c r="D110" s="115">
        <v>7.3</v>
      </c>
      <c r="E110" s="115">
        <v>3.1</v>
      </c>
      <c r="F110" s="115">
        <v>3.1</v>
      </c>
      <c r="G110" s="115">
        <v>1.4</v>
      </c>
      <c r="H110" s="115">
        <v>5.8</v>
      </c>
      <c r="I110" s="115">
        <v>5.9</v>
      </c>
      <c r="J110" s="115">
        <v>5.9</v>
      </c>
      <c r="K110" s="115">
        <v>29.9</v>
      </c>
      <c r="L110" s="115">
        <v>33.299999999999997</v>
      </c>
      <c r="M110" s="115">
        <v>27.8</v>
      </c>
      <c r="N110" s="115">
        <v>27.8</v>
      </c>
      <c r="O110" s="115">
        <v>33.299999999999997</v>
      </c>
      <c r="P110" s="115">
        <v>28.2</v>
      </c>
      <c r="Q110" s="115">
        <v>25.9</v>
      </c>
      <c r="R110" s="115">
        <v>23.9</v>
      </c>
      <c r="S110" s="115">
        <v>27.3</v>
      </c>
      <c r="T110" s="115">
        <v>22.8</v>
      </c>
      <c r="U110" s="115">
        <v>22.8</v>
      </c>
      <c r="V110" s="115">
        <v>37.4</v>
      </c>
      <c r="W110" s="115">
        <v>42.7</v>
      </c>
      <c r="X110" s="115">
        <v>33.299999999999997</v>
      </c>
      <c r="Y110" s="115">
        <v>39</v>
      </c>
      <c r="Z110" s="115">
        <v>49</v>
      </c>
      <c r="AA110" s="115">
        <v>50.2</v>
      </c>
      <c r="AB110" s="115">
        <v>52.2</v>
      </c>
      <c r="AC110" s="115">
        <v>52.2</v>
      </c>
      <c r="AD110" s="115">
        <v>38</v>
      </c>
      <c r="AE110" s="115">
        <v>35.299999999999997</v>
      </c>
      <c r="AF110" s="115">
        <v>22.4</v>
      </c>
      <c r="AG110" s="114">
        <v>240</v>
      </c>
      <c r="AH110" s="47">
        <f t="shared" si="8"/>
        <v>52.2</v>
      </c>
      <c r="AI110" s="48">
        <f t="shared" si="9"/>
        <v>-4.3</v>
      </c>
    </row>
    <row r="111" spans="1:37" x14ac:dyDescent="0.25">
      <c r="A111" s="103" t="s">
        <v>119</v>
      </c>
      <c r="B111" s="115">
        <v>-47.6</v>
      </c>
      <c r="C111" s="115">
        <v>-82.4</v>
      </c>
      <c r="D111" s="115">
        <v>-80.5</v>
      </c>
      <c r="E111" s="115">
        <v>-89.2</v>
      </c>
      <c r="F111" s="115">
        <v>-89.2</v>
      </c>
      <c r="G111" s="115">
        <v>-62.4</v>
      </c>
      <c r="H111" s="115">
        <v>-55.6</v>
      </c>
      <c r="I111" s="115">
        <v>-41.5</v>
      </c>
      <c r="J111" s="115">
        <v>-41.5</v>
      </c>
      <c r="K111" s="115">
        <v>-27.8</v>
      </c>
      <c r="L111" s="115">
        <v>-32</v>
      </c>
      <c r="M111" s="115">
        <v>-29.6</v>
      </c>
      <c r="N111" s="115">
        <v>-29.6</v>
      </c>
      <c r="O111" s="115">
        <f>-42.5-26.7</f>
        <v>-69.2</v>
      </c>
      <c r="P111" s="115">
        <f>-36.9-24.9</f>
        <v>-61.8</v>
      </c>
      <c r="Q111" s="115">
        <f>-23.6-27.4</f>
        <v>-51</v>
      </c>
      <c r="R111" s="115">
        <f>-41.2-28.1</f>
        <v>-69.300000000000011</v>
      </c>
      <c r="S111" s="115">
        <v>-50</v>
      </c>
      <c r="T111" s="115">
        <v>-49</v>
      </c>
      <c r="U111" s="115">
        <v>-49</v>
      </c>
      <c r="V111" s="115">
        <v>-41</v>
      </c>
      <c r="W111" s="115">
        <v>-45</v>
      </c>
      <c r="X111" s="115">
        <v>-36</v>
      </c>
      <c r="Y111" s="115">
        <v>-24</v>
      </c>
      <c r="Z111" s="115">
        <v>-25</v>
      </c>
      <c r="AA111" s="115">
        <v>0</v>
      </c>
      <c r="AB111" s="115">
        <v>-28</v>
      </c>
      <c r="AC111" s="115">
        <v>-28</v>
      </c>
      <c r="AD111" s="115">
        <v>-62</v>
      </c>
      <c r="AE111" s="115">
        <v>-46</v>
      </c>
      <c r="AF111" s="115">
        <v>-96.2</v>
      </c>
      <c r="AG111" s="114">
        <v>240</v>
      </c>
      <c r="AH111" s="47">
        <f t="shared" si="8"/>
        <v>0</v>
      </c>
      <c r="AI111" s="48">
        <f t="shared" si="9"/>
        <v>-96.2</v>
      </c>
    </row>
    <row r="112" spans="1:37" x14ac:dyDescent="0.25">
      <c r="A112" s="103" t="s">
        <v>120</v>
      </c>
      <c r="B112" s="115">
        <v>-11.3</v>
      </c>
      <c r="C112" s="115">
        <v>-5</v>
      </c>
      <c r="D112" s="115">
        <v>-4</v>
      </c>
      <c r="E112" s="115">
        <v>-3.8</v>
      </c>
      <c r="F112" s="115">
        <v>-3.8</v>
      </c>
      <c r="G112" s="115">
        <v>1.9</v>
      </c>
      <c r="H112" s="115">
        <v>4</v>
      </c>
      <c r="I112" s="115">
        <v>6.2</v>
      </c>
      <c r="J112" s="115">
        <v>6.2</v>
      </c>
      <c r="K112" s="115">
        <v>9.3000000000000007</v>
      </c>
      <c r="L112" s="115">
        <v>11.6</v>
      </c>
      <c r="M112" s="115">
        <v>5.3</v>
      </c>
      <c r="N112" s="115">
        <v>5.3</v>
      </c>
      <c r="O112" s="115">
        <v>12.9</v>
      </c>
      <c r="P112" s="115">
        <v>11.6</v>
      </c>
      <c r="Q112" s="115">
        <v>12.8</v>
      </c>
      <c r="R112" s="115">
        <v>20.399999999999999</v>
      </c>
      <c r="S112" s="115">
        <v>22.3</v>
      </c>
      <c r="T112" s="115">
        <v>20</v>
      </c>
      <c r="U112" s="115">
        <v>20</v>
      </c>
      <c r="V112" s="115">
        <v>13</v>
      </c>
      <c r="W112" s="115">
        <v>11</v>
      </c>
      <c r="X112" s="115">
        <v>16</v>
      </c>
      <c r="Y112" s="115">
        <v>21</v>
      </c>
      <c r="Z112" s="115">
        <v>31</v>
      </c>
      <c r="AA112" s="115">
        <v>35.200000000000003</v>
      </c>
      <c r="AB112" s="115">
        <v>25.9</v>
      </c>
      <c r="AC112" s="115">
        <v>25.9</v>
      </c>
      <c r="AD112" s="115">
        <v>12.6</v>
      </c>
      <c r="AE112" s="115">
        <v>3.2</v>
      </c>
      <c r="AF112" s="115">
        <v>-3.2</v>
      </c>
      <c r="AG112" s="114">
        <v>60</v>
      </c>
      <c r="AH112" s="47">
        <f t="shared" si="8"/>
        <v>35.200000000000003</v>
      </c>
      <c r="AI112" s="48">
        <f t="shared" si="9"/>
        <v>-11.3</v>
      </c>
    </row>
    <row r="113" spans="1:37" x14ac:dyDescent="0.25">
      <c r="A113" s="116" t="s">
        <v>121</v>
      </c>
      <c r="B113" s="117">
        <v>5.4</v>
      </c>
      <c r="C113" s="117">
        <v>66.5</v>
      </c>
      <c r="D113" s="117">
        <v>45.5</v>
      </c>
      <c r="E113" s="117">
        <v>47</v>
      </c>
      <c r="F113" s="117">
        <v>47</v>
      </c>
      <c r="G113" s="117">
        <v>72.7</v>
      </c>
      <c r="H113" s="117">
        <v>74.8</v>
      </c>
      <c r="I113" s="117">
        <v>89.2</v>
      </c>
      <c r="J113" s="117">
        <v>89.2</v>
      </c>
      <c r="K113" s="117">
        <v>95</v>
      </c>
      <c r="L113" s="117">
        <v>106.4</v>
      </c>
      <c r="M113" s="117">
        <v>109.4</v>
      </c>
      <c r="N113" s="117">
        <v>109.4</v>
      </c>
      <c r="O113" s="117">
        <v>84.5</v>
      </c>
      <c r="P113" s="117">
        <v>94.1</v>
      </c>
      <c r="Q113" s="117">
        <v>99.9</v>
      </c>
      <c r="R113" s="117">
        <v>94.1</v>
      </c>
      <c r="S113" s="117">
        <v>95.2</v>
      </c>
      <c r="T113" s="117">
        <v>100</v>
      </c>
      <c r="U113" s="117">
        <v>100</v>
      </c>
      <c r="V113" s="117">
        <v>92</v>
      </c>
      <c r="W113" s="117">
        <v>85.2</v>
      </c>
      <c r="X113" s="117">
        <v>91</v>
      </c>
      <c r="Y113" s="117">
        <v>98</v>
      </c>
      <c r="Z113" s="117">
        <v>94.3</v>
      </c>
      <c r="AA113" s="117">
        <v>87</v>
      </c>
      <c r="AB113" s="117">
        <v>89.9</v>
      </c>
      <c r="AC113" s="117">
        <v>89.9</v>
      </c>
      <c r="AD113" s="117">
        <v>78.2</v>
      </c>
      <c r="AE113" s="117">
        <v>68.599999999999994</v>
      </c>
      <c r="AF113" s="117">
        <v>69.8</v>
      </c>
      <c r="AG113" s="118">
        <v>120</v>
      </c>
      <c r="AH113" s="47">
        <f t="shared" si="8"/>
        <v>109.4</v>
      </c>
      <c r="AI113" s="48">
        <f t="shared" si="9"/>
        <v>5.4</v>
      </c>
    </row>
    <row r="114" spans="1:37" x14ac:dyDescent="0.25">
      <c r="A114" s="116" t="s">
        <v>122</v>
      </c>
      <c r="B114" s="117">
        <v>87</v>
      </c>
      <c r="C114" s="117">
        <v>91.3</v>
      </c>
      <c r="D114" s="117">
        <v>48.7</v>
      </c>
      <c r="E114" s="117">
        <v>72.7</v>
      </c>
      <c r="F114" s="117">
        <v>72.7</v>
      </c>
      <c r="G114" s="117">
        <v>86.2</v>
      </c>
      <c r="H114" s="117">
        <v>82.5</v>
      </c>
      <c r="I114" s="117">
        <v>90.2</v>
      </c>
      <c r="J114" s="117">
        <v>90.2</v>
      </c>
      <c r="K114" s="117">
        <v>90.89</v>
      </c>
      <c r="L114" s="117">
        <v>100</v>
      </c>
      <c r="M114" s="117">
        <v>98</v>
      </c>
      <c r="N114" s="117">
        <v>98</v>
      </c>
      <c r="O114" s="117">
        <v>101</v>
      </c>
      <c r="P114" s="117">
        <v>101.1</v>
      </c>
      <c r="Q114" s="117">
        <v>106</v>
      </c>
      <c r="R114" s="117">
        <v>100</v>
      </c>
      <c r="S114" s="117">
        <v>95</v>
      </c>
      <c r="T114" s="117">
        <v>89</v>
      </c>
      <c r="U114" s="117">
        <v>89</v>
      </c>
      <c r="V114" s="117">
        <v>92</v>
      </c>
      <c r="W114" s="117">
        <v>90</v>
      </c>
      <c r="X114" s="117">
        <v>92</v>
      </c>
      <c r="Y114" s="117">
        <v>91</v>
      </c>
      <c r="Z114" s="117">
        <v>81</v>
      </c>
      <c r="AA114" s="117">
        <v>90</v>
      </c>
      <c r="AB114" s="117">
        <v>82.5</v>
      </c>
      <c r="AC114" s="117">
        <v>82.5</v>
      </c>
      <c r="AD114" s="117">
        <v>89.7</v>
      </c>
      <c r="AE114" s="117">
        <v>87.8</v>
      </c>
      <c r="AF114" s="117">
        <v>91</v>
      </c>
      <c r="AG114" s="118"/>
      <c r="AH114" s="47">
        <f t="shared" si="8"/>
        <v>106</v>
      </c>
      <c r="AI114" s="48">
        <f t="shared" si="9"/>
        <v>48.7</v>
      </c>
    </row>
    <row r="115" spans="1:37" x14ac:dyDescent="0.25">
      <c r="A115" s="116" t="s">
        <v>123</v>
      </c>
      <c r="B115" s="117">
        <v>80.900000000000006</v>
      </c>
      <c r="C115" s="117">
        <v>90.3</v>
      </c>
      <c r="D115" s="117">
        <v>91</v>
      </c>
      <c r="E115" s="117">
        <v>91.2</v>
      </c>
      <c r="F115" s="117">
        <v>91.2</v>
      </c>
      <c r="G115" s="117">
        <v>91.2</v>
      </c>
      <c r="H115" s="117">
        <v>90.4</v>
      </c>
      <c r="I115" s="117">
        <v>88.3</v>
      </c>
      <c r="J115" s="117">
        <v>88.3</v>
      </c>
      <c r="K115" s="117">
        <v>79.3</v>
      </c>
      <c r="L115" s="117">
        <v>81.900000000000006</v>
      </c>
      <c r="M115" s="117">
        <v>70.3</v>
      </c>
      <c r="N115" s="117">
        <v>73</v>
      </c>
      <c r="O115" s="117">
        <v>68</v>
      </c>
      <c r="P115" s="117">
        <v>71.7</v>
      </c>
      <c r="Q115" s="117"/>
      <c r="R115" s="117"/>
      <c r="S115" s="117">
        <v>65.8</v>
      </c>
      <c r="T115" s="117">
        <v>76.3</v>
      </c>
      <c r="U115" s="117">
        <v>76.3</v>
      </c>
      <c r="V115" s="117">
        <v>50</v>
      </c>
      <c r="W115" s="117">
        <v>36</v>
      </c>
      <c r="X115" s="117">
        <v>35</v>
      </c>
      <c r="Y115" s="117">
        <v>42</v>
      </c>
      <c r="Z115" s="117">
        <v>25</v>
      </c>
      <c r="AA115" s="117">
        <v>38</v>
      </c>
      <c r="AB115" s="117">
        <v>29.6</v>
      </c>
      <c r="AC115" s="117">
        <v>29.6</v>
      </c>
      <c r="AD115" s="117">
        <v>34.5</v>
      </c>
      <c r="AE115" s="117">
        <v>37.6</v>
      </c>
      <c r="AF115" s="117">
        <v>52.7</v>
      </c>
      <c r="AG115" s="119"/>
      <c r="AH115" s="47">
        <f t="shared" si="8"/>
        <v>91.2</v>
      </c>
      <c r="AI115" s="48">
        <f t="shared" si="9"/>
        <v>25</v>
      </c>
    </row>
    <row r="116" spans="1:37" x14ac:dyDescent="0.25">
      <c r="A116" s="120" t="s">
        <v>124</v>
      </c>
      <c r="B116" s="106">
        <v>50</v>
      </c>
      <c r="C116" s="106">
        <v>40.6</v>
      </c>
      <c r="D116" s="106">
        <v>77.2</v>
      </c>
      <c r="E116" s="106">
        <v>44.1</v>
      </c>
      <c r="F116" s="106">
        <v>44.1</v>
      </c>
      <c r="G116" s="106">
        <v>66.7</v>
      </c>
      <c r="H116" s="106">
        <v>67</v>
      </c>
      <c r="I116" s="106">
        <v>57.2</v>
      </c>
      <c r="J116" s="106">
        <v>57.2</v>
      </c>
      <c r="K116" s="106">
        <v>21.3</v>
      </c>
      <c r="L116" s="106">
        <v>13.1</v>
      </c>
      <c r="M116" s="106">
        <v>29.7</v>
      </c>
      <c r="N116" s="106">
        <v>29.7</v>
      </c>
      <c r="O116" s="106">
        <v>35</v>
      </c>
      <c r="P116" s="106">
        <v>32</v>
      </c>
      <c r="Q116" s="106">
        <v>19.899999999999999</v>
      </c>
      <c r="R116" s="106">
        <v>25.5</v>
      </c>
      <c r="S116" s="106">
        <v>27.4</v>
      </c>
      <c r="T116" s="106">
        <v>18</v>
      </c>
      <c r="U116" s="106">
        <v>18</v>
      </c>
      <c r="V116" s="106">
        <v>-8</v>
      </c>
      <c r="W116" s="106">
        <v>11</v>
      </c>
      <c r="X116" s="106">
        <v>6.2</v>
      </c>
      <c r="Y116" s="106">
        <v>5</v>
      </c>
      <c r="Z116" s="106">
        <v>-3.1</v>
      </c>
      <c r="AA116" s="106">
        <v>-2</v>
      </c>
      <c r="AB116" s="106">
        <v>-1.7</v>
      </c>
      <c r="AC116" s="106">
        <v>-1.7</v>
      </c>
      <c r="AD116" s="106">
        <v>-2</v>
      </c>
      <c r="AE116" s="106">
        <v>12.1</v>
      </c>
      <c r="AF116" s="106">
        <v>12.7</v>
      </c>
      <c r="AG116" s="119"/>
      <c r="AH116" s="47">
        <f t="shared" si="8"/>
        <v>77.2</v>
      </c>
      <c r="AI116" s="48">
        <f t="shared" si="9"/>
        <v>-8</v>
      </c>
    </row>
    <row r="117" spans="1:37" ht="15.75" thickBot="1" x14ac:dyDescent="0.3">
      <c r="A117" s="120" t="s">
        <v>125</v>
      </c>
      <c r="B117" s="106">
        <v>36.6</v>
      </c>
      <c r="C117" s="106">
        <v>37</v>
      </c>
      <c r="D117" s="106">
        <v>29.8</v>
      </c>
      <c r="E117" s="106">
        <v>30.4</v>
      </c>
      <c r="F117" s="106">
        <v>30.4</v>
      </c>
      <c r="G117" s="106">
        <v>25.4</v>
      </c>
      <c r="H117" s="106">
        <v>20.5</v>
      </c>
      <c r="I117" s="106">
        <v>28.5</v>
      </c>
      <c r="J117" s="106">
        <v>28.5</v>
      </c>
      <c r="K117" s="106">
        <v>53.9</v>
      </c>
      <c r="L117" s="106">
        <v>66.099999999999994</v>
      </c>
      <c r="M117" s="106">
        <v>62</v>
      </c>
      <c r="N117" s="106">
        <v>62</v>
      </c>
      <c r="O117" s="106">
        <v>80</v>
      </c>
      <c r="P117" s="106">
        <v>65.5</v>
      </c>
      <c r="Q117" s="106">
        <v>65.5</v>
      </c>
      <c r="R117" s="106">
        <v>70</v>
      </c>
      <c r="S117" s="106">
        <v>73</v>
      </c>
      <c r="T117" s="106">
        <v>75</v>
      </c>
      <c r="U117" s="106">
        <v>75</v>
      </c>
      <c r="V117" s="106">
        <v>83</v>
      </c>
      <c r="W117" s="106">
        <v>73</v>
      </c>
      <c r="X117" s="106">
        <v>71</v>
      </c>
      <c r="Y117" s="106">
        <v>72</v>
      </c>
      <c r="Z117" s="106">
        <v>89</v>
      </c>
      <c r="AA117" s="106">
        <v>94</v>
      </c>
      <c r="AB117" s="106">
        <v>91.5</v>
      </c>
      <c r="AC117" s="106">
        <v>91.5</v>
      </c>
      <c r="AD117" s="106">
        <v>92</v>
      </c>
      <c r="AE117" s="106">
        <v>93.3</v>
      </c>
      <c r="AF117" s="106">
        <v>87.3</v>
      </c>
      <c r="AG117" s="119"/>
      <c r="AH117" s="47">
        <f t="shared" si="8"/>
        <v>94</v>
      </c>
      <c r="AI117" s="48">
        <f t="shared" si="9"/>
        <v>20.5</v>
      </c>
    </row>
    <row r="118" spans="1:37" ht="15.75" thickBot="1" x14ac:dyDescent="0.3">
      <c r="A118" s="121" t="s">
        <v>126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230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231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232</v>
      </c>
      <c r="B224" s="135">
        <f t="shared" ref="B224:AG224" si="16">SUM(B119:B223)</f>
        <v>0</v>
      </c>
      <c r="C224" s="136">
        <f t="shared" si="16"/>
        <v>0</v>
      </c>
      <c r="D224" s="136">
        <f t="shared" si="16"/>
        <v>0</v>
      </c>
      <c r="E224" s="136">
        <f t="shared" si="16"/>
        <v>0</v>
      </c>
      <c r="F224" s="136">
        <f t="shared" si="16"/>
        <v>0</v>
      </c>
      <c r="G224" s="136">
        <f t="shared" si="16"/>
        <v>0</v>
      </c>
      <c r="H224" s="136">
        <f t="shared" si="16"/>
        <v>0</v>
      </c>
      <c r="I224" s="136">
        <f t="shared" si="16"/>
        <v>0</v>
      </c>
      <c r="J224" s="136">
        <f t="shared" si="16"/>
        <v>0</v>
      </c>
      <c r="K224" s="136">
        <f t="shared" si="16"/>
        <v>0</v>
      </c>
      <c r="L224" s="136">
        <f t="shared" si="16"/>
        <v>0</v>
      </c>
      <c r="M224" s="136">
        <f t="shared" si="16"/>
        <v>0</v>
      </c>
      <c r="N224" s="136">
        <f t="shared" si="16"/>
        <v>0</v>
      </c>
      <c r="O224" s="136">
        <f t="shared" si="16"/>
        <v>0</v>
      </c>
      <c r="P224" s="136">
        <f t="shared" si="16"/>
        <v>0</v>
      </c>
      <c r="Q224" s="136">
        <f t="shared" si="16"/>
        <v>0</v>
      </c>
      <c r="R224" s="136">
        <f t="shared" si="16"/>
        <v>0</v>
      </c>
      <c r="S224" s="136">
        <f t="shared" si="16"/>
        <v>0</v>
      </c>
      <c r="T224" s="136">
        <f t="shared" si="16"/>
        <v>0</v>
      </c>
      <c r="U224" s="136">
        <f t="shared" si="16"/>
        <v>0</v>
      </c>
      <c r="V224" s="136">
        <f t="shared" si="16"/>
        <v>0</v>
      </c>
      <c r="W224" s="136">
        <f t="shared" si="16"/>
        <v>0</v>
      </c>
      <c r="X224" s="136">
        <f t="shared" si="16"/>
        <v>0</v>
      </c>
      <c r="Y224" s="136">
        <f t="shared" si="16"/>
        <v>0</v>
      </c>
      <c r="Z224" s="136">
        <f t="shared" si="16"/>
        <v>0</v>
      </c>
      <c r="AA224" s="136">
        <f t="shared" si="16"/>
        <v>0</v>
      </c>
      <c r="AB224" s="136">
        <f t="shared" si="16"/>
        <v>0</v>
      </c>
      <c r="AC224" s="136">
        <f t="shared" si="16"/>
        <v>0</v>
      </c>
      <c r="AD224" s="136">
        <f t="shared" si="16"/>
        <v>0</v>
      </c>
      <c r="AE224" s="136">
        <f t="shared" si="16"/>
        <v>0</v>
      </c>
      <c r="AF224" s="137">
        <f t="shared" si="16"/>
        <v>0</v>
      </c>
      <c r="AG224" s="138">
        <f t="shared" si="16"/>
        <v>412.72299999999984</v>
      </c>
      <c r="AH224" s="47"/>
      <c r="AI224" s="48"/>
      <c r="AK224" s="49"/>
    </row>
    <row r="225" spans="1:37" ht="15.75" thickBot="1" x14ac:dyDescent="0.3">
      <c r="A225" s="26" t="s">
        <v>73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233</v>
      </c>
      <c r="B226" s="140">
        <f t="shared" ref="B226:B231" si="17">AF226</f>
        <v>0</v>
      </c>
      <c r="C226" s="140">
        <v>0.3</v>
      </c>
      <c r="D226" s="140">
        <f t="shared" ref="D226:P231" si="18">C226</f>
        <v>0.3</v>
      </c>
      <c r="E226" s="140">
        <f t="shared" si="18"/>
        <v>0.3</v>
      </c>
      <c r="F226" s="140">
        <f t="shared" si="18"/>
        <v>0.3</v>
      </c>
      <c r="G226" s="140">
        <f t="shared" si="18"/>
        <v>0.3</v>
      </c>
      <c r="H226" s="140">
        <f t="shared" si="18"/>
        <v>0.3</v>
      </c>
      <c r="I226" s="140">
        <f t="shared" si="18"/>
        <v>0.3</v>
      </c>
      <c r="J226" s="140">
        <f t="shared" si="18"/>
        <v>0.3</v>
      </c>
      <c r="K226" s="140">
        <f t="shared" si="18"/>
        <v>0.3</v>
      </c>
      <c r="L226" s="140">
        <f t="shared" si="18"/>
        <v>0.3</v>
      </c>
      <c r="M226" s="140">
        <f t="shared" si="18"/>
        <v>0.3</v>
      </c>
      <c r="N226" s="140">
        <f t="shared" si="18"/>
        <v>0.3</v>
      </c>
      <c r="O226" s="140">
        <f t="shared" si="18"/>
        <v>0.3</v>
      </c>
      <c r="P226" s="140">
        <f t="shared" si="18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234</v>
      </c>
      <c r="B227" s="128">
        <f t="shared" si="17"/>
        <v>0</v>
      </c>
      <c r="C227" s="128">
        <v>0.4</v>
      </c>
      <c r="D227" s="128">
        <f t="shared" si="18"/>
        <v>0.4</v>
      </c>
      <c r="E227" s="128">
        <f t="shared" si="18"/>
        <v>0.4</v>
      </c>
      <c r="F227" s="128">
        <f t="shared" si="18"/>
        <v>0.4</v>
      </c>
      <c r="G227" s="128">
        <f t="shared" si="18"/>
        <v>0.4</v>
      </c>
      <c r="H227" s="128">
        <f t="shared" si="18"/>
        <v>0.4</v>
      </c>
      <c r="I227" s="128">
        <f t="shared" si="18"/>
        <v>0.4</v>
      </c>
      <c r="J227" s="128">
        <f t="shared" si="18"/>
        <v>0.4</v>
      </c>
      <c r="K227" s="128">
        <f t="shared" si="18"/>
        <v>0.4</v>
      </c>
      <c r="L227" s="128">
        <f t="shared" si="18"/>
        <v>0.4</v>
      </c>
      <c r="M227" s="128">
        <f t="shared" si="18"/>
        <v>0.4</v>
      </c>
      <c r="N227" s="128">
        <f t="shared" si="18"/>
        <v>0.4</v>
      </c>
      <c r="O227" s="128">
        <f t="shared" si="18"/>
        <v>0.4</v>
      </c>
      <c r="P227" s="128">
        <f t="shared" si="18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235</v>
      </c>
      <c r="B228" s="128">
        <f t="shared" si="17"/>
        <v>0</v>
      </c>
      <c r="C228" s="128">
        <v>1.5</v>
      </c>
      <c r="D228" s="128">
        <f t="shared" si="18"/>
        <v>1.5</v>
      </c>
      <c r="E228" s="128">
        <f t="shared" si="18"/>
        <v>1.5</v>
      </c>
      <c r="F228" s="128">
        <f t="shared" si="18"/>
        <v>1.5</v>
      </c>
      <c r="G228" s="128">
        <f t="shared" si="18"/>
        <v>1.5</v>
      </c>
      <c r="H228" s="128">
        <f t="shared" si="18"/>
        <v>1.5</v>
      </c>
      <c r="I228" s="111">
        <f ca="1">SUM(I140,I146,I149:I150,I176,I178:I179,I181,I183,I229:I233,I255,I261,I267,I276,I278,I290,I297,I300:I301,I308,I310,I312,I316:I318,I320:I322,I327,I333:I334,I336:I338,I346,I351)</f>
        <v>123.21900000000009</v>
      </c>
      <c r="J228" s="128">
        <f t="shared" ca="1" si="18"/>
        <v>123.21900000000009</v>
      </c>
      <c r="K228" s="128">
        <f t="shared" ca="1" si="18"/>
        <v>123.21900000000009</v>
      </c>
      <c r="L228" s="128">
        <f t="shared" ca="1" si="18"/>
        <v>123.21900000000009</v>
      </c>
      <c r="M228" s="128">
        <f t="shared" ca="1" si="18"/>
        <v>115.17900000000007</v>
      </c>
      <c r="N228" s="128">
        <f t="shared" ca="1" si="18"/>
        <v>115.17900000000007</v>
      </c>
      <c r="O228" s="128">
        <f t="shared" ca="1" si="18"/>
        <v>115.17900000000007</v>
      </c>
      <c r="P228" s="128">
        <f t="shared" ca="1" si="18"/>
        <v>115.17900000000007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236</v>
      </c>
      <c r="B229" s="128">
        <f t="shared" si="17"/>
        <v>0</v>
      </c>
      <c r="C229" s="128">
        <v>0.3</v>
      </c>
      <c r="D229" s="128">
        <f t="shared" si="18"/>
        <v>0.3</v>
      </c>
      <c r="E229" s="128">
        <f t="shared" si="18"/>
        <v>0.3</v>
      </c>
      <c r="F229" s="128">
        <f t="shared" si="18"/>
        <v>0.3</v>
      </c>
      <c r="G229" s="128">
        <f t="shared" si="18"/>
        <v>0.3</v>
      </c>
      <c r="H229" s="128">
        <f t="shared" si="18"/>
        <v>0.3</v>
      </c>
      <c r="I229" s="128">
        <f t="shared" si="18"/>
        <v>0.3</v>
      </c>
      <c r="J229" s="128">
        <f t="shared" si="18"/>
        <v>0.3</v>
      </c>
      <c r="K229" s="128">
        <f t="shared" si="18"/>
        <v>0.3</v>
      </c>
      <c r="L229" s="128">
        <f t="shared" si="18"/>
        <v>0.3</v>
      </c>
      <c r="M229" s="128">
        <f t="shared" si="18"/>
        <v>0.3</v>
      </c>
      <c r="N229" s="128">
        <f t="shared" si="18"/>
        <v>0.3</v>
      </c>
      <c r="O229" s="128">
        <f t="shared" si="18"/>
        <v>0.3</v>
      </c>
      <c r="P229" s="128">
        <f t="shared" si="18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237</v>
      </c>
      <c r="B230" s="128">
        <f t="shared" si="17"/>
        <v>0</v>
      </c>
      <c r="C230" s="128">
        <v>0.4</v>
      </c>
      <c r="D230" s="128">
        <f t="shared" si="18"/>
        <v>0.4</v>
      </c>
      <c r="E230" s="128">
        <f t="shared" si="18"/>
        <v>0.4</v>
      </c>
      <c r="F230" s="128">
        <f t="shared" si="18"/>
        <v>0.4</v>
      </c>
      <c r="G230" s="128">
        <f t="shared" si="18"/>
        <v>0.4</v>
      </c>
      <c r="H230" s="128">
        <f t="shared" si="18"/>
        <v>0.4</v>
      </c>
      <c r="I230" s="128">
        <f t="shared" si="18"/>
        <v>0.4</v>
      </c>
      <c r="J230" s="128">
        <f t="shared" si="18"/>
        <v>0.4</v>
      </c>
      <c r="K230" s="128">
        <f t="shared" si="18"/>
        <v>0.4</v>
      </c>
      <c r="L230" s="128">
        <f t="shared" si="18"/>
        <v>0.4</v>
      </c>
      <c r="M230" s="128">
        <f t="shared" si="18"/>
        <v>0.4</v>
      </c>
      <c r="N230" s="128">
        <f t="shared" si="18"/>
        <v>0.4</v>
      </c>
      <c r="O230" s="128">
        <f t="shared" si="18"/>
        <v>0.4</v>
      </c>
      <c r="P230" s="128">
        <f t="shared" si="1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238</v>
      </c>
      <c r="B231" s="132">
        <f t="shared" si="17"/>
        <v>0</v>
      </c>
      <c r="C231" s="132">
        <v>0.64</v>
      </c>
      <c r="D231" s="132">
        <f t="shared" si="18"/>
        <v>0.64</v>
      </c>
      <c r="E231" s="132">
        <f t="shared" si="18"/>
        <v>0.64</v>
      </c>
      <c r="F231" s="132">
        <f t="shared" si="18"/>
        <v>0.64</v>
      </c>
      <c r="G231" s="132">
        <f t="shared" si="18"/>
        <v>0.64</v>
      </c>
      <c r="H231" s="132">
        <f t="shared" si="18"/>
        <v>0.64</v>
      </c>
      <c r="I231" s="132">
        <f t="shared" si="18"/>
        <v>0.64</v>
      </c>
      <c r="J231" s="132">
        <f t="shared" si="18"/>
        <v>0.64</v>
      </c>
      <c r="K231" s="132">
        <f t="shared" si="18"/>
        <v>0.64</v>
      </c>
      <c r="L231" s="132">
        <f t="shared" si="18"/>
        <v>0.64</v>
      </c>
      <c r="M231" s="132">
        <f t="shared" si="18"/>
        <v>0.64</v>
      </c>
      <c r="N231" s="132">
        <f t="shared" si="18"/>
        <v>0.64</v>
      </c>
      <c r="O231" s="132">
        <f t="shared" si="18"/>
        <v>0.64</v>
      </c>
      <c r="P231" s="132">
        <f t="shared" si="18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73</v>
      </c>
      <c r="B232" s="136">
        <f t="shared" ref="B232:AG232" si="19">SUM(B226:B231)</f>
        <v>0</v>
      </c>
      <c r="C232" s="136">
        <f t="shared" si="19"/>
        <v>3.54</v>
      </c>
      <c r="D232" s="136">
        <f t="shared" si="19"/>
        <v>3.54</v>
      </c>
      <c r="E232" s="136">
        <f t="shared" si="19"/>
        <v>3.54</v>
      </c>
      <c r="F232" s="136">
        <f t="shared" si="19"/>
        <v>3.54</v>
      </c>
      <c r="G232" s="136">
        <f t="shared" si="19"/>
        <v>3.54</v>
      </c>
      <c r="H232" s="136">
        <f t="shared" si="19"/>
        <v>3.54</v>
      </c>
      <c r="I232" s="136">
        <f t="shared" ca="1" si="19"/>
        <v>121.23900000000009</v>
      </c>
      <c r="J232" s="136">
        <f t="shared" ca="1" si="19"/>
        <v>121.23900000000009</v>
      </c>
      <c r="K232" s="136">
        <f t="shared" ca="1" si="19"/>
        <v>121.23900000000009</v>
      </c>
      <c r="L232" s="136">
        <f t="shared" ca="1" si="19"/>
        <v>125.2590000000001</v>
      </c>
      <c r="M232" s="136">
        <f t="shared" ca="1" si="19"/>
        <v>117.21900000000008</v>
      </c>
      <c r="N232" s="136">
        <f t="shared" ca="1" si="19"/>
        <v>117.21900000000008</v>
      </c>
      <c r="O232" s="136">
        <f t="shared" ca="1" si="19"/>
        <v>117.21900000000008</v>
      </c>
      <c r="P232" s="136">
        <f t="shared" ca="1" si="19"/>
        <v>117.21900000000008</v>
      </c>
      <c r="Q232" s="136">
        <f t="shared" si="19"/>
        <v>0</v>
      </c>
      <c r="R232" s="136">
        <f t="shared" si="19"/>
        <v>0</v>
      </c>
      <c r="S232" s="136">
        <f t="shared" si="19"/>
        <v>0</v>
      </c>
      <c r="T232" s="136">
        <f t="shared" si="19"/>
        <v>0</v>
      </c>
      <c r="U232" s="136">
        <f t="shared" si="19"/>
        <v>0</v>
      </c>
      <c r="V232" s="136">
        <f t="shared" si="19"/>
        <v>0</v>
      </c>
      <c r="W232" s="136">
        <f t="shared" si="19"/>
        <v>0</v>
      </c>
      <c r="X232" s="136">
        <f t="shared" si="19"/>
        <v>0</v>
      </c>
      <c r="Y232" s="136">
        <f t="shared" si="19"/>
        <v>0</v>
      </c>
      <c r="Z232" s="136">
        <f t="shared" si="19"/>
        <v>0</v>
      </c>
      <c r="AA232" s="136">
        <f t="shared" si="19"/>
        <v>0</v>
      </c>
      <c r="AB232" s="136">
        <f t="shared" si="19"/>
        <v>0</v>
      </c>
      <c r="AC232" s="136">
        <f t="shared" si="19"/>
        <v>0</v>
      </c>
      <c r="AD232" s="136">
        <f t="shared" si="19"/>
        <v>0</v>
      </c>
      <c r="AE232" s="136">
        <f t="shared" si="19"/>
        <v>0</v>
      </c>
      <c r="AF232" s="136">
        <f t="shared" si="19"/>
        <v>0</v>
      </c>
      <c r="AG232" s="145">
        <f t="shared" si="19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239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240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241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242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243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244</v>
      </c>
      <c r="B241" s="160">
        <f>MAX(G89:N89)</f>
        <v>1454.74</v>
      </c>
      <c r="C241" s="161">
        <f>INDEX(G9:N9,1,MATCH(MAX(G89:N89),G89:N89,0))</f>
        <v>0.375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4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78" t="s">
        <v>245</v>
      </c>
      <c r="B243" s="178"/>
      <c r="C243" s="43"/>
      <c r="D243" s="162" t="str">
        <f ca="1">"Pie Chart of Daily Peak Demand(Inclusive of Export) of Nepal ("&amp;A4&amp;" "&amp;B4&amp;")"</f>
        <v>Pie Chart of Daily Peak Demand(Inclusive of Export) of Nepal (Nepali Date: 2080/02/4)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2080/02/4)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246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247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248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249</v>
      </c>
      <c r="T246" s="170">
        <f t="shared" ref="T246:AX246" si="20">B89</f>
        <v>1143.8399999999999</v>
      </c>
      <c r="U246" s="170">
        <f t="shared" si="20"/>
        <v>1165.44</v>
      </c>
      <c r="V246" s="170">
        <f t="shared" si="20"/>
        <v>1157.2400000000002</v>
      </c>
      <c r="W246" s="170">
        <f t="shared" si="20"/>
        <v>1056.1400000000001</v>
      </c>
      <c r="X246" s="170">
        <f t="shared" si="20"/>
        <v>1126.44</v>
      </c>
      <c r="Y246" s="170">
        <f t="shared" si="20"/>
        <v>1163.24</v>
      </c>
      <c r="Z246" s="170">
        <f t="shared" si="20"/>
        <v>1093.04</v>
      </c>
      <c r="AA246" s="170">
        <f t="shared" si="20"/>
        <v>1172.6400000000001</v>
      </c>
      <c r="AB246" s="170">
        <f t="shared" si="20"/>
        <v>1304.44</v>
      </c>
      <c r="AC246" s="170">
        <f t="shared" si="20"/>
        <v>1370.74</v>
      </c>
      <c r="AD246" s="170">
        <f t="shared" si="20"/>
        <v>1393.3400000000001</v>
      </c>
      <c r="AE246" s="170">
        <f t="shared" si="20"/>
        <v>1404.1399999999999</v>
      </c>
      <c r="AF246" s="170">
        <f t="shared" si="20"/>
        <v>1454.74</v>
      </c>
      <c r="AG246" s="170">
        <f t="shared" si="20"/>
        <v>1432.14</v>
      </c>
      <c r="AH246" s="170">
        <f t="shared" si="20"/>
        <v>1418.94</v>
      </c>
      <c r="AI246" s="170">
        <f t="shared" si="20"/>
        <v>1429.54</v>
      </c>
      <c r="AJ246" s="170">
        <f t="shared" si="20"/>
        <v>1456.94</v>
      </c>
      <c r="AK246" s="170">
        <f t="shared" si="20"/>
        <v>1428.8400000000001</v>
      </c>
      <c r="AL246" s="170">
        <f t="shared" si="20"/>
        <v>1469.8400000000001</v>
      </c>
      <c r="AM246" s="170">
        <f t="shared" si="20"/>
        <v>1475.8400000000001</v>
      </c>
      <c r="AN246" s="170">
        <f t="shared" si="20"/>
        <v>1489.3400000000001</v>
      </c>
      <c r="AO246" s="170">
        <f t="shared" si="20"/>
        <v>1406.3400000000001</v>
      </c>
      <c r="AP246" s="170">
        <f t="shared" si="20"/>
        <v>1358.3400000000001</v>
      </c>
      <c r="AQ246" s="170">
        <f t="shared" si="20"/>
        <v>1485.24</v>
      </c>
      <c r="AR246" s="170">
        <f t="shared" si="20"/>
        <v>1558.3400000000001</v>
      </c>
      <c r="AS246" s="170">
        <f t="shared" si="20"/>
        <v>1680.94</v>
      </c>
      <c r="AT246" s="170">
        <f t="shared" si="20"/>
        <v>1665.7</v>
      </c>
      <c r="AU246" s="170">
        <f t="shared" si="20"/>
        <v>1653.4</v>
      </c>
      <c r="AV246" s="170">
        <f t="shared" si="20"/>
        <v>1553.2</v>
      </c>
      <c r="AW246" s="170">
        <f t="shared" si="20"/>
        <v>1425</v>
      </c>
      <c r="AX246" s="170">
        <f t="shared" si="20"/>
        <v>1395</v>
      </c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251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252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253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239</v>
      </c>
      <c r="B267" s="173">
        <f t="shared" ref="B267:AE267" si="21">C231</f>
        <v>0.64</v>
      </c>
      <c r="C267" s="173">
        <f t="shared" si="21"/>
        <v>0.64</v>
      </c>
      <c r="D267" s="173">
        <f t="shared" si="21"/>
        <v>0.64</v>
      </c>
      <c r="E267" s="173">
        <f t="shared" si="21"/>
        <v>0.64</v>
      </c>
      <c r="F267" s="173">
        <f t="shared" si="21"/>
        <v>0.64</v>
      </c>
      <c r="G267" s="173">
        <f t="shared" si="21"/>
        <v>0.64</v>
      </c>
      <c r="H267" s="173">
        <f t="shared" si="21"/>
        <v>0.64</v>
      </c>
      <c r="I267" s="173">
        <f t="shared" si="21"/>
        <v>0.64</v>
      </c>
      <c r="J267" s="173">
        <f t="shared" si="21"/>
        <v>0.64</v>
      </c>
      <c r="K267" s="173">
        <f t="shared" si="21"/>
        <v>0.64</v>
      </c>
      <c r="L267" s="173">
        <f t="shared" si="21"/>
        <v>0.64</v>
      </c>
      <c r="M267" s="173">
        <f t="shared" si="21"/>
        <v>0.64</v>
      </c>
      <c r="N267" s="173">
        <f t="shared" si="21"/>
        <v>0.64</v>
      </c>
      <c r="O267" s="173">
        <f t="shared" si="21"/>
        <v>0.64</v>
      </c>
      <c r="P267" s="173">
        <f t="shared" si="21"/>
        <v>0</v>
      </c>
      <c r="Q267" s="173">
        <f t="shared" si="21"/>
        <v>0</v>
      </c>
      <c r="R267" s="173">
        <f t="shared" si="21"/>
        <v>0</v>
      </c>
      <c r="S267" s="173">
        <f t="shared" si="21"/>
        <v>0</v>
      </c>
      <c r="T267" s="173">
        <f t="shared" si="21"/>
        <v>0</v>
      </c>
      <c r="U267" s="173">
        <f t="shared" si="21"/>
        <v>0</v>
      </c>
      <c r="V267" s="173">
        <f t="shared" si="21"/>
        <v>0</v>
      </c>
      <c r="W267" s="173">
        <f t="shared" si="21"/>
        <v>0</v>
      </c>
      <c r="X267" s="173">
        <f t="shared" si="21"/>
        <v>0</v>
      </c>
      <c r="Y267" s="173">
        <f t="shared" si="21"/>
        <v>0</v>
      </c>
      <c r="Z267" s="173">
        <f t="shared" si="21"/>
        <v>0</v>
      </c>
      <c r="AA267" s="173">
        <f t="shared" si="21"/>
        <v>0</v>
      </c>
      <c r="AB267" s="173">
        <f t="shared" si="21"/>
        <v>0</v>
      </c>
      <c r="AC267" s="173">
        <f t="shared" si="21"/>
        <v>0</v>
      </c>
      <c r="AD267" s="173">
        <f t="shared" si="21"/>
        <v>0</v>
      </c>
      <c r="AE267" s="173">
        <f t="shared" si="21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2">IF(B235&lt;100,"",B235-520)</f>
        <v/>
      </c>
      <c r="C268" s="174" t="str">
        <f t="shared" si="22"/>
        <v/>
      </c>
      <c r="D268" s="174" t="str">
        <f t="shared" si="22"/>
        <v/>
      </c>
      <c r="E268" s="174" t="str">
        <f t="shared" si="22"/>
        <v/>
      </c>
      <c r="F268" s="174" t="str">
        <f t="shared" si="22"/>
        <v/>
      </c>
      <c r="G268" s="174" t="str">
        <f t="shared" si="22"/>
        <v/>
      </c>
      <c r="H268" s="174" t="str">
        <f t="shared" si="22"/>
        <v/>
      </c>
      <c r="I268" s="174" t="str">
        <f t="shared" si="22"/>
        <v/>
      </c>
      <c r="J268" s="174" t="str">
        <f t="shared" si="22"/>
        <v/>
      </c>
      <c r="K268" s="174" t="str">
        <f t="shared" si="22"/>
        <v/>
      </c>
      <c r="L268" s="174" t="str">
        <f t="shared" si="22"/>
        <v/>
      </c>
      <c r="M268" s="174" t="str">
        <f t="shared" si="22"/>
        <v/>
      </c>
      <c r="N268" s="174" t="str">
        <f t="shared" si="22"/>
        <v/>
      </c>
      <c r="O268" s="174" t="str">
        <f t="shared" si="22"/>
        <v/>
      </c>
      <c r="P268" s="174" t="str">
        <f t="shared" si="22"/>
        <v/>
      </c>
      <c r="Q268" s="174" t="str">
        <f t="shared" si="22"/>
        <v/>
      </c>
      <c r="R268" s="174" t="str">
        <f t="shared" si="22"/>
        <v/>
      </c>
      <c r="S268" s="174" t="str">
        <f t="shared" si="22"/>
        <v/>
      </c>
      <c r="T268" s="174" t="str">
        <f t="shared" si="22"/>
        <v/>
      </c>
      <c r="U268" s="174" t="str">
        <f t="shared" si="22"/>
        <v/>
      </c>
      <c r="V268" s="174" t="str">
        <f t="shared" si="22"/>
        <v/>
      </c>
      <c r="W268" s="174" t="str">
        <f t="shared" si="22"/>
        <v/>
      </c>
      <c r="X268" s="174" t="str">
        <f t="shared" si="22"/>
        <v/>
      </c>
      <c r="Y268" s="174" t="str">
        <f t="shared" si="22"/>
        <v/>
      </c>
      <c r="Z268" s="174" t="str">
        <f t="shared" si="22"/>
        <v/>
      </c>
      <c r="AA268" s="174" t="str">
        <f t="shared" si="22"/>
        <v/>
      </c>
      <c r="AB268" s="174" t="str">
        <f t="shared" si="22"/>
        <v/>
      </c>
      <c r="AC268" s="174" t="str">
        <f t="shared" si="22"/>
        <v/>
      </c>
      <c r="AD268" s="174" t="str">
        <f t="shared" si="22"/>
        <v/>
      </c>
      <c r="AE268" s="174" t="str">
        <f t="shared" si="22"/>
        <v/>
      </c>
      <c r="AF268" s="174" t="str">
        <f t="shared" si="22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3">IF(B236&lt;100,"",B236-620)</f>
        <v/>
      </c>
      <c r="C269" s="174" t="str">
        <f t="shared" si="23"/>
        <v/>
      </c>
      <c r="D269" s="174" t="str">
        <f t="shared" si="23"/>
        <v/>
      </c>
      <c r="E269" s="174" t="str">
        <f t="shared" si="23"/>
        <v/>
      </c>
      <c r="F269" s="174" t="str">
        <f t="shared" si="23"/>
        <v/>
      </c>
      <c r="G269" s="174" t="str">
        <f t="shared" si="23"/>
        <v/>
      </c>
      <c r="H269" s="174" t="str">
        <f t="shared" si="23"/>
        <v/>
      </c>
      <c r="I269" s="174" t="str">
        <f t="shared" si="23"/>
        <v/>
      </c>
      <c r="J269" s="174" t="str">
        <f t="shared" si="23"/>
        <v/>
      </c>
      <c r="K269" s="174" t="str">
        <f t="shared" si="23"/>
        <v/>
      </c>
      <c r="L269" s="174" t="str">
        <f t="shared" si="23"/>
        <v/>
      </c>
      <c r="M269" s="174" t="str">
        <f t="shared" si="23"/>
        <v/>
      </c>
      <c r="N269" s="174" t="str">
        <f t="shared" si="23"/>
        <v/>
      </c>
      <c r="O269" s="174" t="str">
        <f t="shared" si="23"/>
        <v/>
      </c>
      <c r="P269" s="174" t="str">
        <f t="shared" si="23"/>
        <v/>
      </c>
      <c r="Q269" s="174" t="str">
        <f t="shared" si="23"/>
        <v/>
      </c>
      <c r="R269" s="174" t="str">
        <f t="shared" si="23"/>
        <v/>
      </c>
      <c r="S269" s="174" t="str">
        <f t="shared" si="23"/>
        <v/>
      </c>
      <c r="T269" s="174" t="str">
        <f t="shared" si="23"/>
        <v/>
      </c>
      <c r="U269" s="174" t="str">
        <f t="shared" si="23"/>
        <v/>
      </c>
      <c r="V269" s="174" t="str">
        <f t="shared" si="23"/>
        <v/>
      </c>
      <c r="W269" s="174" t="str">
        <f t="shared" si="23"/>
        <v/>
      </c>
      <c r="X269" s="174" t="str">
        <f t="shared" si="23"/>
        <v/>
      </c>
      <c r="Y269" s="174" t="str">
        <f t="shared" si="23"/>
        <v/>
      </c>
      <c r="Z269" s="174" t="str">
        <f t="shared" si="23"/>
        <v/>
      </c>
      <c r="AA269" s="174" t="str">
        <f t="shared" si="23"/>
        <v/>
      </c>
      <c r="AB269" s="174" t="str">
        <f t="shared" si="23"/>
        <v/>
      </c>
      <c r="AC269" s="174" t="str">
        <f t="shared" si="23"/>
        <v/>
      </c>
      <c r="AD269" s="174" t="str">
        <f t="shared" si="23"/>
        <v/>
      </c>
      <c r="AE269" s="174" t="str">
        <f t="shared" si="23"/>
        <v/>
      </c>
      <c r="AF269" s="174" t="str">
        <f t="shared" si="23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4">IF(B237&lt;100,"",B237-330)</f>
        <v/>
      </c>
      <c r="C270" s="174" t="str">
        <f t="shared" si="24"/>
        <v/>
      </c>
      <c r="D270" s="174" t="str">
        <f t="shared" si="24"/>
        <v/>
      </c>
      <c r="E270" s="174" t="str">
        <f t="shared" si="24"/>
        <v/>
      </c>
      <c r="F270" s="174" t="str">
        <f t="shared" si="24"/>
        <v/>
      </c>
      <c r="G270" s="174" t="str">
        <f t="shared" si="24"/>
        <v/>
      </c>
      <c r="H270" s="174" t="str">
        <f t="shared" si="24"/>
        <v/>
      </c>
      <c r="I270" s="174" t="str">
        <f t="shared" si="24"/>
        <v/>
      </c>
      <c r="J270" s="174" t="str">
        <f t="shared" si="24"/>
        <v/>
      </c>
      <c r="K270" s="174" t="str">
        <f t="shared" si="24"/>
        <v/>
      </c>
      <c r="L270" s="174" t="str">
        <f t="shared" si="24"/>
        <v/>
      </c>
      <c r="M270" s="174" t="str">
        <f t="shared" si="24"/>
        <v/>
      </c>
      <c r="N270" s="174" t="str">
        <f t="shared" si="24"/>
        <v/>
      </c>
      <c r="O270" s="174" t="str">
        <f t="shared" si="24"/>
        <v/>
      </c>
      <c r="P270" s="174" t="str">
        <f t="shared" si="24"/>
        <v/>
      </c>
      <c r="Q270" s="174" t="str">
        <f t="shared" si="24"/>
        <v/>
      </c>
      <c r="R270" s="174" t="str">
        <f t="shared" si="24"/>
        <v/>
      </c>
      <c r="S270" s="174" t="str">
        <f t="shared" si="24"/>
        <v/>
      </c>
      <c r="T270" s="174" t="str">
        <f t="shared" si="24"/>
        <v/>
      </c>
      <c r="U270" s="174" t="str">
        <f t="shared" si="24"/>
        <v/>
      </c>
      <c r="V270" s="174" t="str">
        <f t="shared" si="24"/>
        <v/>
      </c>
      <c r="W270" s="174" t="str">
        <f t="shared" si="24"/>
        <v/>
      </c>
      <c r="X270" s="174" t="str">
        <f t="shared" si="24"/>
        <v/>
      </c>
      <c r="Y270" s="174" t="str">
        <f t="shared" si="24"/>
        <v/>
      </c>
      <c r="Z270" s="174" t="str">
        <f t="shared" si="24"/>
        <v/>
      </c>
      <c r="AA270" s="174" t="str">
        <f t="shared" si="24"/>
        <v/>
      </c>
      <c r="AB270" s="174" t="str">
        <f t="shared" si="24"/>
        <v/>
      </c>
      <c r="AC270" s="174" t="str">
        <f t="shared" si="24"/>
        <v/>
      </c>
      <c r="AD270" s="174" t="str">
        <f t="shared" si="24"/>
        <v/>
      </c>
      <c r="AE270" s="174" t="str">
        <f t="shared" si="24"/>
        <v/>
      </c>
      <c r="AF270" s="174" t="str">
        <f t="shared" si="24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5">IF(B238&lt;100,"",B238-1500)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2674" priority="444">
      <formula>B$9&gt;=20/24</formula>
    </cfRule>
    <cfRule type="expression" dxfId="12673" priority="445">
      <formula>AND(B$9&gt;=14/24,B$9&lt;20/24)</formula>
    </cfRule>
    <cfRule type="expression" dxfId="12672" priority="446">
      <formula>AND(B$9&gt;=8/24,B$9&lt;14/24)</formula>
    </cfRule>
    <cfRule type="expression" dxfId="12671" priority="447">
      <formula>B$9&lt;8/24</formula>
    </cfRule>
  </conditionalFormatting>
  <conditionalFormatting sqref="AL4:AL6">
    <cfRule type="iconSet" priority="4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2670" priority="4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2669" priority="441">
      <formula>$AH12=0</formula>
    </cfRule>
  </conditionalFormatting>
  <conditionalFormatting sqref="A114">
    <cfRule type="expression" dxfId="12668" priority="440">
      <formula>$AH114=0</formula>
    </cfRule>
  </conditionalFormatting>
  <conditionalFormatting sqref="AL42">
    <cfRule type="iconSet" priority="4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2667" priority="438">
      <formula>$AH45=0</formula>
    </cfRule>
  </conditionalFormatting>
  <conditionalFormatting sqref="A98">
    <cfRule type="expression" dxfId="12666" priority="437">
      <formula>$AH98=0</formula>
    </cfRule>
  </conditionalFormatting>
  <conditionalFormatting sqref="A18">
    <cfRule type="expression" dxfId="12665" priority="436">
      <formula>$AH18=0</formula>
    </cfRule>
  </conditionalFormatting>
  <conditionalFormatting sqref="A196:A201">
    <cfRule type="expression" dxfId="12664" priority="435">
      <formula>$AH196=0</formula>
    </cfRule>
  </conditionalFormatting>
  <conditionalFormatting sqref="A190:A195">
    <cfRule type="expression" dxfId="12663" priority="434">
      <formula>$AH190=0</formula>
    </cfRule>
  </conditionalFormatting>
  <conditionalFormatting sqref="A58">
    <cfRule type="expression" dxfId="12662" priority="433">
      <formula>$AH58=0</formula>
    </cfRule>
  </conditionalFormatting>
  <conditionalFormatting sqref="A94">
    <cfRule type="expression" dxfId="12661" priority="432">
      <formula>$AH94=0</formula>
    </cfRule>
  </conditionalFormatting>
  <conditionalFormatting sqref="AD99:AF99 E99:X99">
    <cfRule type="expression" dxfId="12660" priority="428">
      <formula>E$9&gt;=20/24</formula>
    </cfRule>
    <cfRule type="expression" dxfId="12659" priority="429">
      <formula>AND(E$9&gt;=14/24,E$9&lt;20/24)</formula>
    </cfRule>
    <cfRule type="expression" dxfId="12658" priority="430">
      <formula>AND(E$9&gt;=8/24,E$9&lt;14/24)</formula>
    </cfRule>
    <cfRule type="expression" dxfId="12657" priority="431">
      <formula>E$9&lt;8/24</formula>
    </cfRule>
  </conditionalFormatting>
  <conditionalFormatting sqref="AL43">
    <cfRule type="iconSet" priority="4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2656" priority="450">
      <formula>C$9&gt;=20/24</formula>
    </cfRule>
    <cfRule type="expression" dxfId="12655" priority="451">
      <formula>AND(C$9&gt;=14/24,C$9&lt;20/24)</formula>
    </cfRule>
    <cfRule type="expression" dxfId="12654" priority="452">
      <formula>AND(C$9&gt;=8/24,C$9&lt;14/24)</formula>
    </cfRule>
    <cfRule type="expression" dxfId="12653" priority="453">
      <formula>C$9&lt;8/24</formula>
    </cfRule>
  </conditionalFormatting>
  <conditionalFormatting sqref="A233">
    <cfRule type="expression" dxfId="12652" priority="454">
      <formula>$AH233=0</formula>
    </cfRule>
  </conditionalFormatting>
  <conditionalFormatting sqref="AG245">
    <cfRule type="expression" dxfId="12651" priority="455">
      <formula>B$9&gt;=20/24</formula>
    </cfRule>
    <cfRule type="expression" dxfId="12650" priority="456">
      <formula>AND(B$9&gt;=14/24,B$9&lt;20/24)</formula>
    </cfRule>
    <cfRule type="expression" dxfId="12649" priority="457">
      <formula>AND(B$9&gt;=8/24,B$9&lt;14/24)</formula>
    </cfRule>
    <cfRule type="expression" dxfId="12648" priority="458">
      <formula>B$9&lt;8/24</formula>
    </cfRule>
  </conditionalFormatting>
  <conditionalFormatting sqref="S8">
    <cfRule type="expression" dxfId="12647" priority="423">
      <formula>U$9&gt;=20/24</formula>
    </cfRule>
    <cfRule type="expression" dxfId="12646" priority="424">
      <formula>AND(U$9&gt;=14/24,U$9&lt;20/24)</formula>
    </cfRule>
    <cfRule type="expression" dxfId="12645" priority="425">
      <formula>AND(U$9&gt;=8/24,U$9&lt;14/24)</formula>
    </cfRule>
    <cfRule type="expression" dxfId="12644" priority="426">
      <formula>U$9&lt;8/24</formula>
    </cfRule>
  </conditionalFormatting>
  <conditionalFormatting sqref="AB8">
    <cfRule type="expression" dxfId="12643" priority="419">
      <formula>AD$9&gt;=20/24</formula>
    </cfRule>
    <cfRule type="expression" dxfId="12642" priority="420">
      <formula>AND(AD$9&gt;=14/24,AD$9&lt;20/24)</formula>
    </cfRule>
    <cfRule type="expression" dxfId="12641" priority="421">
      <formula>AND(AD$9&gt;=8/24,AD$9&lt;14/24)</formula>
    </cfRule>
    <cfRule type="expression" dxfId="12640" priority="422">
      <formula>AD$9&lt;8/24</formula>
    </cfRule>
  </conditionalFormatting>
  <conditionalFormatting sqref="AH245:AX245">
    <cfRule type="expression" dxfId="12639" priority="459">
      <formula>AG$9&gt;=20/24</formula>
    </cfRule>
    <cfRule type="expression" dxfId="12638" priority="460">
      <formula>AND(AG$9&gt;=14/24,AG$9&lt;20/24)</formula>
    </cfRule>
    <cfRule type="expression" dxfId="12637" priority="461">
      <formula>AND(AG$9&gt;=8/24,AG$9&lt;14/24)</formula>
    </cfRule>
    <cfRule type="expression" dxfId="12636" priority="462">
      <formula>AG$9&lt;8/24</formula>
    </cfRule>
  </conditionalFormatting>
  <conditionalFormatting sqref="T245">
    <cfRule type="expression" dxfId="12635" priority="463">
      <formula>AX$9&gt;=20/24</formula>
    </cfRule>
    <cfRule type="expression" dxfId="12634" priority="464">
      <formula>AND(AX$9&gt;=14/24,AX$9&lt;20/24)</formula>
    </cfRule>
    <cfRule type="expression" dxfId="12633" priority="465">
      <formula>AND(AX$9&gt;=8/24,AX$9&lt;14/24)</formula>
    </cfRule>
    <cfRule type="expression" dxfId="12632" priority="466">
      <formula>AX$9&lt;8/24</formula>
    </cfRule>
  </conditionalFormatting>
  <conditionalFormatting sqref="A115:A116">
    <cfRule type="expression" dxfId="12631" priority="418">
      <formula>$AH115=0</formula>
    </cfRule>
  </conditionalFormatting>
  <conditionalFormatting sqref="O54:Q55 E71:AF71 AB54:AF56 R58:AF58">
    <cfRule type="expression" dxfId="12630" priority="414">
      <formula>E$9&gt;=20/24</formula>
    </cfRule>
    <cfRule type="expression" dxfId="12629" priority="415">
      <formula>AND(E$9&gt;=14/24,E$9&lt;20/24)</formula>
    </cfRule>
    <cfRule type="expression" dxfId="12628" priority="416">
      <formula>AND(E$9&gt;=8/24,E$9&lt;14/24)</formula>
    </cfRule>
    <cfRule type="expression" dxfId="12627" priority="417">
      <formula>E$9&lt;8/24</formula>
    </cfRule>
  </conditionalFormatting>
  <conditionalFormatting sqref="O53:Q53 AB53:AF53">
    <cfRule type="expression" dxfId="12626" priority="410">
      <formula>O$9&gt;=20/24</formula>
    </cfRule>
    <cfRule type="expression" dxfId="12625" priority="411">
      <formula>AND(O$9&gt;=14/24,O$9&lt;20/24)</formula>
    </cfRule>
    <cfRule type="expression" dxfId="12624" priority="412">
      <formula>AND(O$9&gt;=8/24,O$9&lt;14/24)</formula>
    </cfRule>
    <cfRule type="expression" dxfId="12623" priority="413">
      <formula>O$9&lt;8/24</formula>
    </cfRule>
  </conditionalFormatting>
  <conditionalFormatting sqref="O53:Q55 AB53:AF56 R58:AF58">
    <cfRule type="expression" dxfId="12622" priority="409">
      <formula>O53&gt;$AG53</formula>
    </cfRule>
  </conditionalFormatting>
  <conditionalFormatting sqref="X96:AF96 X47:AF47 E73:F73 D86:AF86 M100:X106 AA72:AF74 G72:Z73 X67:AF69 AE100:AF106">
    <cfRule type="expression" dxfId="12621" priority="405">
      <formula>D$9&gt;=20/24</formula>
    </cfRule>
    <cfRule type="expression" dxfId="12620" priority="406">
      <formula>AND(D$9&gt;=14/24,D$9&lt;20/24)</formula>
    </cfRule>
    <cfRule type="expression" dxfId="12619" priority="407">
      <formula>AND(D$9&gt;=8/24,D$9&lt;14/24)</formula>
    </cfRule>
    <cfRule type="expression" dxfId="12618" priority="408">
      <formula>D$9&lt;8/24</formula>
    </cfRule>
  </conditionalFormatting>
  <conditionalFormatting sqref="X47:AF47 X67:AF69">
    <cfRule type="expression" dxfId="12617" priority="404">
      <formula>X47&gt;$AG47</formula>
    </cfRule>
  </conditionalFormatting>
  <conditionalFormatting sqref="R53:AA57 AB57:AF57">
    <cfRule type="expression" dxfId="12616" priority="400">
      <formula>R$9&gt;=20/24</formula>
    </cfRule>
    <cfRule type="expression" dxfId="12615" priority="401">
      <formula>AND(R$9&gt;=14/24,R$9&lt;20/24)</formula>
    </cfRule>
    <cfRule type="expression" dxfId="12614" priority="402">
      <formula>AND(R$9&gt;=8/24,R$9&lt;14/24)</formula>
    </cfRule>
    <cfRule type="expression" dxfId="12613" priority="403">
      <formula>R$9&lt;8/24</formula>
    </cfRule>
  </conditionalFormatting>
  <conditionalFormatting sqref="R53:AA57 AB57:AF57">
    <cfRule type="expression" dxfId="12612" priority="399">
      <formula>R53&gt;$AG53</formula>
    </cfRule>
  </conditionalFormatting>
  <conditionalFormatting sqref="C97:AF97 D88:AF88">
    <cfRule type="expression" dxfId="12611" priority="395">
      <formula>C$9&gt;=20/24</formula>
    </cfRule>
    <cfRule type="expression" dxfId="12610" priority="396">
      <formula>AND(C$9&gt;=14/24,C$9&lt;20/24)</formula>
    </cfRule>
    <cfRule type="expression" dxfId="12609" priority="397">
      <formula>AND(C$9&gt;=8/24,C$9&lt;14/24)</formula>
    </cfRule>
    <cfRule type="expression" dxfId="12608" priority="398">
      <formula>C$9&lt;8/24</formula>
    </cfRule>
  </conditionalFormatting>
  <conditionalFormatting sqref="T47:W47">
    <cfRule type="expression" dxfId="12607" priority="391">
      <formula>T$9&gt;=20/24</formula>
    </cfRule>
    <cfRule type="expression" dxfId="12606" priority="392">
      <formula>AND(T$9&gt;=14/24,T$9&lt;20/24)</formula>
    </cfRule>
    <cfRule type="expression" dxfId="12605" priority="393">
      <formula>AND(T$9&gt;=8/24,T$9&lt;14/24)</formula>
    </cfRule>
    <cfRule type="expression" dxfId="12604" priority="394">
      <formula>T$9&lt;8/24</formula>
    </cfRule>
  </conditionalFormatting>
  <conditionalFormatting sqref="T47:W47">
    <cfRule type="expression" dxfId="12603" priority="390">
      <formula>T47&gt;$AG47</formula>
    </cfRule>
  </conditionalFormatting>
  <conditionalFormatting sqref="E54:H54 I54:N55">
    <cfRule type="expression" dxfId="12602" priority="386">
      <formula>E$9&gt;=20/24</formula>
    </cfRule>
    <cfRule type="expression" dxfId="12601" priority="387">
      <formula>AND(E$9&gt;=14/24,E$9&lt;20/24)</formula>
    </cfRule>
    <cfRule type="expression" dxfId="12600" priority="388">
      <formula>AND(E$9&gt;=8/24,E$9&lt;14/24)</formula>
    </cfRule>
    <cfRule type="expression" dxfId="12599" priority="389">
      <formula>E$9&lt;8/24</formula>
    </cfRule>
  </conditionalFormatting>
  <conditionalFormatting sqref="E53:N53">
    <cfRule type="expression" dxfId="12598" priority="382">
      <formula>E$9&gt;=20/24</formula>
    </cfRule>
    <cfRule type="expression" dxfId="12597" priority="383">
      <formula>AND(E$9&gt;=14/24,E$9&lt;20/24)</formula>
    </cfRule>
    <cfRule type="expression" dxfId="12596" priority="384">
      <formula>AND(E$9&gt;=8/24,E$9&lt;14/24)</formula>
    </cfRule>
    <cfRule type="expression" dxfId="12595" priority="385">
      <formula>E$9&lt;8/24</formula>
    </cfRule>
  </conditionalFormatting>
  <conditionalFormatting sqref="E53:H54 I53:N55">
    <cfRule type="expression" dxfId="12594" priority="381">
      <formula>E53&gt;$AG53</formula>
    </cfRule>
  </conditionalFormatting>
  <conditionalFormatting sqref="AG70 AG87 W67:W69 E100:L106">
    <cfRule type="expression" dxfId="12593" priority="377">
      <formula>E$9&gt;=20/24</formula>
    </cfRule>
    <cfRule type="expression" dxfId="12592" priority="378">
      <formula>AND(E$9&gt;=14/24,E$9&lt;20/24)</formula>
    </cfRule>
    <cfRule type="expression" dxfId="12591" priority="379">
      <formula>AND(E$9&gt;=8/24,E$9&lt;14/24)</formula>
    </cfRule>
    <cfRule type="expression" dxfId="12590" priority="380">
      <formula>E$9&lt;8/24</formula>
    </cfRule>
  </conditionalFormatting>
  <conditionalFormatting sqref="AG48 AG66 AG70 W67:W69">
    <cfRule type="expression" dxfId="12589" priority="376">
      <formula>W48&gt;$AG48</formula>
    </cfRule>
  </conditionalFormatting>
  <conditionalFormatting sqref="A43">
    <cfRule type="expression" dxfId="12588" priority="370">
      <formula>$AH43=0</formula>
    </cfRule>
  </conditionalFormatting>
  <conditionalFormatting sqref="X91:AF95">
    <cfRule type="expression" dxfId="12587" priority="366">
      <formula>X$9&gt;=20/24</formula>
    </cfRule>
    <cfRule type="expression" dxfId="12586" priority="367">
      <formula>AND(X$9&gt;=14/24,X$9&lt;20/24)</formula>
    </cfRule>
    <cfRule type="expression" dxfId="12585" priority="368">
      <formula>AND(X$9&gt;=8/24,X$9&lt;14/24)</formula>
    </cfRule>
    <cfRule type="expression" dxfId="12584" priority="369">
      <formula>X$9&lt;8/24</formula>
    </cfRule>
  </conditionalFormatting>
  <conditionalFormatting sqref="AL45 AL41 AL22:AL32 AL38:AL39 AL7:AL15 AL17:AL20 AL34:AL36">
    <cfRule type="iconSet" priority="467">
      <iconSet iconSet="3TrafficLights2" reverse="1">
        <cfvo type="percent" val="0"/>
        <cfvo type="num" val="1"/>
        <cfvo type="num" val="1"/>
      </iconSet>
    </cfRule>
  </conditionalFormatting>
  <conditionalFormatting sqref="K49:AF51">
    <cfRule type="expression" dxfId="12583" priority="362">
      <formula>K$9&gt;=20/24</formula>
    </cfRule>
    <cfRule type="expression" dxfId="12582" priority="363">
      <formula>AND(K$9&gt;=14/24,K$9&lt;20/24)</formula>
    </cfRule>
    <cfRule type="expression" dxfId="12581" priority="364">
      <formula>AND(K$9&gt;=8/24,K$9&lt;14/24)</formula>
    </cfRule>
    <cfRule type="expression" dxfId="12580" priority="365">
      <formula>K$9&lt;8/24</formula>
    </cfRule>
  </conditionalFormatting>
  <conditionalFormatting sqref="K49:AF51">
    <cfRule type="expression" dxfId="12579" priority="361">
      <formula>K49&gt;$AG49</formula>
    </cfRule>
  </conditionalFormatting>
  <conditionalFormatting sqref="AG52">
    <cfRule type="expression" dxfId="12578" priority="357">
      <formula>AG$9&gt;=20/24</formula>
    </cfRule>
    <cfRule type="expression" dxfId="12577" priority="358">
      <formula>AND(AG$9&gt;=14/24,AG$9&lt;20/24)</formula>
    </cfRule>
    <cfRule type="expression" dxfId="12576" priority="359">
      <formula>AND(AG$9&gt;=8/24,AG$9&lt;14/24)</formula>
    </cfRule>
    <cfRule type="expression" dxfId="12575" priority="360">
      <formula>AG$9&lt;8/24</formula>
    </cfRule>
  </conditionalFormatting>
  <conditionalFormatting sqref="AG52">
    <cfRule type="expression" dxfId="12574" priority="356">
      <formula>AG52&gt;$AG52</formula>
    </cfRule>
  </conditionalFormatting>
  <conditionalFormatting sqref="C107:AF107">
    <cfRule type="expression" dxfId="12573" priority="352">
      <formula>C$9&gt;=20/24</formula>
    </cfRule>
    <cfRule type="expression" dxfId="12572" priority="353">
      <formula>AND(C$9&gt;=14/24,C$9&lt;20/24)</formula>
    </cfRule>
    <cfRule type="expression" dxfId="12571" priority="354">
      <formula>AND(C$9&gt;=8/24,C$9&lt;14/24)</formula>
    </cfRule>
    <cfRule type="expression" dxfId="12570" priority="355">
      <formula>C$9&lt;8/24</formula>
    </cfRule>
  </conditionalFormatting>
  <conditionalFormatting sqref="AL40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2569" priority="350">
      <formula>$AH40=0</formula>
    </cfRule>
  </conditionalFormatting>
  <conditionalFormatting sqref="A90">
    <cfRule type="expression" dxfId="12568" priority="348">
      <formula>$AH90=0</formula>
    </cfRule>
  </conditionalFormatting>
  <conditionalFormatting sqref="A87">
    <cfRule type="expression" dxfId="12567" priority="349">
      <formula>$AH87=0</formula>
    </cfRule>
  </conditionalFormatting>
  <conditionalFormatting sqref="D110:AF110">
    <cfRule type="expression" dxfId="12566" priority="344">
      <formula>D$9&gt;=20/24</formula>
    </cfRule>
    <cfRule type="expression" dxfId="12565" priority="345">
      <formula>AND(D$9&gt;=14/24,D$9&lt;20/24)</formula>
    </cfRule>
    <cfRule type="expression" dxfId="12564" priority="346">
      <formula>AND(D$9&gt;=8/24,D$9&lt;14/24)</formula>
    </cfRule>
    <cfRule type="expression" dxfId="12563" priority="347">
      <formula>D$9&lt;8/24</formula>
    </cfRule>
  </conditionalFormatting>
  <conditionalFormatting sqref="A110">
    <cfRule type="expression" dxfId="12562" priority="343">
      <formula>$AH110=0</formula>
    </cfRule>
  </conditionalFormatting>
  <conditionalFormatting sqref="A21">
    <cfRule type="expression" dxfId="12561" priority="341">
      <formula>$AH21=0</formula>
    </cfRule>
  </conditionalFormatting>
  <conditionalFormatting sqref="AL21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2560" priority="339">
      <formula>$AH37=0</formula>
    </cfRule>
  </conditionalFormatting>
  <conditionalFormatting sqref="AL37">
    <cfRule type="iconSet" priority="3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2559" priority="335">
      <formula>Y$9&gt;=20/24</formula>
    </cfRule>
    <cfRule type="expression" dxfId="12558" priority="336">
      <formula>AND(Y$9&gt;=14/24,Y$9&lt;20/24)</formula>
    </cfRule>
    <cfRule type="expression" dxfId="12557" priority="337">
      <formula>AND(Y$9&gt;=8/24,Y$9&lt;14/24)</formula>
    </cfRule>
    <cfRule type="expression" dxfId="12556" priority="338">
      <formula>Y$9&lt;8/24</formula>
    </cfRule>
  </conditionalFormatting>
  <conditionalFormatting sqref="Y100:AD106">
    <cfRule type="expression" dxfId="12555" priority="331">
      <formula>Y$9&gt;=20/24</formula>
    </cfRule>
    <cfRule type="expression" dxfId="12554" priority="332">
      <formula>AND(Y$9&gt;=14/24,Y$9&lt;20/24)</formula>
    </cfRule>
    <cfRule type="expression" dxfId="12553" priority="333">
      <formula>AND(Y$9&gt;=8/24,Y$9&lt;14/24)</formula>
    </cfRule>
    <cfRule type="expression" dxfId="12552" priority="334">
      <formula>Y$9&lt;8/24</formula>
    </cfRule>
  </conditionalFormatting>
  <conditionalFormatting sqref="C109 C111:C116">
    <cfRule type="expression" dxfId="12551" priority="327">
      <formula>C$9&gt;=20/24</formula>
    </cfRule>
    <cfRule type="expression" dxfId="12550" priority="328">
      <formula>AND(C$9&gt;=14/24,C$9&lt;20/24)</formula>
    </cfRule>
    <cfRule type="expression" dxfId="12549" priority="329">
      <formula>AND(C$9&gt;=8/24,C$9&lt;14/24)</formula>
    </cfRule>
    <cfRule type="expression" dxfId="12548" priority="330">
      <formula>C$9&lt;8/24</formula>
    </cfRule>
  </conditionalFormatting>
  <conditionalFormatting sqref="C47:S47">
    <cfRule type="expression" dxfId="12547" priority="323">
      <formula>C$9&gt;=20/24</formula>
    </cfRule>
    <cfRule type="expression" dxfId="12546" priority="324">
      <formula>AND(C$9&gt;=14/24,C$9&lt;20/24)</formula>
    </cfRule>
    <cfRule type="expression" dxfId="12545" priority="325">
      <formula>AND(C$9&gt;=8/24,C$9&lt;14/24)</formula>
    </cfRule>
    <cfRule type="expression" dxfId="12544" priority="326">
      <formula>C$9&lt;8/24</formula>
    </cfRule>
  </conditionalFormatting>
  <conditionalFormatting sqref="C47:S47">
    <cfRule type="expression" dxfId="12543" priority="322">
      <formula>C47&gt;$AG47</formula>
    </cfRule>
  </conditionalFormatting>
  <conditionalFormatting sqref="C99:D99">
    <cfRule type="expression" dxfId="12542" priority="318">
      <formula>C$9&gt;=20/24</formula>
    </cfRule>
    <cfRule type="expression" dxfId="12541" priority="319">
      <formula>AND(C$9&gt;=14/24,C$9&lt;20/24)</formula>
    </cfRule>
    <cfRule type="expression" dxfId="12540" priority="320">
      <formula>AND(C$9&gt;=8/24,C$9&lt;14/24)</formula>
    </cfRule>
    <cfRule type="expression" dxfId="12539" priority="321">
      <formula>C$9&lt;8/24</formula>
    </cfRule>
  </conditionalFormatting>
  <conditionalFormatting sqref="C86 C96:W96 C83:AF85 O67:V69 G74:Z76 AA75:AF76">
    <cfRule type="expression" dxfId="12538" priority="314">
      <formula>C$9&gt;=20/24</formula>
    </cfRule>
    <cfRule type="expression" dxfId="12537" priority="315">
      <formula>AND(C$9&gt;=14/24,C$9&lt;20/24)</formula>
    </cfRule>
    <cfRule type="expression" dxfId="12536" priority="316">
      <formula>AND(C$9&gt;=8/24,C$9&lt;14/24)</formula>
    </cfRule>
    <cfRule type="expression" dxfId="12535" priority="317">
      <formula>C$9&lt;8/24</formula>
    </cfRule>
  </conditionalFormatting>
  <conditionalFormatting sqref="I56:Q56 O67:V69">
    <cfRule type="expression" dxfId="12534" priority="313">
      <formula>I56&gt;$AG56</formula>
    </cfRule>
  </conditionalFormatting>
  <conditionalFormatting sqref="I58:Q58">
    <cfRule type="expression" dxfId="12533" priority="309">
      <formula>I$9&gt;=20/24</formula>
    </cfRule>
    <cfRule type="expression" dxfId="12532" priority="310">
      <formula>AND(I$9&gt;=14/24,I$9&lt;20/24)</formula>
    </cfRule>
    <cfRule type="expression" dxfId="12531" priority="311">
      <formula>AND(I$9&gt;=8/24,I$9&lt;14/24)</formula>
    </cfRule>
    <cfRule type="expression" dxfId="12530" priority="312">
      <formula>I$9&lt;8/24</formula>
    </cfRule>
  </conditionalFormatting>
  <conditionalFormatting sqref="I58:Q58">
    <cfRule type="expression" dxfId="12529" priority="308">
      <formula>I58&gt;$AG58</formula>
    </cfRule>
  </conditionalFormatting>
  <conditionalFormatting sqref="C71:D71">
    <cfRule type="expression" dxfId="12528" priority="241">
      <formula>C$9&gt;=20/24</formula>
    </cfRule>
    <cfRule type="expression" dxfId="12527" priority="242">
      <formula>AND(C$9&gt;=14/24,C$9&lt;20/24)</formula>
    </cfRule>
    <cfRule type="expression" dxfId="12526" priority="243">
      <formula>AND(C$9&gt;=8/24,C$9&lt;14/24)</formula>
    </cfRule>
    <cfRule type="expression" dxfId="12525" priority="244">
      <formula>C$9&lt;8/24</formula>
    </cfRule>
  </conditionalFormatting>
  <conditionalFormatting sqref="C87:AF87 C89:AF89 C98:AF98 C70:AF70">
    <cfRule type="expression" dxfId="12524" priority="304">
      <formula>C$9&gt;=20/24</formula>
    </cfRule>
    <cfRule type="expression" dxfId="12523" priority="305">
      <formula>AND(C$9&gt;=14/24,C$9&lt;20/24)</formula>
    </cfRule>
    <cfRule type="expression" dxfId="12522" priority="306">
      <formula>AND(C$9&gt;=8/24,C$9&lt;14/24)</formula>
    </cfRule>
    <cfRule type="expression" dxfId="12521" priority="307">
      <formula>C$9&lt;8/24</formula>
    </cfRule>
  </conditionalFormatting>
  <conditionalFormatting sqref="C66:AF66 C70:AF70 AA65:AF65">
    <cfRule type="expression" dxfId="12520" priority="303">
      <formula>C65&gt;$AG65</formula>
    </cfRule>
  </conditionalFormatting>
  <conditionalFormatting sqref="C82:AF82">
    <cfRule type="expression" dxfId="12519" priority="299">
      <formula>C$9&gt;=20/24</formula>
    </cfRule>
    <cfRule type="expression" dxfId="12518" priority="300">
      <formula>AND(C$9&gt;=14/24,C$9&lt;20/24)</formula>
    </cfRule>
    <cfRule type="expression" dxfId="12517" priority="301">
      <formula>AND(C$9&gt;=8/24,C$9&lt;14/24)</formula>
    </cfRule>
    <cfRule type="expression" dxfId="12516" priority="302">
      <formula>C$9&lt;8/24</formula>
    </cfRule>
  </conditionalFormatting>
  <conditionalFormatting sqref="C91:W95">
    <cfRule type="expression" dxfId="12515" priority="295">
      <formula>C$9&gt;=20/24</formula>
    </cfRule>
    <cfRule type="expression" dxfId="12514" priority="296">
      <formula>AND(C$9&gt;=14/24,C$9&lt;20/24)</formula>
    </cfRule>
    <cfRule type="expression" dxfId="12513" priority="297">
      <formula>AND(C$9&gt;=8/24,C$9&lt;14/24)</formula>
    </cfRule>
    <cfRule type="expression" dxfId="12512" priority="298">
      <formula>C$9&lt;8/24</formula>
    </cfRule>
  </conditionalFormatting>
  <conditionalFormatting sqref="C52:AF52">
    <cfRule type="expression" dxfId="12511" priority="291">
      <formula>C$9&gt;=20/24</formula>
    </cfRule>
    <cfRule type="expression" dxfId="12510" priority="292">
      <formula>AND(C$9&gt;=14/24,C$9&lt;20/24)</formula>
    </cfRule>
    <cfRule type="expression" dxfId="12509" priority="293">
      <formula>AND(C$9&gt;=8/24,C$9&lt;14/24)</formula>
    </cfRule>
    <cfRule type="expression" dxfId="12508" priority="294">
      <formula>C$9&lt;8/24</formula>
    </cfRule>
  </conditionalFormatting>
  <conditionalFormatting sqref="C52:AF52">
    <cfRule type="expression" dxfId="12507" priority="290">
      <formula>C52&gt;$AG52</formula>
    </cfRule>
  </conditionalFormatting>
  <conditionalFormatting sqref="D49:J49">
    <cfRule type="expression" dxfId="12506" priority="209">
      <formula>D$9&gt;=20/24</formula>
    </cfRule>
    <cfRule type="expression" dxfId="12505" priority="210">
      <formula>AND(D$9&gt;=14/24,D$9&lt;20/24)</formula>
    </cfRule>
    <cfRule type="expression" dxfId="12504" priority="211">
      <formula>AND(D$9&gt;=8/24,D$9&lt;14/24)</formula>
    </cfRule>
    <cfRule type="expression" dxfId="12503" priority="212">
      <formula>D$9&lt;8/24</formula>
    </cfRule>
  </conditionalFormatting>
  <conditionalFormatting sqref="C110">
    <cfRule type="expression" dxfId="12502" priority="282">
      <formula>C$9&gt;=20/24</formula>
    </cfRule>
    <cfRule type="expression" dxfId="12501" priority="283">
      <formula>AND(C$9&gt;=14/24,C$9&lt;20/24)</formula>
    </cfRule>
    <cfRule type="expression" dxfId="12500" priority="284">
      <formula>AND(C$9&gt;=8/24,C$9&lt;14/24)</formula>
    </cfRule>
    <cfRule type="expression" dxfId="12499" priority="285">
      <formula>C$9&lt;8/24</formula>
    </cfRule>
  </conditionalFormatting>
  <conditionalFormatting sqref="R59:Z59 AA59:AF64">
    <cfRule type="expression" dxfId="12498" priority="278">
      <formula>R$9&gt;=20/24</formula>
    </cfRule>
    <cfRule type="expression" dxfId="12497" priority="279">
      <formula>AND(R$9&gt;=14/24,R$9&lt;20/24)</formula>
    </cfRule>
    <cfRule type="expression" dxfId="12496" priority="280">
      <formula>AND(R$9&gt;=8/24,R$9&lt;14/24)</formula>
    </cfRule>
    <cfRule type="expression" dxfId="12495" priority="281">
      <formula>R$9&lt;8/24</formula>
    </cfRule>
  </conditionalFormatting>
  <conditionalFormatting sqref="R59:Z59 AA59:AF64">
    <cfRule type="expression" dxfId="12494" priority="277">
      <formula>R59&gt;$AG59</formula>
    </cfRule>
  </conditionalFormatting>
  <conditionalFormatting sqref="G77:L78 M77:AF81">
    <cfRule type="expression" dxfId="12493" priority="263">
      <formula>G$9&gt;=20/24</formula>
    </cfRule>
    <cfRule type="expression" dxfId="12492" priority="264">
      <formula>AND(G$9&gt;=14/24,G$9&lt;20/24)</formula>
    </cfRule>
    <cfRule type="expression" dxfId="12491" priority="265">
      <formula>AND(G$9&gt;=8/24,G$9&lt;14/24)</formula>
    </cfRule>
    <cfRule type="expression" dxfId="12490" priority="266">
      <formula>G$9&lt;8/24</formula>
    </cfRule>
  </conditionalFormatting>
  <conditionalFormatting sqref="AL78:AN78 AL84:AN84 AN79:AN80">
    <cfRule type="expression" dxfId="12489" priority="259">
      <formula>AL$9&gt;=20/24</formula>
    </cfRule>
    <cfRule type="expression" dxfId="12488" priority="260">
      <formula>AND(AL$9&gt;=14/24,AL$9&lt;20/24)</formula>
    </cfRule>
    <cfRule type="expression" dxfId="12487" priority="261">
      <formula>AND(AL$9&gt;=8/24,AL$9&lt;14/24)</formula>
    </cfRule>
    <cfRule type="expression" dxfId="12486" priority="262">
      <formula>AL$9&lt;8/24</formula>
    </cfRule>
  </conditionalFormatting>
  <conditionalFormatting sqref="AN81:AN82">
    <cfRule type="expression" dxfId="12485" priority="255">
      <formula>AN$9&gt;=20/24</formula>
    </cfRule>
    <cfRule type="expression" dxfId="12484" priority="256">
      <formula>AND(AN$9&gt;=14/24,AN$9&lt;20/24)</formula>
    </cfRule>
    <cfRule type="expression" dxfId="12483" priority="257">
      <formula>AND(AN$9&gt;=8/24,AN$9&lt;14/24)</formula>
    </cfRule>
    <cfRule type="expression" dxfId="12482" priority="258">
      <formula>AN$9&lt;8/24</formula>
    </cfRule>
  </conditionalFormatting>
  <conditionalFormatting sqref="AL79:AM83">
    <cfRule type="expression" dxfId="12481" priority="468">
      <formula>AJ$9&gt;=20/24</formula>
    </cfRule>
    <cfRule type="expression" dxfId="12480" priority="469">
      <formula>AND(AJ$9&gt;=14/24,AJ$9&lt;20/24)</formula>
    </cfRule>
    <cfRule type="expression" dxfId="12479" priority="470">
      <formula>AND(AJ$9&gt;=8/24,AJ$9&lt;14/24)</formula>
    </cfRule>
    <cfRule type="expression" dxfId="12478" priority="471">
      <formula>AJ$9&lt;8/24</formula>
    </cfRule>
  </conditionalFormatting>
  <conditionalFormatting sqref="A117">
    <cfRule type="expression" dxfId="12477" priority="254">
      <formula>$AH117=0</formula>
    </cfRule>
  </conditionalFormatting>
  <conditionalFormatting sqref="W23 G17:W22 X17:Z23 AA34:AF43 AA45:AF45 G12:AF15 AA17:AF32">
    <cfRule type="expression" dxfId="12476" priority="250">
      <formula>G$9&gt;=20/24</formula>
    </cfRule>
    <cfRule type="expression" dxfId="12475" priority="251">
      <formula>AND(G$9&gt;=14/24,G$9&lt;20/24)</formula>
    </cfRule>
    <cfRule type="expression" dxfId="12474" priority="252">
      <formula>AND(G$9&gt;=8/24,G$9&lt;14/24)</formula>
    </cfRule>
    <cfRule type="expression" dxfId="12473" priority="253">
      <formula>G$9&lt;8/24</formula>
    </cfRule>
  </conditionalFormatting>
  <conditionalFormatting sqref="W23 G17:W22 X17:Z23 AA34:AF43 AA45:AF45 G12:AF15 AA17:AF32">
    <cfRule type="expression" dxfId="12472" priority="249">
      <formula>G12&gt;$AG12</formula>
    </cfRule>
  </conditionalFormatting>
  <conditionalFormatting sqref="D53">
    <cfRule type="expression" dxfId="12471" priority="237">
      <formula>D$9&gt;=20/24</formula>
    </cfRule>
    <cfRule type="expression" dxfId="12470" priority="238">
      <formula>AND(D$9&gt;=14/24,D$9&lt;20/24)</formula>
    </cfRule>
    <cfRule type="expression" dxfId="12469" priority="239">
      <formula>AND(D$9&gt;=8/24,D$9&lt;14/24)</formula>
    </cfRule>
    <cfRule type="expression" dxfId="12468" priority="240">
      <formula>D$9&lt;8/24</formula>
    </cfRule>
  </conditionalFormatting>
  <conditionalFormatting sqref="D53">
    <cfRule type="expression" dxfId="12467" priority="236">
      <formula>D53&gt;$AG53</formula>
    </cfRule>
  </conditionalFormatting>
  <conditionalFormatting sqref="C73:D73 C100:D106 D72:F72 D74:F74 D67:N69">
    <cfRule type="expression" dxfId="12466" priority="232">
      <formula>C$9&gt;=20/24</formula>
    </cfRule>
    <cfRule type="expression" dxfId="12465" priority="233">
      <formula>AND(C$9&gt;=14/24,C$9&lt;20/24)</formula>
    </cfRule>
    <cfRule type="expression" dxfId="12464" priority="234">
      <formula>AND(C$9&gt;=8/24,C$9&lt;14/24)</formula>
    </cfRule>
    <cfRule type="expression" dxfId="12463" priority="235">
      <formula>C$9&lt;8/24</formula>
    </cfRule>
  </conditionalFormatting>
  <conditionalFormatting sqref="D67:N69">
    <cfRule type="expression" dxfId="12462" priority="231">
      <formula>D67&gt;$AG67</formula>
    </cfRule>
  </conditionalFormatting>
  <conditionalFormatting sqref="C88">
    <cfRule type="expression" dxfId="12461" priority="227">
      <formula>C$9&gt;=20/24</formula>
    </cfRule>
    <cfRule type="expression" dxfId="12460" priority="228">
      <formula>AND(C$9&gt;=14/24,C$9&lt;20/24)</formula>
    </cfRule>
    <cfRule type="expression" dxfId="12459" priority="229">
      <formula>AND(C$9&gt;=8/24,C$9&lt;14/24)</formula>
    </cfRule>
    <cfRule type="expression" dxfId="12458" priority="230">
      <formula>C$9&lt;8/24</formula>
    </cfRule>
  </conditionalFormatting>
  <conditionalFormatting sqref="AA46:AF46">
    <cfRule type="expression" dxfId="12457" priority="223">
      <formula>AA$9&gt;=20/24</formula>
    </cfRule>
    <cfRule type="expression" dxfId="12456" priority="224">
      <formula>AND(AA$9&gt;=14/24,AA$9&lt;20/24)</formula>
    </cfRule>
    <cfRule type="expression" dxfId="12455" priority="225">
      <formula>AND(AA$9&gt;=8/24,AA$9&lt;14/24)</formula>
    </cfRule>
    <cfRule type="expression" dxfId="12454" priority="226">
      <formula>AA$9&lt;8/24</formula>
    </cfRule>
  </conditionalFormatting>
  <conditionalFormatting sqref="AA46:AF46">
    <cfRule type="expression" dxfId="12453" priority="222">
      <formula>AA46&gt;$AG46</formula>
    </cfRule>
  </conditionalFormatting>
  <conditionalFormatting sqref="D49:J49">
    <cfRule type="expression" dxfId="12452" priority="208">
      <formula>D49&gt;$AG49</formula>
    </cfRule>
  </conditionalFormatting>
  <conditionalFormatting sqref="C48:AF48">
    <cfRule type="expression" dxfId="12451" priority="191">
      <formula>C48&gt;$AG48</formula>
    </cfRule>
  </conditionalFormatting>
  <conditionalFormatting sqref="I61:Z64">
    <cfRule type="expression" dxfId="12450" priority="174">
      <formula>I$9&gt;=20/24</formula>
    </cfRule>
    <cfRule type="expression" dxfId="12449" priority="175">
      <formula>AND(I$9&gt;=14/24,I$9&lt;20/24)</formula>
    </cfRule>
    <cfRule type="expression" dxfId="12448" priority="176">
      <formula>AND(I$9&gt;=8/24,I$9&lt;14/24)</formula>
    </cfRule>
    <cfRule type="expression" dxfId="12447" priority="177">
      <formula>I$9&lt;8/24</formula>
    </cfRule>
  </conditionalFormatting>
  <conditionalFormatting sqref="I61:Z64">
    <cfRule type="expression" dxfId="12446" priority="173">
      <formula>I61&gt;$AG61</formula>
    </cfRule>
  </conditionalFormatting>
  <conditionalFormatting sqref="G79:L81">
    <cfRule type="expression" dxfId="12445" priority="169">
      <formula>G$9&gt;=20/24</formula>
    </cfRule>
    <cfRule type="expression" dxfId="12444" priority="170">
      <formula>AND(G$9&gt;=14/24,G$9&lt;20/24)</formula>
    </cfRule>
    <cfRule type="expression" dxfId="12443" priority="171">
      <formula>AND(G$9&gt;=8/24,G$9&lt;14/24)</formula>
    </cfRule>
    <cfRule type="expression" dxfId="12442" priority="172">
      <formula>G$9&lt;8/24</formula>
    </cfRule>
  </conditionalFormatting>
  <conditionalFormatting sqref="A11">
    <cfRule type="expression" dxfId="12441" priority="168">
      <formula>$AH11=0</formula>
    </cfRule>
  </conditionalFormatting>
  <conditionalFormatting sqref="G11:AF11">
    <cfRule type="expression" dxfId="12440" priority="159">
      <formula>G$9&gt;=20/24</formula>
    </cfRule>
    <cfRule type="expression" dxfId="12439" priority="160">
      <formula>AND(G$9&gt;=14/24,G$9&lt;20/24)</formula>
    </cfRule>
    <cfRule type="expression" dxfId="12438" priority="161">
      <formula>AND(G$9&gt;=8/24,G$9&lt;14/24)</formula>
    </cfRule>
    <cfRule type="expression" dxfId="12437" priority="162">
      <formula>G$9&lt;8/24</formula>
    </cfRule>
  </conditionalFormatting>
  <conditionalFormatting sqref="G11:AF11">
    <cfRule type="expression" dxfId="12436" priority="158">
      <formula>G11&gt;$AG11</formula>
    </cfRule>
  </conditionalFormatting>
  <conditionalFormatting sqref="A16">
    <cfRule type="expression" dxfId="12435" priority="156">
      <formula>$AH16=0</formula>
    </cfRule>
  </conditionalFormatting>
  <conditionalFormatting sqref="AL1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G16:AF16">
    <cfRule type="expression" dxfId="12434" priority="152">
      <formula>G$9&gt;=20/24</formula>
    </cfRule>
    <cfRule type="expression" dxfId="12433" priority="153">
      <formula>AND(G$9&gt;=14/24,G$9&lt;20/24)</formula>
    </cfRule>
    <cfRule type="expression" dxfId="12432" priority="154">
      <formula>AND(G$9&gt;=8/24,G$9&lt;14/24)</formula>
    </cfRule>
    <cfRule type="expression" dxfId="12431" priority="155">
      <formula>G$9&lt;8/24</formula>
    </cfRule>
  </conditionalFormatting>
  <conditionalFormatting sqref="G16:AF16">
    <cfRule type="expression" dxfId="12430" priority="151">
      <formula>G16&gt;$AG16</formula>
    </cfRule>
  </conditionalFormatting>
  <conditionalFormatting sqref="A33">
    <cfRule type="expression" dxfId="12429" priority="149">
      <formula>$AH33=0</formula>
    </cfRule>
  </conditionalFormatting>
  <conditionalFormatting sqref="AL33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AA33:AF33">
    <cfRule type="expression" dxfId="12428" priority="145">
      <formula>AA$9&gt;=20/24</formula>
    </cfRule>
    <cfRule type="expression" dxfId="12427" priority="146">
      <formula>AND(AA$9&gt;=14/24,AA$9&lt;20/24)</formula>
    </cfRule>
    <cfRule type="expression" dxfId="12426" priority="147">
      <formula>AND(AA$9&gt;=8/24,AA$9&lt;14/24)</formula>
    </cfRule>
    <cfRule type="expression" dxfId="12425" priority="148">
      <formula>AA$9&lt;8/24</formula>
    </cfRule>
  </conditionalFormatting>
  <conditionalFormatting sqref="AA33:AF33">
    <cfRule type="expression" dxfId="12424" priority="144">
      <formula>AA33&gt;$AG33</formula>
    </cfRule>
  </conditionalFormatting>
  <conditionalFormatting sqref="A44">
    <cfRule type="expression" dxfId="12423" priority="142">
      <formula>$AH44=0</formula>
    </cfRule>
  </conditionalFormatting>
  <conditionalFormatting sqref="AL44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12422" priority="138">
      <formula>AA$9&gt;=20/24</formula>
    </cfRule>
    <cfRule type="expression" dxfId="12421" priority="139">
      <formula>AND(AA$9&gt;=14/24,AA$9&lt;20/24)</formula>
    </cfRule>
    <cfRule type="expression" dxfId="12420" priority="140">
      <formula>AND(AA$9&gt;=8/24,AA$9&lt;14/24)</formula>
    </cfRule>
    <cfRule type="expression" dxfId="12419" priority="141">
      <formula>AA$9&lt;8/24</formula>
    </cfRule>
  </conditionalFormatting>
  <conditionalFormatting sqref="AA44:AF44">
    <cfRule type="expression" dxfId="12418" priority="137">
      <formula>AA44&gt;$AG44</formula>
    </cfRule>
  </conditionalFormatting>
  <conditionalFormatting sqref="D117:AF117">
    <cfRule type="expression" dxfId="12417" priority="133">
      <formula>D$9&gt;=20/24</formula>
    </cfRule>
    <cfRule type="expression" dxfId="12416" priority="134">
      <formula>AND(D$9&gt;=14/24,D$9&lt;20/24)</formula>
    </cfRule>
    <cfRule type="expression" dxfId="12415" priority="135">
      <formula>AND(D$9&gt;=8/24,D$9&lt;14/24)</formula>
    </cfRule>
    <cfRule type="expression" dxfId="12414" priority="136">
      <formula>D$9&lt;8/24</formula>
    </cfRule>
  </conditionalFormatting>
  <conditionalFormatting sqref="C117">
    <cfRule type="expression" dxfId="12413" priority="129">
      <formula>C$9&gt;=20/24</formula>
    </cfRule>
    <cfRule type="expression" dxfId="12412" priority="130">
      <formula>AND(C$9&gt;=14/24,C$9&lt;20/24)</formula>
    </cfRule>
    <cfRule type="expression" dxfId="12411" priority="131">
      <formula>AND(C$9&gt;=8/24,C$9&lt;14/24)</formula>
    </cfRule>
    <cfRule type="expression" dxfId="12410" priority="132">
      <formula>C$9&lt;8/24</formula>
    </cfRule>
  </conditionalFormatting>
  <conditionalFormatting sqref="B109 B111:B116">
    <cfRule type="expression" dxfId="12409" priority="121">
      <formula>B$9&gt;=20/24</formula>
    </cfRule>
    <cfRule type="expression" dxfId="12408" priority="122">
      <formula>AND(B$9&gt;=14/24,B$9&lt;20/24)</formula>
    </cfRule>
    <cfRule type="expression" dxfId="12407" priority="123">
      <formula>AND(B$9&gt;=8/24,B$9&lt;14/24)</formula>
    </cfRule>
    <cfRule type="expression" dxfId="12406" priority="124">
      <formula>B$9&lt;8/24</formula>
    </cfRule>
  </conditionalFormatting>
  <conditionalFormatting sqref="B99">
    <cfRule type="expression" dxfId="12405" priority="117">
      <formula>B$9&gt;=20/24</formula>
    </cfRule>
    <cfRule type="expression" dxfId="12404" priority="118">
      <formula>AND(B$9&gt;=14/24,B$9&lt;20/24)</formula>
    </cfRule>
    <cfRule type="expression" dxfId="12403" priority="119">
      <formula>AND(B$9&gt;=8/24,B$9&lt;14/24)</formula>
    </cfRule>
    <cfRule type="expression" dxfId="12402" priority="120">
      <formula>B$9&lt;8/24</formula>
    </cfRule>
  </conditionalFormatting>
  <conditionalFormatting sqref="B71 B54:D56 E55:H56 B58:H58">
    <cfRule type="expression" dxfId="12401" priority="113">
      <formula>B$9&gt;=20/24</formula>
    </cfRule>
    <cfRule type="expression" dxfId="12400" priority="114">
      <formula>AND(B$9&gt;=14/24,B$9&lt;20/24)</formula>
    </cfRule>
    <cfRule type="expression" dxfId="12399" priority="115">
      <formula>AND(B$9&gt;=8/24,B$9&lt;14/24)</formula>
    </cfRule>
    <cfRule type="expression" dxfId="12398" priority="116">
      <formula>B$9&lt;8/24</formula>
    </cfRule>
  </conditionalFormatting>
  <conditionalFormatting sqref="B53:C53">
    <cfRule type="expression" dxfId="12397" priority="109">
      <formula>B$9&gt;=20/24</formula>
    </cfRule>
    <cfRule type="expression" dxfId="12396" priority="110">
      <formula>AND(B$9&gt;=14/24,B$9&lt;20/24)</formula>
    </cfRule>
    <cfRule type="expression" dxfId="12395" priority="111">
      <formula>AND(B$9&gt;=8/24,B$9&lt;14/24)</formula>
    </cfRule>
    <cfRule type="expression" dxfId="12394" priority="112">
      <formula>B$9&lt;8/24</formula>
    </cfRule>
  </conditionalFormatting>
  <conditionalFormatting sqref="B53:C56 D54:D56 E55:H56 B58:H58">
    <cfRule type="expression" dxfId="12393" priority="108">
      <formula>B53&gt;$AG53</formula>
    </cfRule>
  </conditionalFormatting>
  <conditionalFormatting sqref="B86 B96 B47 B72:B74 B100:B106 B67:C69 C72 C74">
    <cfRule type="expression" dxfId="12392" priority="104">
      <formula>B$9&gt;=20/24</formula>
    </cfRule>
    <cfRule type="expression" dxfId="12391" priority="105">
      <formula>AND(B$9&gt;=14/24,B$9&lt;20/24)</formula>
    </cfRule>
    <cfRule type="expression" dxfId="12390" priority="106">
      <formula>AND(B$9&gt;=8/24,B$9&lt;14/24)</formula>
    </cfRule>
    <cfRule type="expression" dxfId="12389" priority="107">
      <formula>B$9&lt;8/24</formula>
    </cfRule>
  </conditionalFormatting>
  <conditionalFormatting sqref="B47 B67:C69">
    <cfRule type="expression" dxfId="12388" priority="103">
      <formula>B47&gt;$AG47</formula>
    </cfRule>
  </conditionalFormatting>
  <conditionalFormatting sqref="B57:Q57">
    <cfRule type="expression" dxfId="12387" priority="99">
      <formula>B$9&gt;=20/24</formula>
    </cfRule>
    <cfRule type="expression" dxfId="12386" priority="100">
      <formula>AND(B$9&gt;=14/24,B$9&lt;20/24)</formula>
    </cfRule>
    <cfRule type="expression" dxfId="12385" priority="101">
      <formula>AND(B$9&gt;=8/24,B$9&lt;14/24)</formula>
    </cfRule>
    <cfRule type="expression" dxfId="12384" priority="102">
      <formula>B$9&lt;8/24</formula>
    </cfRule>
  </conditionalFormatting>
  <conditionalFormatting sqref="B57:Q57">
    <cfRule type="expression" dxfId="12383" priority="98">
      <formula>B57&gt;$AG57</formula>
    </cfRule>
  </conditionalFormatting>
  <conditionalFormatting sqref="B97 B88">
    <cfRule type="expression" dxfId="12382" priority="94">
      <formula>B$9&gt;=20/24</formula>
    </cfRule>
    <cfRule type="expression" dxfId="12381" priority="95">
      <formula>AND(B$9&gt;=14/24,B$9&lt;20/24)</formula>
    </cfRule>
    <cfRule type="expression" dxfId="12380" priority="96">
      <formula>AND(B$9&gt;=8/24,B$9&lt;14/24)</formula>
    </cfRule>
    <cfRule type="expression" dxfId="12379" priority="97">
      <formula>B$9&lt;8/24</formula>
    </cfRule>
  </conditionalFormatting>
  <conditionalFormatting sqref="B91:B95">
    <cfRule type="expression" dxfId="12378" priority="90">
      <formula>B$9&gt;=20/24</formula>
    </cfRule>
    <cfRule type="expression" dxfId="12377" priority="91">
      <formula>AND(B$9&gt;=14/24,B$9&lt;20/24)</formula>
    </cfRule>
    <cfRule type="expression" dxfId="12376" priority="92">
      <formula>AND(B$9&gt;=8/24,B$9&lt;14/24)</formula>
    </cfRule>
    <cfRule type="expression" dxfId="12375" priority="93">
      <formula>B$9&lt;8/24</formula>
    </cfRule>
  </conditionalFormatting>
  <conditionalFormatting sqref="B49:C51 D50:J51">
    <cfRule type="expression" dxfId="12374" priority="86">
      <formula>B$9&gt;=20/24</formula>
    </cfRule>
    <cfRule type="expression" dxfId="12373" priority="87">
      <formula>AND(B$9&gt;=14/24,B$9&lt;20/24)</formula>
    </cfRule>
    <cfRule type="expression" dxfId="12372" priority="88">
      <formula>AND(B$9&gt;=8/24,B$9&lt;14/24)</formula>
    </cfRule>
    <cfRule type="expression" dxfId="12371" priority="89">
      <formula>B$9&lt;8/24</formula>
    </cfRule>
  </conditionalFormatting>
  <conditionalFormatting sqref="B49:C51 D50:J51">
    <cfRule type="expression" dxfId="12370" priority="85">
      <formula>B49&gt;$AG49</formula>
    </cfRule>
  </conditionalFormatting>
  <conditionalFormatting sqref="B107">
    <cfRule type="expression" dxfId="12369" priority="81">
      <formula>B$9&gt;=20/24</formula>
    </cfRule>
    <cfRule type="expression" dxfId="12368" priority="82">
      <formula>AND(B$9&gt;=14/24,B$9&lt;20/24)</formula>
    </cfRule>
    <cfRule type="expression" dxfId="12367" priority="83">
      <formula>AND(B$9&gt;=8/24,B$9&lt;14/24)</formula>
    </cfRule>
    <cfRule type="expression" dxfId="12366" priority="84">
      <formula>B$9&lt;8/24</formula>
    </cfRule>
  </conditionalFormatting>
  <conditionalFormatting sqref="B110">
    <cfRule type="expression" dxfId="12365" priority="77">
      <formula>B$9&gt;=20/24</formula>
    </cfRule>
    <cfRule type="expression" dxfId="12364" priority="78">
      <formula>AND(B$9&gt;=14/24,B$9&lt;20/24)</formula>
    </cfRule>
    <cfRule type="expression" dxfId="12363" priority="79">
      <formula>AND(B$9&gt;=8/24,B$9&lt;14/24)</formula>
    </cfRule>
    <cfRule type="expression" dxfId="12362" priority="80">
      <formula>B$9&lt;8/24</formula>
    </cfRule>
  </conditionalFormatting>
  <conditionalFormatting sqref="B83:B85 B75:F76">
    <cfRule type="expression" dxfId="12361" priority="73">
      <formula>B$9&gt;=20/24</formula>
    </cfRule>
    <cfRule type="expression" dxfId="12360" priority="74">
      <formula>AND(B$9&gt;=14/24,B$9&lt;20/24)</formula>
    </cfRule>
    <cfRule type="expression" dxfId="12359" priority="75">
      <formula>AND(B$9&gt;=8/24,B$9&lt;14/24)</formula>
    </cfRule>
    <cfRule type="expression" dxfId="12358" priority="76">
      <formula>B$9&lt;8/24</formula>
    </cfRule>
  </conditionalFormatting>
  <conditionalFormatting sqref="B87 B89 B98 B70">
    <cfRule type="expression" dxfId="12357" priority="69">
      <formula>B$9&gt;=20/24</formula>
    </cfRule>
    <cfRule type="expression" dxfId="12356" priority="70">
      <formula>AND(B$9&gt;=14/24,B$9&lt;20/24)</formula>
    </cfRule>
    <cfRule type="expression" dxfId="12355" priority="71">
      <formula>AND(B$9&gt;=8/24,B$9&lt;14/24)</formula>
    </cfRule>
    <cfRule type="expression" dxfId="12354" priority="72">
      <formula>B$9&lt;8/24</formula>
    </cfRule>
  </conditionalFormatting>
  <conditionalFormatting sqref="B70 B65:B66 C65:Z65">
    <cfRule type="expression" dxfId="12353" priority="68">
      <formula>B65&gt;$AG65</formula>
    </cfRule>
  </conditionalFormatting>
  <conditionalFormatting sqref="B82">
    <cfRule type="expression" dxfId="12352" priority="64">
      <formula>B$9&gt;=20/24</formula>
    </cfRule>
    <cfRule type="expression" dxfId="12351" priority="65">
      <formula>AND(B$9&gt;=14/24,B$9&lt;20/24)</formula>
    </cfRule>
    <cfRule type="expression" dxfId="12350" priority="66">
      <formula>AND(B$9&gt;=8/24,B$9&lt;14/24)</formula>
    </cfRule>
    <cfRule type="expression" dxfId="12349" priority="67">
      <formula>B$9&lt;8/24</formula>
    </cfRule>
  </conditionalFormatting>
  <conditionalFormatting sqref="B52">
    <cfRule type="expression" dxfId="12348" priority="60">
      <formula>B$9&gt;=20/24</formula>
    </cfRule>
    <cfRule type="expression" dxfId="12347" priority="61">
      <formula>AND(B$9&gt;=14/24,B$9&lt;20/24)</formula>
    </cfRule>
    <cfRule type="expression" dxfId="12346" priority="62">
      <formula>AND(B$9&gt;=8/24,B$9&lt;14/24)</formula>
    </cfRule>
    <cfRule type="expression" dxfId="12345" priority="63">
      <formula>B$9&lt;8/24</formula>
    </cfRule>
  </conditionalFormatting>
  <conditionalFormatting sqref="B52">
    <cfRule type="expression" dxfId="12344" priority="59">
      <formula>B52&gt;$AG52</formula>
    </cfRule>
  </conditionalFormatting>
  <conditionalFormatting sqref="B60:H64 B59:K59 I60:K60 L59:Q60 R60:Z60">
    <cfRule type="expression" dxfId="12343" priority="51">
      <formula>B$9&gt;=20/24</formula>
    </cfRule>
    <cfRule type="expression" dxfId="12342" priority="52">
      <formula>AND(B$9&gt;=14/24,B$9&lt;20/24)</formula>
    </cfRule>
    <cfRule type="expression" dxfId="12341" priority="53">
      <formula>AND(B$9&gt;=8/24,B$9&lt;14/24)</formula>
    </cfRule>
    <cfRule type="expression" dxfId="12340" priority="54">
      <formula>B$9&lt;8/24</formula>
    </cfRule>
  </conditionalFormatting>
  <conditionalFormatting sqref="B60:H64 B59:K59 I60:K60 L59:Q60 R60:Z60">
    <cfRule type="expression" dxfId="12339" priority="50">
      <formula>B59&gt;$AG59</formula>
    </cfRule>
  </conditionalFormatting>
  <conditionalFormatting sqref="B13:F15">
    <cfRule type="expression" dxfId="12338" priority="49">
      <formula>B13&gt;$AG13</formula>
    </cfRule>
  </conditionalFormatting>
  <conditionalFormatting sqref="B12:F12">
    <cfRule type="expression" dxfId="12337" priority="45">
      <formula>B$9&gt;=20/24</formula>
    </cfRule>
    <cfRule type="expression" dxfId="12336" priority="46">
      <formula>AND(B$9&gt;=14/24,B$9&lt;20/24)</formula>
    </cfRule>
    <cfRule type="expression" dxfId="12335" priority="47">
      <formula>AND(B$9&gt;=8/24,B$9&lt;14/24)</formula>
    </cfRule>
    <cfRule type="expression" dxfId="12334" priority="48">
      <formula>B$9&lt;8/24</formula>
    </cfRule>
  </conditionalFormatting>
  <conditionalFormatting sqref="B12:F12">
    <cfRule type="expression" dxfId="12333" priority="44">
      <formula>B12&gt;$AG12</formula>
    </cfRule>
  </conditionalFormatting>
  <conditionalFormatting sqref="B13:F15">
    <cfRule type="expression" dxfId="12332" priority="40">
      <formula>B$9&gt;=20/24</formula>
    </cfRule>
    <cfRule type="expression" dxfId="12331" priority="41">
      <formula>AND(B$9&gt;=14/24,B$9&lt;20/24)</formula>
    </cfRule>
    <cfRule type="expression" dxfId="12330" priority="42">
      <formula>AND(B$9&gt;=8/24,B$9&lt;14/24)</formula>
    </cfRule>
    <cfRule type="expression" dxfId="12329" priority="43">
      <formula>B$9&lt;8/24</formula>
    </cfRule>
  </conditionalFormatting>
  <conditionalFormatting sqref="B77:F81">
    <cfRule type="expression" dxfId="12328" priority="36">
      <formula>B$9&gt;=20/24</formula>
    </cfRule>
    <cfRule type="expression" dxfId="12327" priority="37">
      <formula>AND(B$9&gt;=14/24,B$9&lt;20/24)</formula>
    </cfRule>
    <cfRule type="expression" dxfId="12326" priority="38">
      <formula>AND(B$9&gt;=8/24,B$9&lt;14/24)</formula>
    </cfRule>
    <cfRule type="expression" dxfId="12325" priority="39">
      <formula>B$9&lt;8/24</formula>
    </cfRule>
  </conditionalFormatting>
  <conditionalFormatting sqref="B17:F22 B23:V32 B34:Z43 B45:Z45 W24:Z32">
    <cfRule type="expression" dxfId="12324" priority="32">
      <formula>B$9&gt;=20/24</formula>
    </cfRule>
    <cfRule type="expression" dxfId="12323" priority="33">
      <formula>AND(B$9&gt;=14/24,B$9&lt;20/24)</formula>
    </cfRule>
    <cfRule type="expression" dxfId="12322" priority="34">
      <formula>AND(B$9&gt;=8/24,B$9&lt;14/24)</formula>
    </cfRule>
    <cfRule type="expression" dxfId="12321" priority="35">
      <formula>B$9&lt;8/24</formula>
    </cfRule>
  </conditionalFormatting>
  <conditionalFormatting sqref="B17:F22 B23:V32 B34:Z43 B45:Z45 W24:Z32">
    <cfRule type="expression" dxfId="12320" priority="31">
      <formula>B17&gt;$AG17</formula>
    </cfRule>
  </conditionalFormatting>
  <conditionalFormatting sqref="B46:Z46">
    <cfRule type="expression" dxfId="12319" priority="27">
      <formula>B$9&gt;=20/24</formula>
    </cfRule>
    <cfRule type="expression" dxfId="12318" priority="28">
      <formula>AND(B$9&gt;=14/24,B$9&lt;20/24)</formula>
    </cfRule>
    <cfRule type="expression" dxfId="12317" priority="29">
      <formula>AND(B$9&gt;=8/24,B$9&lt;14/24)</formula>
    </cfRule>
    <cfRule type="expression" dxfId="12316" priority="30">
      <formula>B$9&lt;8/24</formula>
    </cfRule>
  </conditionalFormatting>
  <conditionalFormatting sqref="B46:Z46">
    <cfRule type="expression" dxfId="12315" priority="26">
      <formula>B46&gt;$AG46</formula>
    </cfRule>
  </conditionalFormatting>
  <conditionalFormatting sqref="B48">
    <cfRule type="expression" dxfId="12314" priority="25">
      <formula>B48&gt;$AG48</formula>
    </cfRule>
  </conditionalFormatting>
  <conditionalFormatting sqref="B11:F11">
    <cfRule type="expression" dxfId="12313" priority="21">
      <formula>B$9&gt;=20/24</formula>
    </cfRule>
    <cfRule type="expression" dxfId="12312" priority="22">
      <formula>AND(B$9&gt;=14/24,B$9&lt;20/24)</formula>
    </cfRule>
    <cfRule type="expression" dxfId="12311" priority="23">
      <formula>AND(B$9&gt;=8/24,B$9&lt;14/24)</formula>
    </cfRule>
    <cfRule type="expression" dxfId="12310" priority="24">
      <formula>B$9&lt;8/24</formula>
    </cfRule>
  </conditionalFormatting>
  <conditionalFormatting sqref="B11:F11">
    <cfRule type="expression" dxfId="12309" priority="20">
      <formula>B11&gt;$AG11</formula>
    </cfRule>
  </conditionalFormatting>
  <conditionalFormatting sqref="B16:F16">
    <cfRule type="expression" dxfId="12308" priority="16">
      <formula>B$9&gt;=20/24</formula>
    </cfRule>
    <cfRule type="expression" dxfId="12307" priority="17">
      <formula>AND(B$9&gt;=14/24,B$9&lt;20/24)</formula>
    </cfRule>
    <cfRule type="expression" dxfId="12306" priority="18">
      <formula>AND(B$9&gt;=8/24,B$9&lt;14/24)</formula>
    </cfRule>
    <cfRule type="expression" dxfId="12305" priority="19">
      <formula>B$9&lt;8/24</formula>
    </cfRule>
  </conditionalFormatting>
  <conditionalFormatting sqref="B16:F16">
    <cfRule type="expression" dxfId="12304" priority="15">
      <formula>B16&gt;$AG16</formula>
    </cfRule>
  </conditionalFormatting>
  <conditionalFormatting sqref="B33:Z33">
    <cfRule type="expression" dxfId="12303" priority="11">
      <formula>B$9&gt;=20/24</formula>
    </cfRule>
    <cfRule type="expression" dxfId="12302" priority="12">
      <formula>AND(B$9&gt;=14/24,B$9&lt;20/24)</formula>
    </cfRule>
    <cfRule type="expression" dxfId="12301" priority="13">
      <formula>AND(B$9&gt;=8/24,B$9&lt;14/24)</formula>
    </cfRule>
    <cfRule type="expression" dxfId="12300" priority="14">
      <formula>B$9&lt;8/24</formula>
    </cfRule>
  </conditionalFormatting>
  <conditionalFormatting sqref="B33:Z33">
    <cfRule type="expression" dxfId="12299" priority="10">
      <formula>B33&gt;$AG33</formula>
    </cfRule>
  </conditionalFormatting>
  <conditionalFormatting sqref="B44:Z44">
    <cfRule type="expression" dxfId="12298" priority="6">
      <formula>B$9&gt;=20/24</formula>
    </cfRule>
    <cfRule type="expression" dxfId="12297" priority="7">
      <formula>AND(B$9&gt;=14/24,B$9&lt;20/24)</formula>
    </cfRule>
    <cfRule type="expression" dxfId="12296" priority="8">
      <formula>AND(B$9&gt;=8/24,B$9&lt;14/24)</formula>
    </cfRule>
    <cfRule type="expression" dxfId="12295" priority="9">
      <formula>B$9&lt;8/24</formula>
    </cfRule>
  </conditionalFormatting>
  <conditionalFormatting sqref="B44:Z44">
    <cfRule type="expression" dxfId="12294" priority="5">
      <formula>B44&gt;$AG44</formula>
    </cfRule>
  </conditionalFormatting>
  <conditionalFormatting sqref="B117">
    <cfRule type="expression" dxfId="12293" priority="1">
      <formula>B$9&gt;=20/24</formula>
    </cfRule>
    <cfRule type="expression" dxfId="12292" priority="2">
      <formula>AND(B$9&gt;=14/24,B$9&lt;20/24)</formula>
    </cfRule>
    <cfRule type="expression" dxfId="12291" priority="3">
      <formula>AND(B$9&gt;=8/24,B$9&lt;14/24)</formula>
    </cfRule>
    <cfRule type="expression" dxfId="12290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6" id="{C6FDBCC0-81B7-49B8-9011-2F26EB0A669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87" id="{092AEAFD-6006-4E48-A539-9064300C1AD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88" id="{6589940B-5544-40E1-9DF8-ABB14B7B7E8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89" id="{E7008D39-116A-4F46-BF80-83AC9F1B61E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55" id="{11DC2EB0-66C7-47E8-83F4-E163788C30A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C72808EC-1B5A-423C-9056-A99ABD262DD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6E09D049-9801-440C-B689-99306C529E0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3BC452CA-25B0-45D5-A21B-F600BB084F2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CJ278"/>
  <sheetViews>
    <sheetView zoomScale="90" zoomScaleNormal="90" workbookViewId="0">
      <pane ySplit="10" topLeftCell="A32" activePane="bottomLeft" state="frozen"/>
      <selection activeCell="Z85" sqref="Z85"/>
      <selection pane="bottomLeft" activeCell="B78" sqref="B78:M7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2080/02/5</v>
      </c>
      <c r="C4" s="191"/>
      <c r="D4" s="191"/>
      <c r="E4" s="192" t="str">
        <f ca="1">"2079/"&amp;"12/"&amp;INT(MID(CELL("filename",G6),FIND("]",CELL("filename",G6))+1,200))</f>
        <v>2079/12/5</v>
      </c>
      <c r="F4" s="192"/>
      <c r="G4" s="192"/>
      <c r="H4" s="192" t="str">
        <f ca="1">TEXT(E4,"dddd")</f>
        <v>Tuesday</v>
      </c>
      <c r="I4" s="192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109.8</v>
      </c>
      <c r="C5" s="30">
        <f t="shared" si="0"/>
        <v>84</v>
      </c>
      <c r="D5" s="30">
        <f t="shared" si="0"/>
        <v>324</v>
      </c>
      <c r="E5" s="30">
        <f t="shared" si="0"/>
        <v>334</v>
      </c>
      <c r="F5" s="30">
        <f t="shared" si="0"/>
        <v>214</v>
      </c>
      <c r="G5" s="30">
        <f t="shared" si="0"/>
        <v>307.5</v>
      </c>
      <c r="H5" s="30">
        <f t="shared" si="0"/>
        <v>303.89999999999998</v>
      </c>
      <c r="I5" s="30">
        <f t="shared" si="0"/>
        <v>363</v>
      </c>
      <c r="J5" s="30">
        <f t="shared" si="0"/>
        <v>368.9</v>
      </c>
      <c r="K5" s="30">
        <f t="shared" si="0"/>
        <v>268.89999999999998</v>
      </c>
      <c r="L5" s="30">
        <f t="shared" si="0"/>
        <v>308.5</v>
      </c>
      <c r="M5" s="30">
        <f t="shared" si="0"/>
        <v>301.8</v>
      </c>
      <c r="N5" s="30">
        <f t="shared" si="0"/>
        <v>296</v>
      </c>
      <c r="O5" s="30">
        <f t="shared" si="0"/>
        <v>309</v>
      </c>
      <c r="P5" s="30">
        <f t="shared" si="0"/>
        <v>286</v>
      </c>
      <c r="Q5" s="30">
        <f t="shared" si="0"/>
        <v>350.2</v>
      </c>
      <c r="R5" s="30">
        <f t="shared" si="0"/>
        <v>340.4</v>
      </c>
      <c r="S5" s="30">
        <f t="shared" si="0"/>
        <v>339.7</v>
      </c>
      <c r="T5" s="30">
        <f t="shared" si="0"/>
        <v>381.7</v>
      </c>
      <c r="U5" s="30">
        <f t="shared" si="0"/>
        <v>395.3</v>
      </c>
      <c r="V5" s="30">
        <f t="shared" si="0"/>
        <v>351.4</v>
      </c>
      <c r="W5" s="30">
        <f t="shared" si="0"/>
        <v>344</v>
      </c>
      <c r="X5" s="30">
        <f t="shared" si="0"/>
        <v>315</v>
      </c>
      <c r="Y5" s="30">
        <f t="shared" si="0"/>
        <v>172.8</v>
      </c>
      <c r="Z5" s="30">
        <f t="shared" si="0"/>
        <v>68</v>
      </c>
      <c r="AA5" s="30">
        <f t="shared" si="0"/>
        <v>58</v>
      </c>
      <c r="AB5" s="30">
        <f t="shared" si="0"/>
        <v>68</v>
      </c>
      <c r="AC5" s="30">
        <f t="shared" si="0"/>
        <v>73</v>
      </c>
      <c r="AD5" s="30">
        <f t="shared" si="0"/>
        <v>83</v>
      </c>
      <c r="AE5" s="30">
        <f t="shared" si="0"/>
        <v>93</v>
      </c>
      <c r="AF5" s="30">
        <f>B82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1384MW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Load=1185</v>
      </c>
      <c r="B7" s="35">
        <f t="shared" ref="B7:AF7" si="1">B89</f>
        <v>1185.0400000000002</v>
      </c>
      <c r="C7" s="35">
        <f t="shared" si="1"/>
        <v>1370.74</v>
      </c>
      <c r="D7" s="35">
        <f t="shared" si="1"/>
        <v>1240.01</v>
      </c>
      <c r="E7" s="35">
        <f t="shared" si="1"/>
        <v>1348.54</v>
      </c>
      <c r="F7" s="35">
        <f t="shared" si="1"/>
        <v>1358.54</v>
      </c>
      <c r="G7" s="35">
        <f t="shared" si="1"/>
        <v>1264.04</v>
      </c>
      <c r="H7" s="35">
        <f t="shared" si="1"/>
        <v>1308.74</v>
      </c>
      <c r="I7" s="35">
        <f t="shared" si="1"/>
        <v>1310.1399999999999</v>
      </c>
      <c r="J7" s="35">
        <f t="shared" si="1"/>
        <v>1329.8400000000001</v>
      </c>
      <c r="K7" s="35">
        <f t="shared" si="1"/>
        <v>1335.74</v>
      </c>
      <c r="L7" s="35">
        <f t="shared" si="1"/>
        <v>1331.7400000000002</v>
      </c>
      <c r="M7" s="35">
        <f t="shared" si="1"/>
        <v>1364.94</v>
      </c>
      <c r="N7" s="35">
        <f>N89</f>
        <v>1384.4399999999998</v>
      </c>
      <c r="O7" s="35">
        <f t="shared" si="1"/>
        <v>1392.1399999999999</v>
      </c>
      <c r="P7" s="35">
        <f t="shared" si="1"/>
        <v>1458.8400000000001</v>
      </c>
      <c r="Q7" s="35">
        <f t="shared" si="1"/>
        <v>1446.94</v>
      </c>
      <c r="R7" s="35">
        <f t="shared" si="1"/>
        <v>1478.3400000000001</v>
      </c>
      <c r="S7" s="35">
        <f t="shared" si="1"/>
        <v>1467.6400000000003</v>
      </c>
      <c r="T7" s="35">
        <f t="shared" si="1"/>
        <v>1460.9400000000003</v>
      </c>
      <c r="U7" s="35">
        <f t="shared" si="1"/>
        <v>1481.3400000000001</v>
      </c>
      <c r="V7" s="35">
        <f t="shared" si="1"/>
        <v>1430.5400000000002</v>
      </c>
      <c r="W7" s="35">
        <f t="shared" si="1"/>
        <v>1378.94</v>
      </c>
      <c r="X7" s="35">
        <f t="shared" si="1"/>
        <v>1419.3400000000001</v>
      </c>
      <c r="Y7" s="35">
        <f t="shared" si="1"/>
        <v>1328.94</v>
      </c>
      <c r="Z7" s="35">
        <f t="shared" si="1"/>
        <v>1393.24</v>
      </c>
      <c r="AA7" s="35">
        <f t="shared" si="1"/>
        <v>1366.64</v>
      </c>
      <c r="AB7" s="35">
        <f t="shared" si="1"/>
        <v>1336.64</v>
      </c>
      <c r="AC7" s="35">
        <f t="shared" si="1"/>
        <v>1336.64</v>
      </c>
      <c r="AD7" s="35">
        <f t="shared" si="1"/>
        <v>1346.64</v>
      </c>
      <c r="AE7" s="35">
        <f t="shared" si="1"/>
        <v>1303.74</v>
      </c>
      <c r="AF7" s="35">
        <f t="shared" si="1"/>
        <v>1346.74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</v>
      </c>
      <c r="C11" s="45">
        <v>32</v>
      </c>
      <c r="D11" s="45">
        <v>32</v>
      </c>
      <c r="E11" s="45">
        <v>32</v>
      </c>
      <c r="F11" s="45">
        <v>32</v>
      </c>
      <c r="G11" s="45">
        <v>32</v>
      </c>
      <c r="H11" s="45">
        <v>32</v>
      </c>
      <c r="I11" s="45">
        <v>32</v>
      </c>
      <c r="J11" s="45">
        <v>32</v>
      </c>
      <c r="K11" s="45">
        <v>32</v>
      </c>
      <c r="L11" s="45">
        <v>32</v>
      </c>
      <c r="M11" s="45">
        <v>32</v>
      </c>
      <c r="N11" s="45">
        <v>32</v>
      </c>
      <c r="O11" s="45">
        <v>32</v>
      </c>
      <c r="P11" s="45">
        <v>32</v>
      </c>
      <c r="Q11" s="45">
        <v>32</v>
      </c>
      <c r="R11" s="45">
        <v>32</v>
      </c>
      <c r="S11" s="45">
        <v>32</v>
      </c>
      <c r="T11" s="45">
        <v>32</v>
      </c>
      <c r="U11" s="45">
        <v>32</v>
      </c>
      <c r="V11" s="45">
        <v>32</v>
      </c>
      <c r="W11" s="45">
        <v>32</v>
      </c>
      <c r="X11" s="45">
        <v>32</v>
      </c>
      <c r="Y11" s="45">
        <v>32</v>
      </c>
      <c r="Z11" s="45">
        <v>32</v>
      </c>
      <c r="AA11" s="45">
        <v>32</v>
      </c>
      <c r="AB11" s="45">
        <v>32</v>
      </c>
      <c r="AC11" s="45">
        <v>32</v>
      </c>
      <c r="AD11" s="45">
        <v>32</v>
      </c>
      <c r="AE11" s="45">
        <v>32</v>
      </c>
      <c r="AF11" s="45">
        <v>32</v>
      </c>
      <c r="AG11" s="46">
        <v>86</v>
      </c>
      <c r="AH11" s="47">
        <f t="shared" ref="AH11:AH74" si="2">MAX(B11:AF11)</f>
        <v>32</v>
      </c>
      <c r="AI11" s="48">
        <f t="shared" ref="AI11:AI74" si="3">MIN(B11:AF11)</f>
        <v>30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15.7</v>
      </c>
      <c r="C12" s="45">
        <v>15.2</v>
      </c>
      <c r="D12" s="45">
        <v>15.7</v>
      </c>
      <c r="E12" s="45">
        <v>15.7</v>
      </c>
      <c r="F12" s="45">
        <v>15.7</v>
      </c>
      <c r="G12" s="45">
        <v>15.7</v>
      </c>
      <c r="H12" s="45">
        <v>15.7</v>
      </c>
      <c r="I12" s="45">
        <v>15.7</v>
      </c>
      <c r="J12" s="45">
        <v>15.7</v>
      </c>
      <c r="K12" s="45">
        <v>15.7</v>
      </c>
      <c r="L12" s="45">
        <v>15.7</v>
      </c>
      <c r="M12" s="45">
        <v>22</v>
      </c>
      <c r="N12" s="45">
        <v>22.1</v>
      </c>
      <c r="O12" s="45">
        <v>25</v>
      </c>
      <c r="P12" s="45">
        <v>21.1</v>
      </c>
      <c r="Q12" s="45">
        <v>21.1</v>
      </c>
      <c r="R12" s="45">
        <v>20.100000000000001</v>
      </c>
      <c r="S12" s="45">
        <v>20.100000000000001</v>
      </c>
      <c r="T12" s="45">
        <v>20.100000000000001</v>
      </c>
      <c r="U12" s="45">
        <v>20.100000000000001</v>
      </c>
      <c r="V12" s="45">
        <v>20.100000000000001</v>
      </c>
      <c r="W12" s="45">
        <v>20.100000000000001</v>
      </c>
      <c r="X12" s="45">
        <v>20.100000000000001</v>
      </c>
      <c r="Y12" s="45">
        <v>20.100000000000001</v>
      </c>
      <c r="Z12" s="45">
        <v>20.100000000000001</v>
      </c>
      <c r="AA12" s="45">
        <v>18</v>
      </c>
      <c r="AB12" s="45">
        <v>18</v>
      </c>
      <c r="AC12" s="45">
        <v>18</v>
      </c>
      <c r="AD12" s="45">
        <v>18</v>
      </c>
      <c r="AE12" s="45">
        <v>18</v>
      </c>
      <c r="AF12" s="45">
        <v>18</v>
      </c>
      <c r="AG12" s="46">
        <v>52.4</v>
      </c>
      <c r="AH12" s="47">
        <f t="shared" si="2"/>
        <v>25</v>
      </c>
      <c r="AI12" s="48">
        <f t="shared" si="3"/>
        <v>15.2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50.5</v>
      </c>
      <c r="C13" s="45">
        <v>50.5</v>
      </c>
      <c r="D13" s="45">
        <v>50.5</v>
      </c>
      <c r="E13" s="45">
        <v>50.5</v>
      </c>
      <c r="F13" s="45">
        <v>50.5</v>
      </c>
      <c r="G13" s="45">
        <v>50.5</v>
      </c>
      <c r="H13" s="45">
        <v>50.5</v>
      </c>
      <c r="I13" s="45">
        <v>50.5</v>
      </c>
      <c r="J13" s="45">
        <v>50.5</v>
      </c>
      <c r="K13" s="45">
        <v>50.5</v>
      </c>
      <c r="L13" s="45">
        <v>50.5</v>
      </c>
      <c r="M13" s="45">
        <v>50.5</v>
      </c>
      <c r="N13" s="45">
        <v>50.4</v>
      </c>
      <c r="O13" s="45">
        <v>50.4</v>
      </c>
      <c r="P13" s="45">
        <v>50.3</v>
      </c>
      <c r="Q13" s="45">
        <v>50.3</v>
      </c>
      <c r="R13" s="45">
        <v>50.3</v>
      </c>
      <c r="S13" s="45">
        <v>50.3</v>
      </c>
      <c r="T13" s="45">
        <v>50.3</v>
      </c>
      <c r="U13" s="45">
        <v>50.3</v>
      </c>
      <c r="V13" s="45">
        <v>50.3</v>
      </c>
      <c r="W13" s="45">
        <v>50.3</v>
      </c>
      <c r="X13" s="45">
        <v>50.3</v>
      </c>
      <c r="Y13" s="45">
        <v>50.3</v>
      </c>
      <c r="Z13" s="45">
        <v>50.3</v>
      </c>
      <c r="AA13" s="45">
        <v>50.3</v>
      </c>
      <c r="AB13" s="45">
        <v>50.3</v>
      </c>
      <c r="AC13" s="45">
        <v>50.3</v>
      </c>
      <c r="AD13" s="45">
        <v>50.3</v>
      </c>
      <c r="AE13" s="45">
        <v>50.3</v>
      </c>
      <c r="AF13" s="45">
        <v>50.3</v>
      </c>
      <c r="AG13" s="50">
        <v>50</v>
      </c>
      <c r="AH13" s="47">
        <f t="shared" si="2"/>
        <v>50.5</v>
      </c>
      <c r="AI13" s="48">
        <f t="shared" si="3"/>
        <v>50.3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24.2</v>
      </c>
      <c r="C14" s="45">
        <v>26.4</v>
      </c>
      <c r="D14" s="45">
        <v>26.9</v>
      </c>
      <c r="E14" s="45">
        <v>26.9</v>
      </c>
      <c r="F14" s="45">
        <v>26.9</v>
      </c>
      <c r="G14" s="45">
        <v>26.9</v>
      </c>
      <c r="H14" s="45">
        <v>26.9</v>
      </c>
      <c r="I14" s="45">
        <v>26.9</v>
      </c>
      <c r="J14" s="45">
        <v>26.9</v>
      </c>
      <c r="K14" s="45">
        <v>26.9</v>
      </c>
      <c r="L14" s="45">
        <v>26.9</v>
      </c>
      <c r="M14" s="45">
        <v>24.5</v>
      </c>
      <c r="N14" s="45">
        <v>24.4</v>
      </c>
      <c r="O14" s="45">
        <v>23.7</v>
      </c>
      <c r="P14" s="45">
        <v>27.3</v>
      </c>
      <c r="Q14" s="45">
        <v>27.3</v>
      </c>
      <c r="R14" s="45">
        <v>24.5</v>
      </c>
      <c r="S14" s="45">
        <v>24.5</v>
      </c>
      <c r="T14" s="45">
        <v>24.5</v>
      </c>
      <c r="U14" s="45">
        <v>24.5</v>
      </c>
      <c r="V14" s="45">
        <v>24.5</v>
      </c>
      <c r="W14" s="45">
        <v>24.5</v>
      </c>
      <c r="X14" s="45">
        <v>24.5</v>
      </c>
      <c r="Y14" s="45">
        <v>24.5</v>
      </c>
      <c r="Z14" s="45">
        <v>24.5</v>
      </c>
      <c r="AA14" s="45">
        <v>28</v>
      </c>
      <c r="AB14" s="45">
        <v>28</v>
      </c>
      <c r="AC14" s="45">
        <v>28</v>
      </c>
      <c r="AD14" s="45">
        <v>28</v>
      </c>
      <c r="AE14" s="45">
        <v>28</v>
      </c>
      <c r="AF14" s="45">
        <v>28</v>
      </c>
      <c r="AG14" s="50">
        <v>45</v>
      </c>
      <c r="AH14" s="47">
        <f t="shared" si="2"/>
        <v>28</v>
      </c>
      <c r="AI14" s="48">
        <f t="shared" si="3"/>
        <v>23.7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26</v>
      </c>
      <c r="C15" s="45">
        <v>23</v>
      </c>
      <c r="D15" s="45">
        <v>23</v>
      </c>
      <c r="E15" s="45">
        <v>23</v>
      </c>
      <c r="F15" s="45">
        <v>23</v>
      </c>
      <c r="G15" s="45">
        <v>23</v>
      </c>
      <c r="H15" s="45">
        <v>23</v>
      </c>
      <c r="I15" s="45">
        <v>23</v>
      </c>
      <c r="J15" s="45">
        <v>23</v>
      </c>
      <c r="K15" s="45">
        <v>23</v>
      </c>
      <c r="L15" s="45">
        <v>23</v>
      </c>
      <c r="M15" s="45">
        <v>23</v>
      </c>
      <c r="N15" s="45">
        <v>23</v>
      </c>
      <c r="O15" s="45">
        <v>23</v>
      </c>
      <c r="P15" s="45">
        <v>23</v>
      </c>
      <c r="Q15" s="45">
        <v>23</v>
      </c>
      <c r="R15" s="45">
        <v>23</v>
      </c>
      <c r="S15" s="45">
        <v>23</v>
      </c>
      <c r="T15" s="45">
        <v>23</v>
      </c>
      <c r="U15" s="45">
        <v>23</v>
      </c>
      <c r="V15" s="45">
        <v>25</v>
      </c>
      <c r="W15" s="45">
        <v>25</v>
      </c>
      <c r="X15" s="45">
        <v>25</v>
      </c>
      <c r="Y15" s="45">
        <v>25</v>
      </c>
      <c r="Z15" s="45">
        <v>25</v>
      </c>
      <c r="AA15" s="45">
        <v>25</v>
      </c>
      <c r="AB15" s="45">
        <v>25</v>
      </c>
      <c r="AC15" s="45">
        <v>25</v>
      </c>
      <c r="AD15" s="45">
        <v>25</v>
      </c>
      <c r="AE15" s="45">
        <v>25</v>
      </c>
      <c r="AF15" s="45">
        <v>25</v>
      </c>
      <c r="AG15" s="50">
        <v>42</v>
      </c>
      <c r="AH15" s="47">
        <f t="shared" si="2"/>
        <v>26</v>
      </c>
      <c r="AI15" s="48">
        <f t="shared" si="3"/>
        <v>23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22</v>
      </c>
      <c r="C16" s="45">
        <v>22</v>
      </c>
      <c r="D16" s="45">
        <v>22</v>
      </c>
      <c r="E16" s="45">
        <v>22</v>
      </c>
      <c r="F16" s="45">
        <v>22</v>
      </c>
      <c r="G16" s="45">
        <v>22</v>
      </c>
      <c r="H16" s="45">
        <v>22</v>
      </c>
      <c r="I16" s="45">
        <v>22</v>
      </c>
      <c r="J16" s="45">
        <v>22</v>
      </c>
      <c r="K16" s="45">
        <v>22</v>
      </c>
      <c r="L16" s="45">
        <v>22</v>
      </c>
      <c r="M16" s="45">
        <v>22</v>
      </c>
      <c r="N16" s="45">
        <v>22</v>
      </c>
      <c r="O16" s="45">
        <v>22</v>
      </c>
      <c r="P16" s="45">
        <v>22</v>
      </c>
      <c r="Q16" s="45">
        <v>22</v>
      </c>
      <c r="R16" s="45">
        <v>22</v>
      </c>
      <c r="S16" s="45">
        <v>22</v>
      </c>
      <c r="T16" s="45">
        <v>22</v>
      </c>
      <c r="U16" s="45">
        <v>22</v>
      </c>
      <c r="V16" s="45">
        <v>22</v>
      </c>
      <c r="W16" s="45">
        <v>22</v>
      </c>
      <c r="X16" s="45">
        <v>22</v>
      </c>
      <c r="Y16" s="45">
        <v>22</v>
      </c>
      <c r="Z16" s="45">
        <v>22</v>
      </c>
      <c r="AA16" s="45">
        <v>22</v>
      </c>
      <c r="AB16" s="45">
        <v>22</v>
      </c>
      <c r="AC16" s="45">
        <v>22</v>
      </c>
      <c r="AD16" s="45">
        <v>22</v>
      </c>
      <c r="AE16" s="45">
        <v>22</v>
      </c>
      <c r="AF16" s="45">
        <v>22</v>
      </c>
      <c r="AG16" s="50">
        <v>36</v>
      </c>
      <c r="AH16" s="47">
        <f t="shared" si="2"/>
        <v>22</v>
      </c>
      <c r="AI16" s="48">
        <f t="shared" si="3"/>
        <v>22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14.6</v>
      </c>
      <c r="C17" s="45">
        <v>14.6</v>
      </c>
      <c r="D17" s="45">
        <v>14.6</v>
      </c>
      <c r="E17" s="45">
        <v>14.6</v>
      </c>
      <c r="F17" s="45">
        <v>14.6</v>
      </c>
      <c r="G17" s="45">
        <v>14.6</v>
      </c>
      <c r="H17" s="45">
        <v>14.6</v>
      </c>
      <c r="I17" s="45">
        <v>14.6</v>
      </c>
      <c r="J17" s="45">
        <v>14.6</v>
      </c>
      <c r="K17" s="45">
        <v>14.6</v>
      </c>
      <c r="L17" s="45">
        <v>14.6</v>
      </c>
      <c r="M17" s="45">
        <v>14.6</v>
      </c>
      <c r="N17" s="45">
        <v>14.6</v>
      </c>
      <c r="O17" s="45">
        <v>14.6</v>
      </c>
      <c r="P17" s="45">
        <v>14.6</v>
      </c>
      <c r="Q17" s="45">
        <v>14.6</v>
      </c>
      <c r="R17" s="45">
        <v>14.6</v>
      </c>
      <c r="S17" s="45">
        <v>14.6</v>
      </c>
      <c r="T17" s="45">
        <v>14.6</v>
      </c>
      <c r="U17" s="45">
        <v>14.6</v>
      </c>
      <c r="V17" s="45">
        <v>14.6</v>
      </c>
      <c r="W17" s="45">
        <v>14.6</v>
      </c>
      <c r="X17" s="45">
        <v>14.6</v>
      </c>
      <c r="Y17" s="45">
        <v>14.6</v>
      </c>
      <c r="Z17" s="45">
        <v>14.6</v>
      </c>
      <c r="AA17" s="45">
        <v>14.6</v>
      </c>
      <c r="AB17" s="45">
        <v>14.6</v>
      </c>
      <c r="AC17" s="45">
        <v>14.6</v>
      </c>
      <c r="AD17" s="45">
        <v>14.6</v>
      </c>
      <c r="AE17" s="45">
        <v>14.6</v>
      </c>
      <c r="AF17" s="45">
        <v>14.6</v>
      </c>
      <c r="AG17" s="50">
        <v>36</v>
      </c>
      <c r="AH17" s="47">
        <f t="shared" si="2"/>
        <v>14.6</v>
      </c>
      <c r="AI17" s="48">
        <f t="shared" si="3"/>
        <v>14.6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12.4</v>
      </c>
      <c r="C18" s="45">
        <v>15.5</v>
      </c>
      <c r="D18" s="45">
        <v>15.5</v>
      </c>
      <c r="E18" s="45">
        <v>15.5</v>
      </c>
      <c r="F18" s="45">
        <v>15.5</v>
      </c>
      <c r="G18" s="45">
        <v>15.5</v>
      </c>
      <c r="H18" s="45">
        <v>15.5</v>
      </c>
      <c r="I18" s="45">
        <v>15.5</v>
      </c>
      <c r="J18" s="45">
        <v>15.5</v>
      </c>
      <c r="K18" s="45">
        <v>15.5</v>
      </c>
      <c r="L18" s="45">
        <v>15.5</v>
      </c>
      <c r="M18" s="45">
        <v>14.3</v>
      </c>
      <c r="N18" s="45">
        <v>14.6</v>
      </c>
      <c r="O18" s="45">
        <v>14.4</v>
      </c>
      <c r="P18" s="45">
        <v>14.2</v>
      </c>
      <c r="Q18" s="45">
        <v>14.2</v>
      </c>
      <c r="R18" s="45">
        <v>13.4</v>
      </c>
      <c r="S18" s="45">
        <v>13.4</v>
      </c>
      <c r="T18" s="45">
        <v>13.4</v>
      </c>
      <c r="U18" s="45">
        <v>13.4</v>
      </c>
      <c r="V18" s="45">
        <v>13.4</v>
      </c>
      <c r="W18" s="45">
        <v>13.4</v>
      </c>
      <c r="X18" s="45">
        <v>15</v>
      </c>
      <c r="Y18" s="45">
        <v>15</v>
      </c>
      <c r="Z18" s="45">
        <v>15</v>
      </c>
      <c r="AA18" s="45">
        <v>22</v>
      </c>
      <c r="AB18" s="45">
        <v>22</v>
      </c>
      <c r="AC18" s="45">
        <v>22</v>
      </c>
      <c r="AD18" s="45">
        <v>22</v>
      </c>
      <c r="AE18" s="45">
        <v>22</v>
      </c>
      <c r="AF18" s="45">
        <v>22</v>
      </c>
      <c r="AG18" s="51">
        <v>30</v>
      </c>
      <c r="AH18" s="47">
        <f t="shared" si="2"/>
        <v>22</v>
      </c>
      <c r="AI18" s="48">
        <f t="shared" si="3"/>
        <v>12.4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7.2</v>
      </c>
      <c r="C19" s="45">
        <v>7.5</v>
      </c>
      <c r="D19" s="45">
        <v>7.2</v>
      </c>
      <c r="E19" s="45">
        <v>7.2</v>
      </c>
      <c r="F19" s="45">
        <v>7.2</v>
      </c>
      <c r="G19" s="45">
        <v>7.2</v>
      </c>
      <c r="H19" s="45">
        <v>7.2</v>
      </c>
      <c r="I19" s="45">
        <v>7.2</v>
      </c>
      <c r="J19" s="45">
        <v>7.2</v>
      </c>
      <c r="K19" s="45">
        <v>7.2</v>
      </c>
      <c r="L19" s="45">
        <v>7.2</v>
      </c>
      <c r="M19" s="45">
        <v>11.1</v>
      </c>
      <c r="N19" s="45">
        <v>11.7</v>
      </c>
      <c r="O19" s="45">
        <v>11</v>
      </c>
      <c r="P19" s="45">
        <v>10.9</v>
      </c>
      <c r="Q19" s="45">
        <v>10.9</v>
      </c>
      <c r="R19" s="45">
        <v>10.6</v>
      </c>
      <c r="S19" s="45">
        <v>10.6</v>
      </c>
      <c r="T19" s="45">
        <v>10.6</v>
      </c>
      <c r="U19" s="45">
        <v>10.6</v>
      </c>
      <c r="V19" s="45">
        <v>10.6</v>
      </c>
      <c r="W19" s="45">
        <v>10.6</v>
      </c>
      <c r="X19" s="45">
        <v>10.6</v>
      </c>
      <c r="Y19" s="45">
        <v>10.6</v>
      </c>
      <c r="Z19" s="45">
        <v>10.6</v>
      </c>
      <c r="AA19" s="45">
        <v>9</v>
      </c>
      <c r="AB19" s="45">
        <v>9</v>
      </c>
      <c r="AC19" s="45">
        <v>9</v>
      </c>
      <c r="AD19" s="45">
        <v>9</v>
      </c>
      <c r="AE19" s="45">
        <v>9</v>
      </c>
      <c r="AF19" s="45">
        <v>9</v>
      </c>
      <c r="AG19" s="50">
        <v>24.2</v>
      </c>
      <c r="AH19" s="47">
        <f t="shared" si="2"/>
        <v>11.7</v>
      </c>
      <c r="AI19" s="48">
        <f t="shared" si="3"/>
        <v>7.2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</v>
      </c>
      <c r="C20" s="45">
        <v>9</v>
      </c>
      <c r="D20" s="45">
        <v>9</v>
      </c>
      <c r="E20" s="45">
        <v>9</v>
      </c>
      <c r="F20" s="45">
        <v>9</v>
      </c>
      <c r="G20" s="45">
        <v>9</v>
      </c>
      <c r="H20" s="45">
        <v>9</v>
      </c>
      <c r="I20" s="45">
        <v>9</v>
      </c>
      <c r="J20" s="45">
        <v>9</v>
      </c>
      <c r="K20" s="45">
        <v>9</v>
      </c>
      <c r="L20" s="45">
        <v>9</v>
      </c>
      <c r="M20" s="45">
        <v>9</v>
      </c>
      <c r="N20" s="45">
        <v>9</v>
      </c>
      <c r="O20" s="45">
        <v>9</v>
      </c>
      <c r="P20" s="45">
        <v>9</v>
      </c>
      <c r="Q20" s="45">
        <v>9</v>
      </c>
      <c r="R20" s="45">
        <v>9</v>
      </c>
      <c r="S20" s="45">
        <v>9</v>
      </c>
      <c r="T20" s="45">
        <v>9</v>
      </c>
      <c r="U20" s="45">
        <v>9</v>
      </c>
      <c r="V20" s="45">
        <v>9</v>
      </c>
      <c r="W20" s="45">
        <v>9</v>
      </c>
      <c r="X20" s="45">
        <v>9</v>
      </c>
      <c r="Y20" s="45">
        <v>9</v>
      </c>
      <c r="Z20" s="45">
        <v>9</v>
      </c>
      <c r="AA20" s="45">
        <v>9</v>
      </c>
      <c r="AB20" s="45">
        <v>9</v>
      </c>
      <c r="AC20" s="45">
        <v>9</v>
      </c>
      <c r="AD20" s="45">
        <v>9</v>
      </c>
      <c r="AE20" s="45">
        <v>9</v>
      </c>
      <c r="AF20" s="45">
        <v>9</v>
      </c>
      <c r="AG20" s="50">
        <v>28</v>
      </c>
      <c r="AH20" s="47">
        <f t="shared" si="2"/>
        <v>9</v>
      </c>
      <c r="AI20" s="48">
        <f t="shared" si="3"/>
        <v>9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14</v>
      </c>
      <c r="C21" s="45">
        <v>0</v>
      </c>
      <c r="D21" s="45">
        <v>14</v>
      </c>
      <c r="E21" s="45"/>
      <c r="F21" s="45"/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15</v>
      </c>
      <c r="Y21" s="45">
        <v>15</v>
      </c>
      <c r="Z21" s="45">
        <v>16</v>
      </c>
      <c r="AA21" s="45">
        <v>16</v>
      </c>
      <c r="AB21" s="45">
        <v>16</v>
      </c>
      <c r="AC21" s="45">
        <v>16</v>
      </c>
      <c r="AD21" s="45">
        <v>16</v>
      </c>
      <c r="AE21" s="45">
        <v>16</v>
      </c>
      <c r="AF21" s="45">
        <v>16</v>
      </c>
      <c r="AG21" s="51">
        <v>30</v>
      </c>
      <c r="AH21" s="47">
        <f t="shared" si="2"/>
        <v>16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21</v>
      </c>
      <c r="C22" s="45">
        <v>21</v>
      </c>
      <c r="D22" s="45">
        <v>21</v>
      </c>
      <c r="E22" s="45">
        <v>21</v>
      </c>
      <c r="F22" s="45">
        <v>21</v>
      </c>
      <c r="G22" s="45">
        <v>21</v>
      </c>
      <c r="H22" s="45">
        <v>21</v>
      </c>
      <c r="I22" s="45">
        <v>21</v>
      </c>
      <c r="J22" s="45">
        <v>21</v>
      </c>
      <c r="K22" s="45">
        <v>21</v>
      </c>
      <c r="L22" s="45">
        <v>21</v>
      </c>
      <c r="M22" s="45">
        <v>25</v>
      </c>
      <c r="N22" s="45">
        <v>26.3</v>
      </c>
      <c r="O22" s="45">
        <v>21</v>
      </c>
      <c r="P22" s="45">
        <v>19.7</v>
      </c>
      <c r="Q22" s="45">
        <v>19.7</v>
      </c>
      <c r="R22" s="45">
        <v>22.6</v>
      </c>
      <c r="S22" s="45">
        <v>22.6</v>
      </c>
      <c r="T22" s="45">
        <v>22.6</v>
      </c>
      <c r="U22" s="45">
        <v>22.6</v>
      </c>
      <c r="V22" s="45">
        <v>22.6</v>
      </c>
      <c r="W22" s="45">
        <v>22.6</v>
      </c>
      <c r="X22" s="45">
        <v>22.6</v>
      </c>
      <c r="Y22" s="45">
        <v>22.6</v>
      </c>
      <c r="Z22" s="45">
        <v>22.6</v>
      </c>
      <c r="AA22" s="45">
        <v>25</v>
      </c>
      <c r="AB22" s="45">
        <v>25</v>
      </c>
      <c r="AC22" s="45">
        <v>25</v>
      </c>
      <c r="AD22" s="45">
        <v>25</v>
      </c>
      <c r="AE22" s="45">
        <v>25</v>
      </c>
      <c r="AF22" s="45">
        <v>25</v>
      </c>
      <c r="AG22" s="50">
        <v>25</v>
      </c>
      <c r="AH22" s="47">
        <f t="shared" si="2"/>
        <v>26.3</v>
      </c>
      <c r="AI22" s="48">
        <f t="shared" si="3"/>
        <v>19.7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12</v>
      </c>
      <c r="C25" s="45">
        <v>12</v>
      </c>
      <c r="D25" s="45">
        <v>12</v>
      </c>
      <c r="E25" s="45"/>
      <c r="F25" s="45"/>
      <c r="G25" s="45">
        <v>12</v>
      </c>
      <c r="H25" s="45">
        <v>12</v>
      </c>
      <c r="I25" s="45">
        <v>12</v>
      </c>
      <c r="J25" s="45">
        <v>12</v>
      </c>
      <c r="K25" s="45">
        <v>12</v>
      </c>
      <c r="L25" s="45">
        <v>12</v>
      </c>
      <c r="M25" s="45">
        <v>12</v>
      </c>
      <c r="N25" s="45">
        <v>12</v>
      </c>
      <c r="O25" s="45">
        <v>12</v>
      </c>
      <c r="P25" s="45">
        <v>12</v>
      </c>
      <c r="Q25" s="45">
        <v>15</v>
      </c>
      <c r="R25" s="45">
        <v>15</v>
      </c>
      <c r="S25" s="45">
        <v>15</v>
      </c>
      <c r="T25" s="45">
        <v>15</v>
      </c>
      <c r="U25" s="45">
        <v>15</v>
      </c>
      <c r="V25" s="45">
        <v>15</v>
      </c>
      <c r="W25" s="45">
        <v>15</v>
      </c>
      <c r="X25" s="45">
        <v>15.5</v>
      </c>
      <c r="Y25" s="45">
        <v>15.5</v>
      </c>
      <c r="Z25" s="45">
        <v>15.5</v>
      </c>
      <c r="AA25" s="45">
        <v>15.5</v>
      </c>
      <c r="AB25" s="45">
        <v>15.5</v>
      </c>
      <c r="AC25" s="45">
        <v>15.5</v>
      </c>
      <c r="AD25" s="45">
        <v>15.5</v>
      </c>
      <c r="AE25" s="45">
        <v>15.5</v>
      </c>
      <c r="AF25" s="45">
        <v>15.5</v>
      </c>
      <c r="AG25" s="50">
        <v>25</v>
      </c>
      <c r="AH25" s="47">
        <f t="shared" si="2"/>
        <v>15.5</v>
      </c>
      <c r="AI25" s="48">
        <f t="shared" si="3"/>
        <v>12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6.8</v>
      </c>
      <c r="C26" s="45">
        <v>6.8</v>
      </c>
      <c r="D26" s="45">
        <v>6.8</v>
      </c>
      <c r="E26" s="45">
        <v>6.8</v>
      </c>
      <c r="F26" s="45">
        <v>6.8</v>
      </c>
      <c r="G26" s="45">
        <v>6.8</v>
      </c>
      <c r="H26" s="45">
        <v>6.8</v>
      </c>
      <c r="I26" s="45">
        <v>6.8</v>
      </c>
      <c r="J26" s="45">
        <v>6.8</v>
      </c>
      <c r="K26" s="45">
        <v>6.8</v>
      </c>
      <c r="L26" s="45">
        <v>6.8</v>
      </c>
      <c r="M26" s="45">
        <v>12.1</v>
      </c>
      <c r="N26" s="45">
        <v>12.2</v>
      </c>
      <c r="O26" s="45">
        <v>12.4</v>
      </c>
      <c r="P26" s="45">
        <v>12.4</v>
      </c>
      <c r="Q26" s="45">
        <v>12.4</v>
      </c>
      <c r="R26" s="45">
        <v>10.3</v>
      </c>
      <c r="S26" s="45">
        <v>10.3</v>
      </c>
      <c r="T26" s="45">
        <v>10.3</v>
      </c>
      <c r="U26" s="45">
        <v>10.3</v>
      </c>
      <c r="V26" s="45">
        <v>10.3</v>
      </c>
      <c r="W26" s="45">
        <v>10.3</v>
      </c>
      <c r="X26" s="45">
        <v>10.3</v>
      </c>
      <c r="Y26" s="45">
        <v>10.3</v>
      </c>
      <c r="Z26" s="45">
        <v>10.3</v>
      </c>
      <c r="AA26" s="45">
        <v>10.3</v>
      </c>
      <c r="AB26" s="45">
        <v>10.3</v>
      </c>
      <c r="AC26" s="45">
        <v>10.3</v>
      </c>
      <c r="AD26" s="45">
        <v>10.3</v>
      </c>
      <c r="AE26" s="45">
        <v>10.3</v>
      </c>
      <c r="AF26" s="45">
        <v>10.3</v>
      </c>
      <c r="AG26" s="50">
        <v>23.5</v>
      </c>
      <c r="AH26" s="47">
        <f t="shared" si="2"/>
        <v>12.4</v>
      </c>
      <c r="AI26" s="48">
        <f t="shared" si="3"/>
        <v>6.8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>
        <v>3</v>
      </c>
      <c r="Y27" s="45">
        <v>3</v>
      </c>
      <c r="Z27" s="45">
        <v>3</v>
      </c>
      <c r="AA27" s="45">
        <v>3</v>
      </c>
      <c r="AB27" s="45">
        <v>3</v>
      </c>
      <c r="AC27" s="45">
        <v>3</v>
      </c>
      <c r="AD27" s="45">
        <v>3</v>
      </c>
      <c r="AE27" s="45">
        <v>3</v>
      </c>
      <c r="AF27" s="45">
        <v>3</v>
      </c>
      <c r="AG27" s="50">
        <v>22.2</v>
      </c>
      <c r="AH27" s="47">
        <f t="shared" si="2"/>
        <v>3</v>
      </c>
      <c r="AI27" s="48">
        <f t="shared" si="3"/>
        <v>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0">
        <v>22.1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22</v>
      </c>
      <c r="C30" s="45">
        <v>22</v>
      </c>
      <c r="D30" s="45">
        <v>22</v>
      </c>
      <c r="E30" s="45">
        <v>22</v>
      </c>
      <c r="F30" s="45">
        <v>22</v>
      </c>
      <c r="G30" s="45">
        <v>22</v>
      </c>
      <c r="H30" s="45">
        <v>22</v>
      </c>
      <c r="I30" s="45">
        <v>22</v>
      </c>
      <c r="J30" s="45">
        <v>22</v>
      </c>
      <c r="K30" s="45">
        <v>22</v>
      </c>
      <c r="L30" s="45">
        <v>22</v>
      </c>
      <c r="M30" s="45">
        <v>22</v>
      </c>
      <c r="N30" s="45">
        <v>22</v>
      </c>
      <c r="O30" s="45">
        <v>19</v>
      </c>
      <c r="P30" s="45">
        <v>16</v>
      </c>
      <c r="Q30" s="45">
        <v>16</v>
      </c>
      <c r="R30" s="45">
        <v>20</v>
      </c>
      <c r="S30" s="45">
        <v>20</v>
      </c>
      <c r="T30" s="45">
        <v>20</v>
      </c>
      <c r="U30" s="45">
        <v>20</v>
      </c>
      <c r="V30" s="45">
        <v>20</v>
      </c>
      <c r="W30" s="45">
        <v>20</v>
      </c>
      <c r="X30" s="45">
        <v>20</v>
      </c>
      <c r="Y30" s="45">
        <v>20</v>
      </c>
      <c r="Z30" s="45">
        <v>20</v>
      </c>
      <c r="AA30" s="45">
        <v>20</v>
      </c>
      <c r="AB30" s="45">
        <v>20</v>
      </c>
      <c r="AC30" s="45">
        <v>20</v>
      </c>
      <c r="AD30" s="45">
        <v>20</v>
      </c>
      <c r="AE30" s="45">
        <v>20</v>
      </c>
      <c r="AF30" s="45">
        <v>20</v>
      </c>
      <c r="AG30" s="50">
        <v>22</v>
      </c>
      <c r="AH30" s="47">
        <f t="shared" si="2"/>
        <v>22</v>
      </c>
      <c r="AI30" s="48">
        <f t="shared" si="3"/>
        <v>16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4</v>
      </c>
      <c r="C31" s="45">
        <v>10</v>
      </c>
      <c r="D31" s="45">
        <v>4</v>
      </c>
      <c r="E31" s="45">
        <v>4</v>
      </c>
      <c r="F31" s="45">
        <v>4</v>
      </c>
      <c r="G31" s="45">
        <v>4</v>
      </c>
      <c r="H31" s="45">
        <v>4</v>
      </c>
      <c r="I31" s="45">
        <v>4</v>
      </c>
      <c r="J31" s="45">
        <v>4</v>
      </c>
      <c r="K31" s="45">
        <v>4</v>
      </c>
      <c r="L31" s="45">
        <v>4</v>
      </c>
      <c r="M31" s="45">
        <v>4</v>
      </c>
      <c r="N31" s="45">
        <v>4</v>
      </c>
      <c r="O31" s="45">
        <v>4</v>
      </c>
      <c r="P31" s="45">
        <v>4</v>
      </c>
      <c r="Q31" s="45">
        <v>4</v>
      </c>
      <c r="R31" s="45">
        <v>4</v>
      </c>
      <c r="S31" s="45">
        <v>4</v>
      </c>
      <c r="T31" s="45">
        <v>4</v>
      </c>
      <c r="U31" s="45">
        <v>4</v>
      </c>
      <c r="V31" s="45">
        <v>4</v>
      </c>
      <c r="W31" s="45">
        <v>4</v>
      </c>
      <c r="X31" s="45">
        <v>4</v>
      </c>
      <c r="Y31" s="45">
        <v>4</v>
      </c>
      <c r="Z31" s="45">
        <v>4</v>
      </c>
      <c r="AA31" s="45">
        <v>4</v>
      </c>
      <c r="AB31" s="45">
        <v>4</v>
      </c>
      <c r="AC31" s="45">
        <v>4</v>
      </c>
      <c r="AD31" s="45">
        <v>4</v>
      </c>
      <c r="AE31" s="45">
        <v>4</v>
      </c>
      <c r="AF31" s="45">
        <v>4</v>
      </c>
      <c r="AG31" s="50">
        <v>20</v>
      </c>
      <c r="AH31" s="47">
        <f t="shared" si="2"/>
        <v>10</v>
      </c>
      <c r="AI31" s="48">
        <f t="shared" si="3"/>
        <v>4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50">
        <v>18</v>
      </c>
      <c r="AH32" s="47">
        <f t="shared" si="2"/>
        <v>8</v>
      </c>
      <c r="AI32" s="48">
        <f t="shared" si="3"/>
        <v>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2</v>
      </c>
      <c r="C35" s="45">
        <v>2</v>
      </c>
      <c r="D35" s="45">
        <v>2</v>
      </c>
      <c r="E35" s="45">
        <v>2</v>
      </c>
      <c r="F35" s="45">
        <v>2</v>
      </c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>
        <v>2</v>
      </c>
      <c r="Q35" s="45">
        <v>2</v>
      </c>
      <c r="R35" s="45">
        <v>2</v>
      </c>
      <c r="S35" s="45">
        <v>2</v>
      </c>
      <c r="T35" s="45">
        <v>2</v>
      </c>
      <c r="U35" s="45">
        <v>2</v>
      </c>
      <c r="V35" s="45">
        <v>2</v>
      </c>
      <c r="W35" s="45">
        <v>2</v>
      </c>
      <c r="X35" s="45">
        <v>2</v>
      </c>
      <c r="Y35" s="45">
        <v>2</v>
      </c>
      <c r="Z35" s="45">
        <v>2</v>
      </c>
      <c r="AA35" s="45">
        <v>2</v>
      </c>
      <c r="AB35" s="45">
        <v>2</v>
      </c>
      <c r="AC35" s="45">
        <v>2</v>
      </c>
      <c r="AD35" s="45">
        <v>2</v>
      </c>
      <c r="AE35" s="45">
        <v>2</v>
      </c>
      <c r="AF35" s="45">
        <v>2</v>
      </c>
      <c r="AG35" s="50">
        <v>13.6</v>
      </c>
      <c r="AH35" s="47">
        <f t="shared" si="2"/>
        <v>2</v>
      </c>
      <c r="AI35" s="48">
        <f t="shared" si="3"/>
        <v>2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3</v>
      </c>
      <c r="C36" s="45">
        <v>3</v>
      </c>
      <c r="D36" s="45">
        <v>3</v>
      </c>
      <c r="E36" s="45">
        <v>3</v>
      </c>
      <c r="F36" s="45">
        <v>3</v>
      </c>
      <c r="G36" s="45">
        <v>3</v>
      </c>
      <c r="H36" s="45">
        <v>3</v>
      </c>
      <c r="I36" s="45">
        <v>3</v>
      </c>
      <c r="J36" s="45">
        <v>3</v>
      </c>
      <c r="K36" s="45">
        <v>3</v>
      </c>
      <c r="L36" s="45">
        <v>3</v>
      </c>
      <c r="M36" s="45">
        <v>3</v>
      </c>
      <c r="N36" s="45">
        <v>3</v>
      </c>
      <c r="O36" s="45">
        <v>3</v>
      </c>
      <c r="P36" s="45">
        <v>3</v>
      </c>
      <c r="Q36" s="45">
        <v>3</v>
      </c>
      <c r="R36" s="45">
        <v>3</v>
      </c>
      <c r="S36" s="45">
        <v>3</v>
      </c>
      <c r="T36" s="45">
        <v>3</v>
      </c>
      <c r="U36" s="45">
        <v>3</v>
      </c>
      <c r="V36" s="45">
        <v>3</v>
      </c>
      <c r="W36" s="45">
        <v>3</v>
      </c>
      <c r="X36" s="45">
        <v>3</v>
      </c>
      <c r="Y36" s="45">
        <v>3</v>
      </c>
      <c r="Z36" s="45">
        <v>3</v>
      </c>
      <c r="AA36" s="45">
        <v>3</v>
      </c>
      <c r="AB36" s="45">
        <v>3</v>
      </c>
      <c r="AC36" s="45">
        <v>3</v>
      </c>
      <c r="AD36" s="45">
        <v>3</v>
      </c>
      <c r="AE36" s="45">
        <v>3</v>
      </c>
      <c r="AF36" s="45">
        <v>3</v>
      </c>
      <c r="AG36" s="50">
        <v>13</v>
      </c>
      <c r="AH36" s="47">
        <f t="shared" si="2"/>
        <v>3</v>
      </c>
      <c r="AI36" s="48">
        <f t="shared" si="3"/>
        <v>3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</v>
      </c>
      <c r="C37" s="45">
        <v>6</v>
      </c>
      <c r="D37" s="45">
        <v>6</v>
      </c>
      <c r="E37" s="45"/>
      <c r="F37" s="45"/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7.5</v>
      </c>
      <c r="Y37" s="45">
        <v>7.5</v>
      </c>
      <c r="Z37" s="45">
        <v>7.5</v>
      </c>
      <c r="AA37" s="45">
        <v>7.5</v>
      </c>
      <c r="AB37" s="45">
        <v>7.5</v>
      </c>
      <c r="AC37" s="45">
        <v>7.5</v>
      </c>
      <c r="AD37" s="45">
        <v>7.5</v>
      </c>
      <c r="AE37" s="45">
        <v>7.5</v>
      </c>
      <c r="AF37" s="45">
        <v>7.5</v>
      </c>
      <c r="AG37" s="50">
        <v>12</v>
      </c>
      <c r="AH37" s="47">
        <f t="shared" si="2"/>
        <v>7.5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4</v>
      </c>
      <c r="C38" s="45">
        <v>4</v>
      </c>
      <c r="D38" s="45">
        <v>4</v>
      </c>
      <c r="E38" s="45">
        <v>4</v>
      </c>
      <c r="F38" s="45">
        <v>4</v>
      </c>
      <c r="G38" s="45">
        <v>4</v>
      </c>
      <c r="H38" s="45">
        <v>4</v>
      </c>
      <c r="I38" s="45">
        <v>4</v>
      </c>
      <c r="J38" s="45">
        <v>4</v>
      </c>
      <c r="K38" s="45">
        <v>4</v>
      </c>
      <c r="L38" s="45">
        <v>4</v>
      </c>
      <c r="M38" s="45">
        <v>4</v>
      </c>
      <c r="N38" s="45">
        <v>4</v>
      </c>
      <c r="O38" s="45">
        <v>4</v>
      </c>
      <c r="P38" s="45">
        <v>4</v>
      </c>
      <c r="Q38" s="45">
        <v>4</v>
      </c>
      <c r="R38" s="45">
        <v>4</v>
      </c>
      <c r="S38" s="45">
        <v>4</v>
      </c>
      <c r="T38" s="45">
        <v>4</v>
      </c>
      <c r="U38" s="45">
        <v>4</v>
      </c>
      <c r="V38" s="45">
        <v>4</v>
      </c>
      <c r="W38" s="45">
        <v>4</v>
      </c>
      <c r="X38" s="45">
        <v>4</v>
      </c>
      <c r="Y38" s="45">
        <v>4</v>
      </c>
      <c r="Z38" s="45">
        <v>4</v>
      </c>
      <c r="AA38" s="45">
        <v>4</v>
      </c>
      <c r="AB38" s="45">
        <v>4</v>
      </c>
      <c r="AC38" s="45">
        <v>4</v>
      </c>
      <c r="AD38" s="45">
        <v>4</v>
      </c>
      <c r="AE38" s="45">
        <v>4</v>
      </c>
      <c r="AF38" s="45">
        <v>4</v>
      </c>
      <c r="AG38" s="50">
        <v>12</v>
      </c>
      <c r="AH38" s="47">
        <f t="shared" si="2"/>
        <v>4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>
        <v>3</v>
      </c>
      <c r="AB39" s="45">
        <v>3</v>
      </c>
      <c r="AC39" s="45">
        <v>3</v>
      </c>
      <c r="AD39" s="45">
        <v>3</v>
      </c>
      <c r="AE39" s="45">
        <v>3</v>
      </c>
      <c r="AF39" s="45">
        <v>3</v>
      </c>
      <c r="AG39" s="50">
        <v>12</v>
      </c>
      <c r="AH39" s="47">
        <f t="shared" si="2"/>
        <v>3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52">
        <v>22</v>
      </c>
      <c r="AH40" s="47">
        <f t="shared" si="2"/>
        <v>2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>
        <v>3.6</v>
      </c>
      <c r="Q41" s="45">
        <v>3.6</v>
      </c>
      <c r="R41" s="45">
        <v>3.6</v>
      </c>
      <c r="S41" s="45">
        <v>3.6</v>
      </c>
      <c r="T41" s="45">
        <v>3.6</v>
      </c>
      <c r="U41" s="45">
        <v>3.6</v>
      </c>
      <c r="V41" s="45">
        <v>3.6</v>
      </c>
      <c r="W41" s="45">
        <v>3.6</v>
      </c>
      <c r="X41" s="45">
        <v>3.6</v>
      </c>
      <c r="Y41" s="45">
        <v>3.6</v>
      </c>
      <c r="Z41" s="45">
        <v>3.6</v>
      </c>
      <c r="AA41" s="45">
        <v>3.6</v>
      </c>
      <c r="AB41" s="45">
        <v>3.6</v>
      </c>
      <c r="AC41" s="45">
        <v>3.6</v>
      </c>
      <c r="AD41" s="45">
        <v>3.6</v>
      </c>
      <c r="AE41" s="45">
        <v>3.6</v>
      </c>
      <c r="AF41" s="45">
        <v>3.6</v>
      </c>
      <c r="AG41" s="51">
        <v>11.88</v>
      </c>
      <c r="AH41" s="47">
        <f t="shared" si="2"/>
        <v>3.6</v>
      </c>
      <c r="AI41" s="48">
        <f t="shared" si="3"/>
        <v>3.6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3</v>
      </c>
      <c r="C43" s="45">
        <v>3</v>
      </c>
      <c r="D43" s="45">
        <v>3</v>
      </c>
      <c r="E43" s="45">
        <v>3</v>
      </c>
      <c r="F43" s="45">
        <v>3</v>
      </c>
      <c r="G43" s="45">
        <v>3</v>
      </c>
      <c r="H43" s="45">
        <v>3</v>
      </c>
      <c r="I43" s="45">
        <v>3</v>
      </c>
      <c r="J43" s="45">
        <v>3</v>
      </c>
      <c r="K43" s="45">
        <v>3</v>
      </c>
      <c r="L43" s="45">
        <v>3</v>
      </c>
      <c r="M43" s="45">
        <v>3</v>
      </c>
      <c r="N43" s="45">
        <v>3</v>
      </c>
      <c r="O43" s="45">
        <v>3</v>
      </c>
      <c r="P43" s="45">
        <v>3</v>
      </c>
      <c r="Q43" s="45">
        <v>3</v>
      </c>
      <c r="R43" s="45">
        <v>3</v>
      </c>
      <c r="S43" s="45">
        <v>3</v>
      </c>
      <c r="T43" s="45">
        <v>3</v>
      </c>
      <c r="U43" s="45">
        <v>3</v>
      </c>
      <c r="V43" s="45">
        <v>3</v>
      </c>
      <c r="W43" s="45">
        <v>3</v>
      </c>
      <c r="X43" s="45">
        <v>3</v>
      </c>
      <c r="Y43" s="45">
        <v>3</v>
      </c>
      <c r="Z43" s="45">
        <v>3</v>
      </c>
      <c r="AA43" s="45">
        <v>3</v>
      </c>
      <c r="AB43" s="45">
        <v>3</v>
      </c>
      <c r="AC43" s="45">
        <v>3</v>
      </c>
      <c r="AD43" s="45">
        <v>3</v>
      </c>
      <c r="AE43" s="45">
        <v>3</v>
      </c>
      <c r="AF43" s="45">
        <v>3</v>
      </c>
      <c r="AG43" s="54">
        <v>10</v>
      </c>
      <c r="AH43" s="47">
        <f t="shared" si="2"/>
        <v>3</v>
      </c>
      <c r="AI43" s="48">
        <f t="shared" si="3"/>
        <v>3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>
        <v>3</v>
      </c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>
        <v>3</v>
      </c>
      <c r="Y44" s="45">
        <v>3</v>
      </c>
      <c r="Z44" s="45">
        <v>3</v>
      </c>
      <c r="AA44" s="45">
        <v>3</v>
      </c>
      <c r="AB44" s="45">
        <v>3</v>
      </c>
      <c r="AC44" s="45">
        <v>3</v>
      </c>
      <c r="AD44" s="45">
        <v>3</v>
      </c>
      <c r="AE44" s="45">
        <v>3</v>
      </c>
      <c r="AF44" s="45">
        <v>3</v>
      </c>
      <c r="AG44" s="54">
        <v>10</v>
      </c>
      <c r="AH44" s="47">
        <f t="shared" si="2"/>
        <v>3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150</v>
      </c>
      <c r="C46" s="56">
        <v>150</v>
      </c>
      <c r="D46" s="56">
        <v>150</v>
      </c>
      <c r="E46" s="56">
        <v>150</v>
      </c>
      <c r="F46" s="56">
        <v>150</v>
      </c>
      <c r="G46" s="56">
        <v>150</v>
      </c>
      <c r="H46" s="56">
        <v>150</v>
      </c>
      <c r="I46" s="56">
        <v>150</v>
      </c>
      <c r="J46" s="56">
        <v>150</v>
      </c>
      <c r="K46" s="56">
        <v>150</v>
      </c>
      <c r="L46" s="56">
        <v>150</v>
      </c>
      <c r="M46" s="56">
        <v>150</v>
      </c>
      <c r="N46" s="56">
        <v>150</v>
      </c>
      <c r="O46" s="56">
        <v>150</v>
      </c>
      <c r="P46" s="56">
        <v>150</v>
      </c>
      <c r="Q46" s="56">
        <v>150</v>
      </c>
      <c r="R46" s="56">
        <v>150</v>
      </c>
      <c r="S46" s="56">
        <v>150</v>
      </c>
      <c r="T46" s="56">
        <v>154</v>
      </c>
      <c r="U46" s="56">
        <v>154</v>
      </c>
      <c r="V46" s="56">
        <v>154</v>
      </c>
      <c r="W46" s="56">
        <v>154</v>
      </c>
      <c r="X46" s="56">
        <v>154</v>
      </c>
      <c r="Y46" s="56">
        <v>154</v>
      </c>
      <c r="Z46" s="56">
        <v>154</v>
      </c>
      <c r="AA46" s="56">
        <v>154</v>
      </c>
      <c r="AB46" s="56">
        <v>154</v>
      </c>
      <c r="AC46" s="56">
        <v>154</v>
      </c>
      <c r="AD46" s="56">
        <v>154</v>
      </c>
      <c r="AE46" s="56">
        <v>154</v>
      </c>
      <c r="AF46" s="56">
        <v>154</v>
      </c>
      <c r="AG46" s="54">
        <v>85</v>
      </c>
      <c r="AH46" s="47">
        <f t="shared" si="2"/>
        <v>154</v>
      </c>
      <c r="AI46" s="48">
        <f t="shared" si="3"/>
        <v>150</v>
      </c>
      <c r="AK46" s="49"/>
    </row>
    <row r="47" spans="1:88" ht="15.75" thickBot="1" x14ac:dyDescent="0.3">
      <c r="A47" s="57" t="s">
        <v>55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56</v>
      </c>
      <c r="B48" s="60">
        <f>SUM(B11:B46)</f>
        <v>525.70000000000005</v>
      </c>
      <c r="C48" s="60">
        <f t="shared" ref="C48:AF48" si="4">SUM(C11:C46)</f>
        <v>521.79999999999995</v>
      </c>
      <c r="D48" s="60">
        <f t="shared" si="4"/>
        <v>530.5</v>
      </c>
      <c r="E48" s="60">
        <f t="shared" si="4"/>
        <v>498.5</v>
      </c>
      <c r="F48" s="60">
        <f>SUM(F11:F46)</f>
        <v>498.5</v>
      </c>
      <c r="G48" s="60">
        <f>SUM(G11:G46)</f>
        <v>530.5</v>
      </c>
      <c r="H48" s="60">
        <f t="shared" si="4"/>
        <v>530.5</v>
      </c>
      <c r="I48" s="60">
        <f t="shared" si="4"/>
        <v>530.5</v>
      </c>
      <c r="J48" s="60">
        <f t="shared" si="4"/>
        <v>530.5</v>
      </c>
      <c r="K48" s="60">
        <f t="shared" si="4"/>
        <v>530.5</v>
      </c>
      <c r="L48" s="60">
        <f t="shared" si="4"/>
        <v>530.5</v>
      </c>
      <c r="M48" s="60">
        <f t="shared" si="4"/>
        <v>546.40000000000009</v>
      </c>
      <c r="N48" s="60">
        <f t="shared" si="4"/>
        <v>548.59999999999991</v>
      </c>
      <c r="O48" s="60">
        <f t="shared" si="4"/>
        <v>541.79999999999995</v>
      </c>
      <c r="P48" s="60">
        <f>SUM(P11:P46)</f>
        <v>536.79999999999995</v>
      </c>
      <c r="Q48" s="60">
        <f t="shared" si="4"/>
        <v>540.79999999999995</v>
      </c>
      <c r="R48" s="60">
        <f t="shared" si="4"/>
        <v>540.70000000000005</v>
      </c>
      <c r="S48" s="60">
        <f t="shared" si="4"/>
        <v>533.70000000000005</v>
      </c>
      <c r="T48" s="60">
        <f t="shared" si="4"/>
        <v>537.70000000000005</v>
      </c>
      <c r="U48" s="60">
        <f t="shared" si="4"/>
        <v>537.70000000000005</v>
      </c>
      <c r="V48" s="60">
        <f t="shared" si="4"/>
        <v>539.70000000000005</v>
      </c>
      <c r="W48" s="60">
        <f t="shared" si="4"/>
        <v>539.70000000000005</v>
      </c>
      <c r="X48" s="60">
        <f t="shared" si="4"/>
        <v>550.29999999999995</v>
      </c>
      <c r="Y48" s="60">
        <f t="shared" si="4"/>
        <v>550.29999999999995</v>
      </c>
      <c r="Z48" s="60">
        <f t="shared" si="4"/>
        <v>551.29999999999995</v>
      </c>
      <c r="AA48" s="60">
        <f t="shared" si="4"/>
        <v>560.5</v>
      </c>
      <c r="AB48" s="60">
        <f t="shared" si="4"/>
        <v>560.5</v>
      </c>
      <c r="AC48" s="60">
        <f t="shared" si="4"/>
        <v>560.5</v>
      </c>
      <c r="AD48" s="60">
        <f t="shared" si="4"/>
        <v>560.5</v>
      </c>
      <c r="AE48" s="60">
        <f t="shared" si="4"/>
        <v>560.5</v>
      </c>
      <c r="AF48" s="60">
        <f t="shared" si="4"/>
        <v>560.5</v>
      </c>
      <c r="AG48" s="61">
        <f>SUM(AG12:AG46)</f>
        <v>875.68</v>
      </c>
      <c r="AH48" s="47">
        <f t="shared" si="2"/>
        <v>560.5</v>
      </c>
      <c r="AI48" s="48">
        <f t="shared" si="3"/>
        <v>498.5</v>
      </c>
      <c r="AK48" s="49"/>
    </row>
    <row r="49" spans="1:41" x14ac:dyDescent="0.25">
      <c r="A49" s="62" t="s">
        <v>57</v>
      </c>
      <c r="B49" s="45">
        <v>291</v>
      </c>
      <c r="C49" s="45">
        <v>390</v>
      </c>
      <c r="D49" s="45">
        <v>290</v>
      </c>
      <c r="E49" s="45">
        <v>140</v>
      </c>
      <c r="F49" s="45">
        <v>140</v>
      </c>
      <c r="G49" s="45">
        <v>140</v>
      </c>
      <c r="H49" s="45">
        <v>110</v>
      </c>
      <c r="I49" s="45">
        <v>120</v>
      </c>
      <c r="J49" s="45">
        <v>70</v>
      </c>
      <c r="K49" s="45">
        <v>70</v>
      </c>
      <c r="L49" s="45">
        <v>140</v>
      </c>
      <c r="M49" s="45">
        <v>110</v>
      </c>
      <c r="N49" s="45">
        <v>120</v>
      </c>
      <c r="O49" s="45">
        <v>80</v>
      </c>
      <c r="P49" s="45">
        <v>130</v>
      </c>
      <c r="Q49" s="45">
        <v>120</v>
      </c>
      <c r="R49" s="45">
        <v>90</v>
      </c>
      <c r="S49" s="45">
        <v>120</v>
      </c>
      <c r="T49" s="45">
        <v>120</v>
      </c>
      <c r="U49" s="45">
        <v>110</v>
      </c>
      <c r="V49" s="45">
        <v>70</v>
      </c>
      <c r="W49" s="45">
        <v>0</v>
      </c>
      <c r="X49" s="45">
        <v>0</v>
      </c>
      <c r="Y49" s="45">
        <v>0</v>
      </c>
      <c r="Z49" s="45">
        <v>150</v>
      </c>
      <c r="AA49" s="45">
        <v>190</v>
      </c>
      <c r="AB49" s="45">
        <v>150</v>
      </c>
      <c r="AC49" s="45">
        <v>150</v>
      </c>
      <c r="AD49" s="45">
        <v>175</v>
      </c>
      <c r="AE49" s="45">
        <v>175</v>
      </c>
      <c r="AF49" s="45">
        <v>200</v>
      </c>
      <c r="AG49" s="51">
        <v>456</v>
      </c>
      <c r="AH49" s="47">
        <f t="shared" si="2"/>
        <v>390</v>
      </c>
      <c r="AI49" s="48">
        <f t="shared" si="3"/>
        <v>0</v>
      </c>
      <c r="AK49" s="49"/>
    </row>
    <row r="50" spans="1:41" x14ac:dyDescent="0.25">
      <c r="A50" s="64" t="s">
        <v>58</v>
      </c>
      <c r="B50" s="65">
        <v>29</v>
      </c>
      <c r="C50" s="65">
        <v>29</v>
      </c>
      <c r="D50" s="65">
        <v>29</v>
      </c>
      <c r="E50" s="65">
        <v>29</v>
      </c>
      <c r="F50" s="65">
        <v>29</v>
      </c>
      <c r="G50" s="65">
        <v>29</v>
      </c>
      <c r="H50" s="65">
        <v>29</v>
      </c>
      <c r="I50" s="65">
        <v>29</v>
      </c>
      <c r="J50" s="65">
        <v>29</v>
      </c>
      <c r="K50" s="65">
        <v>29</v>
      </c>
      <c r="L50" s="65">
        <v>29</v>
      </c>
      <c r="M50" s="65">
        <v>29</v>
      </c>
      <c r="N50" s="65">
        <v>29</v>
      </c>
      <c r="O50" s="65">
        <v>29</v>
      </c>
      <c r="P50" s="65">
        <v>29</v>
      </c>
      <c r="Q50" s="65">
        <v>29</v>
      </c>
      <c r="R50" s="65">
        <v>29</v>
      </c>
      <c r="S50" s="65">
        <v>29</v>
      </c>
      <c r="T50" s="65">
        <v>29</v>
      </c>
      <c r="U50" s="65">
        <v>29</v>
      </c>
      <c r="V50" s="65">
        <v>29</v>
      </c>
      <c r="W50" s="65">
        <v>29</v>
      </c>
      <c r="X50" s="65">
        <v>29</v>
      </c>
      <c r="Y50" s="65">
        <v>29</v>
      </c>
      <c r="Z50" s="65">
        <v>29</v>
      </c>
      <c r="AA50" s="65">
        <v>29</v>
      </c>
      <c r="AB50" s="65">
        <v>29</v>
      </c>
      <c r="AC50" s="65">
        <v>29</v>
      </c>
      <c r="AD50" s="65">
        <v>29</v>
      </c>
      <c r="AE50" s="65">
        <v>29</v>
      </c>
      <c r="AF50" s="65">
        <v>29</v>
      </c>
      <c r="AG50" s="54">
        <v>60</v>
      </c>
      <c r="AH50" s="47">
        <f t="shared" si="2"/>
        <v>29</v>
      </c>
      <c r="AI50" s="48">
        <f t="shared" si="3"/>
        <v>29</v>
      </c>
      <c r="AK50" s="49"/>
    </row>
    <row r="51" spans="1:41" ht="15.75" thickBot="1" x14ac:dyDescent="0.3">
      <c r="A51" s="66" t="s">
        <v>59</v>
      </c>
      <c r="B51" s="67">
        <v>21.2</v>
      </c>
      <c r="C51" s="67">
        <v>21</v>
      </c>
      <c r="D51" s="67">
        <v>21.2</v>
      </c>
      <c r="E51" s="67">
        <v>21.2</v>
      </c>
      <c r="F51" s="67">
        <v>21.2</v>
      </c>
      <c r="G51" s="67">
        <v>21.2</v>
      </c>
      <c r="H51" s="67">
        <v>21.2</v>
      </c>
      <c r="I51" s="67">
        <v>21.2</v>
      </c>
      <c r="J51" s="67">
        <v>21.2</v>
      </c>
      <c r="K51" s="67">
        <v>21.2</v>
      </c>
      <c r="L51" s="67">
        <v>21.2</v>
      </c>
      <c r="M51" s="67">
        <v>21.2</v>
      </c>
      <c r="N51" s="67">
        <v>21</v>
      </c>
      <c r="O51" s="67">
        <v>20.100000000000001</v>
      </c>
      <c r="P51" s="67">
        <v>20.100000000000001</v>
      </c>
      <c r="Q51" s="67">
        <v>20.100000000000001</v>
      </c>
      <c r="R51" s="67">
        <v>20.100000000000001</v>
      </c>
      <c r="S51" s="67">
        <v>20.100000000000001</v>
      </c>
      <c r="T51" s="67">
        <v>20.100000000000001</v>
      </c>
      <c r="U51" s="67">
        <v>20.100000000000001</v>
      </c>
      <c r="V51" s="67">
        <v>20.100000000000001</v>
      </c>
      <c r="W51" s="67">
        <v>20.100000000000001</v>
      </c>
      <c r="X51" s="67">
        <v>20.100000000000001</v>
      </c>
      <c r="Y51" s="67">
        <v>20.100000000000001</v>
      </c>
      <c r="Z51" s="67">
        <v>20.100000000000001</v>
      </c>
      <c r="AA51" s="67">
        <v>20.100000000000001</v>
      </c>
      <c r="AB51" s="67">
        <v>20</v>
      </c>
      <c r="AC51" s="67">
        <v>20</v>
      </c>
      <c r="AD51" s="67">
        <v>20</v>
      </c>
      <c r="AE51" s="67">
        <v>20</v>
      </c>
      <c r="AF51" s="67">
        <v>20</v>
      </c>
      <c r="AG51" s="68">
        <v>22.1</v>
      </c>
      <c r="AH51" s="47">
        <f t="shared" si="2"/>
        <v>21.2</v>
      </c>
      <c r="AI51" s="48">
        <f t="shared" si="3"/>
        <v>20</v>
      </c>
      <c r="AK51" s="49"/>
    </row>
    <row r="52" spans="1:41" ht="15.75" thickBot="1" x14ac:dyDescent="0.3">
      <c r="A52" s="69" t="s">
        <v>60</v>
      </c>
      <c r="B52" s="60">
        <f t="shared" ref="B52:AG52" si="5">SUM(B49:B51)</f>
        <v>341.2</v>
      </c>
      <c r="C52" s="60">
        <f t="shared" si="5"/>
        <v>440</v>
      </c>
      <c r="D52" s="60">
        <f t="shared" si="5"/>
        <v>340.2</v>
      </c>
      <c r="E52" s="60">
        <f t="shared" si="5"/>
        <v>190.2</v>
      </c>
      <c r="F52" s="60">
        <f>SUM(F49:F51)</f>
        <v>190.2</v>
      </c>
      <c r="G52" s="60">
        <f>SUM(G49:G51)</f>
        <v>190.2</v>
      </c>
      <c r="H52" s="60">
        <f t="shared" si="5"/>
        <v>160.19999999999999</v>
      </c>
      <c r="I52" s="60">
        <f t="shared" si="5"/>
        <v>170.2</v>
      </c>
      <c r="J52" s="60">
        <f t="shared" si="5"/>
        <v>120.2</v>
      </c>
      <c r="K52" s="60">
        <f t="shared" si="5"/>
        <v>120.2</v>
      </c>
      <c r="L52" s="60">
        <f t="shared" si="5"/>
        <v>190.2</v>
      </c>
      <c r="M52" s="60">
        <f t="shared" si="5"/>
        <v>160.19999999999999</v>
      </c>
      <c r="N52" s="60">
        <f t="shared" si="5"/>
        <v>170</v>
      </c>
      <c r="O52" s="60">
        <f t="shared" si="5"/>
        <v>129.1</v>
      </c>
      <c r="P52" s="60">
        <f>SUM(P49:P51)</f>
        <v>179.1</v>
      </c>
      <c r="Q52" s="60">
        <f t="shared" si="5"/>
        <v>169.1</v>
      </c>
      <c r="R52" s="60">
        <f t="shared" si="5"/>
        <v>139.1</v>
      </c>
      <c r="S52" s="60">
        <f t="shared" si="5"/>
        <v>169.1</v>
      </c>
      <c r="T52" s="60">
        <f t="shared" si="5"/>
        <v>169.1</v>
      </c>
      <c r="U52" s="60">
        <f t="shared" si="5"/>
        <v>159.1</v>
      </c>
      <c r="V52" s="60">
        <f t="shared" si="5"/>
        <v>119.1</v>
      </c>
      <c r="W52" s="60">
        <f t="shared" si="5"/>
        <v>49.1</v>
      </c>
      <c r="X52" s="60">
        <f t="shared" si="5"/>
        <v>49.1</v>
      </c>
      <c r="Y52" s="60">
        <f t="shared" si="5"/>
        <v>49.1</v>
      </c>
      <c r="Z52" s="60">
        <f t="shared" si="5"/>
        <v>199.1</v>
      </c>
      <c r="AA52" s="60">
        <f t="shared" si="5"/>
        <v>239.1</v>
      </c>
      <c r="AB52" s="60">
        <f t="shared" si="5"/>
        <v>199</v>
      </c>
      <c r="AC52" s="60">
        <f t="shared" si="5"/>
        <v>199</v>
      </c>
      <c r="AD52" s="60">
        <f t="shared" si="5"/>
        <v>224</v>
      </c>
      <c r="AE52" s="60">
        <f t="shared" si="5"/>
        <v>224</v>
      </c>
      <c r="AF52" s="60">
        <f t="shared" si="5"/>
        <v>249</v>
      </c>
      <c r="AG52" s="61">
        <f t="shared" si="5"/>
        <v>538.1</v>
      </c>
      <c r="AH52" s="47">
        <f t="shared" si="2"/>
        <v>440</v>
      </c>
      <c r="AI52" s="48">
        <f t="shared" si="3"/>
        <v>49.1</v>
      </c>
      <c r="AK52" s="49"/>
    </row>
    <row r="53" spans="1:41" x14ac:dyDescent="0.25">
      <c r="A53" s="44" t="s">
        <v>61</v>
      </c>
      <c r="B53" s="45">
        <v>128</v>
      </c>
      <c r="C53" s="45">
        <v>95.2</v>
      </c>
      <c r="D53" s="45">
        <v>81.400000000000006</v>
      </c>
      <c r="E53" s="45">
        <v>86.5</v>
      </c>
      <c r="F53" s="45">
        <v>86.5</v>
      </c>
      <c r="G53" s="45">
        <v>80</v>
      </c>
      <c r="H53" s="45">
        <v>75</v>
      </c>
      <c r="I53" s="45">
        <v>70</v>
      </c>
      <c r="J53" s="45">
        <v>70</v>
      </c>
      <c r="K53" s="45">
        <v>70</v>
      </c>
      <c r="L53" s="45">
        <v>96</v>
      </c>
      <c r="M53" s="45">
        <v>96</v>
      </c>
      <c r="N53" s="45">
        <v>95.4</v>
      </c>
      <c r="O53" s="45">
        <v>142.19999999999999</v>
      </c>
      <c r="P53" s="45">
        <v>141.80000000000001</v>
      </c>
      <c r="Q53" s="45">
        <v>141.80000000000001</v>
      </c>
      <c r="R53" s="45">
        <v>141.1</v>
      </c>
      <c r="S53" s="45">
        <v>110</v>
      </c>
      <c r="T53" s="45">
        <v>100</v>
      </c>
      <c r="U53" s="45">
        <v>95.4</v>
      </c>
      <c r="V53" s="45">
        <v>70</v>
      </c>
      <c r="W53" s="45">
        <v>61.4</v>
      </c>
      <c r="X53" s="45">
        <v>61.4</v>
      </c>
      <c r="Y53" s="45">
        <v>61.4</v>
      </c>
      <c r="Z53" s="45">
        <v>93.5</v>
      </c>
      <c r="AA53" s="45">
        <v>120</v>
      </c>
      <c r="AB53" s="45">
        <v>122</v>
      </c>
      <c r="AC53" s="45">
        <v>122</v>
      </c>
      <c r="AD53" s="45">
        <v>122</v>
      </c>
      <c r="AE53" s="45">
        <v>122</v>
      </c>
      <c r="AF53" s="45">
        <v>110</v>
      </c>
      <c r="AG53" s="51">
        <v>144</v>
      </c>
      <c r="AH53" s="47">
        <f t="shared" si="2"/>
        <v>142.19999999999999</v>
      </c>
      <c r="AI53" s="48">
        <f t="shared" si="3"/>
        <v>61.4</v>
      </c>
      <c r="AK53" s="49"/>
    </row>
    <row r="54" spans="1:41" x14ac:dyDescent="0.25">
      <c r="A54" s="53" t="s">
        <v>62</v>
      </c>
      <c r="B54" s="65">
        <v>25.4</v>
      </c>
      <c r="C54" s="65">
        <v>35.6</v>
      </c>
      <c r="D54" s="65">
        <v>35</v>
      </c>
      <c r="E54" s="65">
        <v>65.2</v>
      </c>
      <c r="F54" s="65">
        <v>65.2</v>
      </c>
      <c r="G54" s="65">
        <v>65.2</v>
      </c>
      <c r="H54" s="65">
        <v>69</v>
      </c>
      <c r="I54" s="65">
        <v>69</v>
      </c>
      <c r="J54" s="65">
        <v>65</v>
      </c>
      <c r="K54" s="65">
        <v>65</v>
      </c>
      <c r="L54" s="65">
        <v>65</v>
      </c>
      <c r="M54" s="65">
        <v>65</v>
      </c>
      <c r="N54" s="65">
        <v>56.8</v>
      </c>
      <c r="O54" s="65">
        <v>59.6</v>
      </c>
      <c r="P54" s="65">
        <v>69.5</v>
      </c>
      <c r="Q54" s="65">
        <v>71.099999999999994</v>
      </c>
      <c r="R54" s="45">
        <v>70</v>
      </c>
      <c r="S54" s="45">
        <v>60</v>
      </c>
      <c r="T54" s="45">
        <v>60</v>
      </c>
      <c r="U54" s="45">
        <v>52.1</v>
      </c>
      <c r="V54" s="45">
        <v>69.8</v>
      </c>
      <c r="W54" s="45">
        <v>70</v>
      </c>
      <c r="X54" s="45">
        <v>70</v>
      </c>
      <c r="Y54" s="45">
        <v>46.9</v>
      </c>
      <c r="Z54" s="45">
        <v>49.2</v>
      </c>
      <c r="AA54" s="45">
        <v>60</v>
      </c>
      <c r="AB54" s="65">
        <v>71</v>
      </c>
      <c r="AC54" s="65">
        <v>71</v>
      </c>
      <c r="AD54" s="65">
        <v>71</v>
      </c>
      <c r="AE54" s="65">
        <v>71</v>
      </c>
      <c r="AF54" s="65">
        <v>71</v>
      </c>
      <c r="AG54" s="54">
        <v>70</v>
      </c>
      <c r="AH54" s="47">
        <f t="shared" si="2"/>
        <v>71.099999999999994</v>
      </c>
      <c r="AI54" s="48">
        <f t="shared" si="3"/>
        <v>25.4</v>
      </c>
      <c r="AK54" s="49"/>
    </row>
    <row r="55" spans="1:41" x14ac:dyDescent="0.25">
      <c r="A55" s="53" t="s">
        <v>63</v>
      </c>
      <c r="B55" s="65">
        <v>40.700000000000003</v>
      </c>
      <c r="C55" s="65">
        <v>46.5</v>
      </c>
      <c r="D55" s="65">
        <v>47.07</v>
      </c>
      <c r="E55" s="65">
        <v>61.9</v>
      </c>
      <c r="F55" s="65">
        <v>61.9</v>
      </c>
      <c r="G55" s="65">
        <v>61.9</v>
      </c>
      <c r="H55" s="65">
        <v>44.5</v>
      </c>
      <c r="I55" s="65">
        <v>44.5</v>
      </c>
      <c r="J55" s="65">
        <v>44.5</v>
      </c>
      <c r="K55" s="65">
        <v>44.5</v>
      </c>
      <c r="L55" s="65">
        <v>44.5</v>
      </c>
      <c r="M55" s="65">
        <v>44.5</v>
      </c>
      <c r="N55" s="65">
        <v>51.8</v>
      </c>
      <c r="O55" s="65">
        <v>51.1</v>
      </c>
      <c r="P55" s="65">
        <v>46</v>
      </c>
      <c r="Q55" s="65">
        <v>45.7</v>
      </c>
      <c r="R55" s="45">
        <v>45.1</v>
      </c>
      <c r="S55" s="45">
        <v>69</v>
      </c>
      <c r="T55" s="45">
        <v>69</v>
      </c>
      <c r="U55" s="45">
        <v>69</v>
      </c>
      <c r="V55" s="45">
        <v>69</v>
      </c>
      <c r="W55" s="45">
        <v>69</v>
      </c>
      <c r="X55" s="45">
        <v>69</v>
      </c>
      <c r="Y55" s="45">
        <v>51.3</v>
      </c>
      <c r="Z55" s="45">
        <v>51.3</v>
      </c>
      <c r="AA55" s="45">
        <v>67</v>
      </c>
      <c r="AB55" s="65">
        <v>70</v>
      </c>
      <c r="AC55" s="65">
        <v>70</v>
      </c>
      <c r="AD55" s="65">
        <v>70</v>
      </c>
      <c r="AE55" s="65">
        <v>70</v>
      </c>
      <c r="AF55" s="65">
        <v>70</v>
      </c>
      <c r="AG55" s="54">
        <v>69</v>
      </c>
      <c r="AH55" s="47">
        <f t="shared" si="2"/>
        <v>70</v>
      </c>
      <c r="AI55" s="48">
        <f t="shared" si="3"/>
        <v>40.700000000000003</v>
      </c>
      <c r="AK55" s="49"/>
    </row>
    <row r="56" spans="1:41" x14ac:dyDescent="0.25">
      <c r="A56" s="53" t="s">
        <v>64</v>
      </c>
      <c r="B56" s="65">
        <v>56.7</v>
      </c>
      <c r="C56" s="65">
        <v>60</v>
      </c>
      <c r="D56" s="65">
        <v>60</v>
      </c>
      <c r="E56" s="56">
        <v>60.4</v>
      </c>
      <c r="F56" s="56">
        <v>60.4</v>
      </c>
      <c r="G56" s="56">
        <v>60.4</v>
      </c>
      <c r="H56" s="56">
        <v>60.2</v>
      </c>
      <c r="I56" s="56">
        <v>60.2</v>
      </c>
      <c r="J56" s="56">
        <v>60.2</v>
      </c>
      <c r="K56" s="56">
        <v>60.2</v>
      </c>
      <c r="L56" s="56">
        <v>60.2</v>
      </c>
      <c r="M56" s="56">
        <v>60.2</v>
      </c>
      <c r="N56" s="56">
        <v>58.2</v>
      </c>
      <c r="O56" s="65">
        <v>57.7</v>
      </c>
      <c r="P56" s="65">
        <v>57.7</v>
      </c>
      <c r="Q56" s="65">
        <v>57.7</v>
      </c>
      <c r="R56" s="65">
        <v>57.7</v>
      </c>
      <c r="S56" s="65">
        <v>51</v>
      </c>
      <c r="T56" s="65">
        <v>51</v>
      </c>
      <c r="U56" s="65">
        <v>54.9</v>
      </c>
      <c r="V56" s="65">
        <v>53.7</v>
      </c>
      <c r="W56" s="65">
        <v>53.7</v>
      </c>
      <c r="X56" s="65">
        <v>53.7</v>
      </c>
      <c r="Y56" s="65">
        <v>53.7</v>
      </c>
      <c r="Z56" s="65">
        <v>53.7</v>
      </c>
      <c r="AA56" s="45">
        <v>53.7</v>
      </c>
      <c r="AB56" s="65">
        <v>52.9</v>
      </c>
      <c r="AC56" s="65">
        <v>52.9</v>
      </c>
      <c r="AD56" s="65">
        <v>52.9</v>
      </c>
      <c r="AE56" s="65">
        <v>0</v>
      </c>
      <c r="AF56" s="65">
        <v>20</v>
      </c>
      <c r="AG56" s="54">
        <v>60</v>
      </c>
      <c r="AH56" s="47">
        <f t="shared" si="2"/>
        <v>60.4</v>
      </c>
      <c r="AI56" s="48">
        <f t="shared" si="3"/>
        <v>0</v>
      </c>
      <c r="AK56" s="49"/>
    </row>
    <row r="57" spans="1:41" x14ac:dyDescent="0.25">
      <c r="A57" s="53" t="s">
        <v>65</v>
      </c>
      <c r="B57" s="65">
        <v>14.8</v>
      </c>
      <c r="C57" s="65">
        <v>9.3000000000000007</v>
      </c>
      <c r="D57" s="65">
        <v>9.3000000000000007</v>
      </c>
      <c r="E57" s="65">
        <v>9.3000000000000007</v>
      </c>
      <c r="F57" s="65">
        <v>9.3000000000000007</v>
      </c>
      <c r="G57" s="65">
        <v>9.3000000000000007</v>
      </c>
      <c r="H57" s="65">
        <v>9.3000000000000007</v>
      </c>
      <c r="I57" s="65">
        <v>9.3000000000000007</v>
      </c>
      <c r="J57" s="65">
        <v>23.9</v>
      </c>
      <c r="K57" s="65">
        <v>23.9</v>
      </c>
      <c r="L57" s="65">
        <v>23.9</v>
      </c>
      <c r="M57" s="65">
        <v>23.9</v>
      </c>
      <c r="N57" s="65">
        <v>23</v>
      </c>
      <c r="O57" s="65">
        <v>15</v>
      </c>
      <c r="P57" s="65">
        <v>15</v>
      </c>
      <c r="Q57" s="65">
        <v>15</v>
      </c>
      <c r="R57" s="65">
        <v>15</v>
      </c>
      <c r="S57" s="65">
        <v>15</v>
      </c>
      <c r="T57" s="65">
        <v>15</v>
      </c>
      <c r="U57" s="65">
        <v>12</v>
      </c>
      <c r="V57" s="65">
        <v>12</v>
      </c>
      <c r="W57" s="65">
        <v>0</v>
      </c>
      <c r="X57" s="65">
        <v>0</v>
      </c>
      <c r="Y57" s="65">
        <v>0</v>
      </c>
      <c r="Z57" s="65">
        <v>0</v>
      </c>
      <c r="AA57" s="45">
        <v>10</v>
      </c>
      <c r="AB57" s="65">
        <v>22</v>
      </c>
      <c r="AC57" s="65">
        <v>22</v>
      </c>
      <c r="AD57" s="65">
        <v>22</v>
      </c>
      <c r="AE57" s="65">
        <v>22</v>
      </c>
      <c r="AF57" s="65">
        <v>22</v>
      </c>
      <c r="AG57" s="54">
        <v>30</v>
      </c>
      <c r="AH57" s="47">
        <f t="shared" si="2"/>
        <v>23.9</v>
      </c>
      <c r="AI57" s="48">
        <f t="shared" si="3"/>
        <v>0</v>
      </c>
      <c r="AK57" s="49"/>
    </row>
    <row r="58" spans="1:41" x14ac:dyDescent="0.25">
      <c r="A58" s="53" t="s">
        <v>66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>
        <v>7.7</v>
      </c>
      <c r="N58" s="65">
        <v>13</v>
      </c>
      <c r="O58" s="65">
        <v>16.399999999999999</v>
      </c>
      <c r="P58" s="65">
        <v>17.5</v>
      </c>
      <c r="Q58" s="65">
        <v>17.5</v>
      </c>
      <c r="R58" s="65">
        <v>17.5</v>
      </c>
      <c r="S58" s="65">
        <v>17.5</v>
      </c>
      <c r="T58" s="65">
        <v>17.5</v>
      </c>
      <c r="U58" s="65">
        <v>17.5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4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17.5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15</v>
      </c>
      <c r="C59" s="65">
        <v>15</v>
      </c>
      <c r="D59" s="65">
        <v>15</v>
      </c>
      <c r="E59" s="65">
        <v>15</v>
      </c>
      <c r="F59" s="65">
        <v>15</v>
      </c>
      <c r="G59" s="65">
        <v>15</v>
      </c>
      <c r="H59" s="65">
        <v>15</v>
      </c>
      <c r="I59" s="65">
        <v>15</v>
      </c>
      <c r="J59" s="65">
        <v>15</v>
      </c>
      <c r="K59" s="65">
        <v>15</v>
      </c>
      <c r="L59" s="65">
        <v>15</v>
      </c>
      <c r="M59" s="65">
        <v>15</v>
      </c>
      <c r="N59" s="65">
        <v>15</v>
      </c>
      <c r="O59" s="65">
        <v>15</v>
      </c>
      <c r="P59" s="65">
        <v>15</v>
      </c>
      <c r="Q59" s="65">
        <v>15</v>
      </c>
      <c r="R59" s="65">
        <v>15</v>
      </c>
      <c r="S59" s="65">
        <v>15</v>
      </c>
      <c r="T59" s="65">
        <v>15</v>
      </c>
      <c r="U59" s="65">
        <v>15</v>
      </c>
      <c r="V59" s="65">
        <v>15</v>
      </c>
      <c r="W59" s="65">
        <v>15</v>
      </c>
      <c r="X59" s="65">
        <v>15</v>
      </c>
      <c r="Y59" s="65">
        <v>15</v>
      </c>
      <c r="Z59" s="65">
        <v>15</v>
      </c>
      <c r="AA59" s="65">
        <v>15</v>
      </c>
      <c r="AB59" s="65">
        <v>15</v>
      </c>
      <c r="AC59" s="65">
        <v>15</v>
      </c>
      <c r="AD59" s="65">
        <v>15</v>
      </c>
      <c r="AE59" s="65">
        <v>15</v>
      </c>
      <c r="AF59" s="65">
        <v>15</v>
      </c>
      <c r="AG59" s="54">
        <v>24</v>
      </c>
      <c r="AH59" s="47">
        <f t="shared" si="2"/>
        <v>15</v>
      </c>
      <c r="AI59" s="48">
        <f t="shared" si="3"/>
        <v>15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11</v>
      </c>
      <c r="C61" s="65">
        <v>11</v>
      </c>
      <c r="D61" s="65">
        <v>11</v>
      </c>
      <c r="E61" s="65">
        <v>11</v>
      </c>
      <c r="F61" s="65">
        <v>11</v>
      </c>
      <c r="G61" s="65">
        <v>11</v>
      </c>
      <c r="H61" s="65">
        <v>11</v>
      </c>
      <c r="I61" s="65">
        <v>11</v>
      </c>
      <c r="J61" s="65">
        <v>11</v>
      </c>
      <c r="K61" s="65">
        <v>11</v>
      </c>
      <c r="L61" s="65">
        <v>11</v>
      </c>
      <c r="M61" s="65">
        <v>11</v>
      </c>
      <c r="N61" s="65">
        <v>13.2</v>
      </c>
      <c r="O61" s="65">
        <v>13.4</v>
      </c>
      <c r="P61" s="65">
        <v>13.1</v>
      </c>
      <c r="Q61" s="65">
        <v>13.1</v>
      </c>
      <c r="R61" s="65">
        <v>13.1</v>
      </c>
      <c r="S61" s="65">
        <v>13.1</v>
      </c>
      <c r="T61" s="65">
        <v>13.1</v>
      </c>
      <c r="U61" s="65">
        <v>13.1</v>
      </c>
      <c r="V61" s="65">
        <v>13.1</v>
      </c>
      <c r="W61" s="65">
        <v>13.1</v>
      </c>
      <c r="X61" s="65">
        <v>13.1</v>
      </c>
      <c r="Y61" s="65">
        <v>13.1</v>
      </c>
      <c r="Z61" s="65">
        <v>13.1</v>
      </c>
      <c r="AA61" s="65">
        <v>13.1</v>
      </c>
      <c r="AB61" s="65">
        <v>13.1</v>
      </c>
      <c r="AC61" s="65">
        <v>13.1</v>
      </c>
      <c r="AD61" s="65">
        <v>13.1</v>
      </c>
      <c r="AE61" s="65">
        <v>13.1</v>
      </c>
      <c r="AF61" s="65">
        <v>13.1</v>
      </c>
      <c r="AG61" s="54">
        <v>14.1</v>
      </c>
      <c r="AH61" s="47">
        <f t="shared" si="2"/>
        <v>13.4</v>
      </c>
      <c r="AI61" s="48">
        <f t="shared" si="3"/>
        <v>11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13</v>
      </c>
      <c r="C62" s="65">
        <v>13</v>
      </c>
      <c r="D62" s="65">
        <v>13</v>
      </c>
      <c r="E62" s="65">
        <v>13</v>
      </c>
      <c r="F62" s="65">
        <v>13</v>
      </c>
      <c r="G62" s="65">
        <v>13</v>
      </c>
      <c r="H62" s="65">
        <v>13</v>
      </c>
      <c r="I62" s="65">
        <v>13</v>
      </c>
      <c r="J62" s="65">
        <v>13</v>
      </c>
      <c r="K62" s="65">
        <v>13</v>
      </c>
      <c r="L62" s="65">
        <v>13</v>
      </c>
      <c r="M62" s="65">
        <v>13</v>
      </c>
      <c r="N62" s="65">
        <v>13</v>
      </c>
      <c r="O62" s="65">
        <v>13</v>
      </c>
      <c r="P62" s="65">
        <v>13</v>
      </c>
      <c r="Q62" s="65">
        <v>13</v>
      </c>
      <c r="R62" s="65">
        <v>13</v>
      </c>
      <c r="S62" s="65">
        <v>13</v>
      </c>
      <c r="T62" s="65">
        <v>13</v>
      </c>
      <c r="U62" s="65">
        <v>13</v>
      </c>
      <c r="V62" s="65">
        <v>13</v>
      </c>
      <c r="W62" s="65">
        <v>13</v>
      </c>
      <c r="X62" s="65">
        <v>13</v>
      </c>
      <c r="Y62" s="65">
        <v>13</v>
      </c>
      <c r="Z62" s="65">
        <v>13</v>
      </c>
      <c r="AA62" s="65">
        <v>13</v>
      </c>
      <c r="AB62" s="65">
        <v>13</v>
      </c>
      <c r="AC62" s="65">
        <v>13</v>
      </c>
      <c r="AD62" s="65">
        <v>13</v>
      </c>
      <c r="AE62" s="65">
        <v>13</v>
      </c>
      <c r="AF62" s="65">
        <v>13</v>
      </c>
      <c r="AG62" s="54">
        <v>14</v>
      </c>
      <c r="AH62" s="47">
        <f t="shared" si="2"/>
        <v>13</v>
      </c>
      <c r="AI62" s="48">
        <f t="shared" si="3"/>
        <v>13</v>
      </c>
      <c r="AK62" s="49"/>
    </row>
    <row r="63" spans="1:41" x14ac:dyDescent="0.25">
      <c r="A63" s="53" t="s">
        <v>71</v>
      </c>
      <c r="B63" s="65">
        <v>8</v>
      </c>
      <c r="C63" s="65">
        <v>8</v>
      </c>
      <c r="D63" s="65">
        <v>8</v>
      </c>
      <c r="E63" s="65">
        <v>8</v>
      </c>
      <c r="F63" s="65">
        <v>8</v>
      </c>
      <c r="G63" s="65">
        <v>8</v>
      </c>
      <c r="H63" s="65">
        <v>8</v>
      </c>
      <c r="I63" s="65">
        <v>8</v>
      </c>
      <c r="J63" s="65">
        <v>8</v>
      </c>
      <c r="K63" s="65">
        <v>8</v>
      </c>
      <c r="L63" s="65">
        <v>8</v>
      </c>
      <c r="M63" s="65">
        <v>8</v>
      </c>
      <c r="N63" s="65">
        <v>4.5999999999999996</v>
      </c>
      <c r="O63" s="65">
        <v>4.5999999999999996</v>
      </c>
      <c r="P63" s="65">
        <v>4.5999999999999996</v>
      </c>
      <c r="Q63" s="65">
        <v>4.5999999999999996</v>
      </c>
      <c r="R63" s="65">
        <v>4.5999999999999996</v>
      </c>
      <c r="S63" s="65">
        <v>4.5999999999999996</v>
      </c>
      <c r="T63" s="65">
        <v>4.5999999999999996</v>
      </c>
      <c r="U63" s="65">
        <v>4.5999999999999996</v>
      </c>
      <c r="V63" s="65">
        <v>4.5999999999999996</v>
      </c>
      <c r="W63" s="65">
        <v>4.5999999999999996</v>
      </c>
      <c r="X63" s="65">
        <v>4.5999999999999996</v>
      </c>
      <c r="Y63" s="65">
        <v>4.5999999999999996</v>
      </c>
      <c r="Z63" s="65">
        <v>4.5999999999999996</v>
      </c>
      <c r="AA63" s="65">
        <v>4.5999999999999996</v>
      </c>
      <c r="AB63" s="65">
        <v>4.5999999999999996</v>
      </c>
      <c r="AC63" s="65">
        <v>4.5999999999999996</v>
      </c>
      <c r="AD63" s="65">
        <v>4.5999999999999996</v>
      </c>
      <c r="AE63" s="65">
        <v>4.5999999999999996</v>
      </c>
      <c r="AF63" s="65">
        <v>4.5999999999999996</v>
      </c>
      <c r="AG63" s="54">
        <v>10.050000000000001</v>
      </c>
      <c r="AH63" s="47">
        <f t="shared" si="2"/>
        <v>8</v>
      </c>
      <c r="AI63" s="48">
        <f t="shared" si="3"/>
        <v>4.5999999999999996</v>
      </c>
      <c r="AK63" s="49"/>
    </row>
    <row r="64" spans="1:41" x14ac:dyDescent="0.25">
      <c r="A64" s="53" t="s">
        <v>72</v>
      </c>
      <c r="B64" s="65">
        <v>2</v>
      </c>
      <c r="C64" s="65">
        <v>2</v>
      </c>
      <c r="D64" s="65">
        <v>2</v>
      </c>
      <c r="E64" s="65">
        <v>2</v>
      </c>
      <c r="F64" s="65">
        <v>2</v>
      </c>
      <c r="G64" s="65">
        <v>2</v>
      </c>
      <c r="H64" s="65">
        <v>2</v>
      </c>
      <c r="I64" s="65">
        <v>2</v>
      </c>
      <c r="J64" s="65">
        <v>2</v>
      </c>
      <c r="K64" s="65">
        <v>2</v>
      </c>
      <c r="L64" s="65">
        <v>2</v>
      </c>
      <c r="M64" s="65">
        <v>2</v>
      </c>
      <c r="N64" s="65">
        <v>2</v>
      </c>
      <c r="O64" s="65">
        <v>2</v>
      </c>
      <c r="P64" s="65">
        <v>2</v>
      </c>
      <c r="Q64" s="65">
        <v>2</v>
      </c>
      <c r="R64" s="65">
        <v>2</v>
      </c>
      <c r="S64" s="65">
        <v>2</v>
      </c>
      <c r="T64" s="65">
        <v>2</v>
      </c>
      <c r="U64" s="65">
        <v>2</v>
      </c>
      <c r="V64" s="65">
        <v>2</v>
      </c>
      <c r="W64" s="65">
        <v>2</v>
      </c>
      <c r="X64" s="65">
        <v>2</v>
      </c>
      <c r="Y64" s="65">
        <v>2</v>
      </c>
      <c r="Z64" s="65">
        <v>2</v>
      </c>
      <c r="AA64" s="65">
        <v>2</v>
      </c>
      <c r="AB64" s="65">
        <v>2</v>
      </c>
      <c r="AC64" s="65">
        <v>2</v>
      </c>
      <c r="AD64" s="65">
        <v>2</v>
      </c>
      <c r="AE64" s="65">
        <v>2</v>
      </c>
      <c r="AF64" s="65">
        <v>2</v>
      </c>
      <c r="AG64" s="54">
        <v>6.2</v>
      </c>
      <c r="AH64" s="47">
        <f t="shared" si="2"/>
        <v>2</v>
      </c>
      <c r="AI64" s="48">
        <f t="shared" si="3"/>
        <v>2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f t="shared" ref="B66:AG66" si="6">SUM(B53:B65)</f>
        <v>318.14000000000004</v>
      </c>
      <c r="C66" s="60">
        <f t="shared" si="6"/>
        <v>299.14000000000004</v>
      </c>
      <c r="D66" s="60">
        <f t="shared" si="6"/>
        <v>285.31</v>
      </c>
      <c r="E66" s="60">
        <f t="shared" si="6"/>
        <v>335.84000000000003</v>
      </c>
      <c r="F66" s="60">
        <f>SUM(F53:F65)</f>
        <v>335.84000000000003</v>
      </c>
      <c r="G66" s="60">
        <f>SUM(G53:G65)</f>
        <v>329.34000000000003</v>
      </c>
      <c r="H66" s="60">
        <f t="shared" si="6"/>
        <v>310.54000000000002</v>
      </c>
      <c r="I66" s="60">
        <f t="shared" si="6"/>
        <v>305.54000000000002</v>
      </c>
      <c r="J66" s="60">
        <f t="shared" si="6"/>
        <v>316.14</v>
      </c>
      <c r="K66" s="60">
        <f t="shared" si="6"/>
        <v>316.14</v>
      </c>
      <c r="L66" s="60">
        <f t="shared" si="6"/>
        <v>342.14</v>
      </c>
      <c r="M66" s="60">
        <f t="shared" si="6"/>
        <v>349.84</v>
      </c>
      <c r="N66" s="60">
        <f t="shared" si="6"/>
        <v>349.54</v>
      </c>
      <c r="O66" s="60">
        <f t="shared" si="6"/>
        <v>393.53999999999996</v>
      </c>
      <c r="P66" s="60">
        <f>SUM(P53:P65)</f>
        <v>398.74000000000007</v>
      </c>
      <c r="Q66" s="60">
        <f t="shared" si="6"/>
        <v>400.04000000000008</v>
      </c>
      <c r="R66" s="60">
        <f t="shared" si="6"/>
        <v>397.64000000000004</v>
      </c>
      <c r="S66" s="60">
        <f t="shared" si="6"/>
        <v>373.74000000000007</v>
      </c>
      <c r="T66" s="60">
        <f t="shared" si="6"/>
        <v>363.74000000000007</v>
      </c>
      <c r="U66" s="60">
        <f t="shared" si="6"/>
        <v>352.14000000000004</v>
      </c>
      <c r="V66" s="60">
        <f t="shared" si="6"/>
        <v>325.74000000000007</v>
      </c>
      <c r="W66" s="60">
        <f t="shared" si="6"/>
        <v>305.34000000000009</v>
      </c>
      <c r="X66" s="60">
        <f t="shared" si="6"/>
        <v>305.34000000000009</v>
      </c>
      <c r="Y66" s="60">
        <f t="shared" si="6"/>
        <v>264.54000000000002</v>
      </c>
      <c r="Z66" s="60">
        <f t="shared" si="6"/>
        <v>298.94000000000005</v>
      </c>
      <c r="AA66" s="60">
        <f t="shared" si="6"/>
        <v>361.94000000000005</v>
      </c>
      <c r="AB66" s="60">
        <f t="shared" si="6"/>
        <v>389.14000000000004</v>
      </c>
      <c r="AC66" s="60">
        <f t="shared" si="6"/>
        <v>389.14000000000004</v>
      </c>
      <c r="AD66" s="60">
        <f t="shared" si="6"/>
        <v>389.14000000000004</v>
      </c>
      <c r="AE66" s="60">
        <f t="shared" si="6"/>
        <v>336.24000000000007</v>
      </c>
      <c r="AF66" s="60">
        <f t="shared" si="6"/>
        <v>344.24000000000007</v>
      </c>
      <c r="AG66" s="61">
        <f t="shared" si="6"/>
        <v>489.91</v>
      </c>
      <c r="AH66" s="47">
        <f t="shared" si="2"/>
        <v>400.04000000000008</v>
      </c>
      <c r="AI66" s="48">
        <f t="shared" si="3"/>
        <v>264.54000000000002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14</v>
      </c>
      <c r="K67" s="45">
        <v>14</v>
      </c>
      <c r="L67" s="45">
        <v>0</v>
      </c>
      <c r="M67" s="45">
        <v>0</v>
      </c>
      <c r="N67" s="45">
        <v>10</v>
      </c>
      <c r="O67" s="45">
        <v>20</v>
      </c>
      <c r="P67" s="45">
        <v>20</v>
      </c>
      <c r="Q67" s="45">
        <v>30</v>
      </c>
      <c r="R67" s="45">
        <v>30</v>
      </c>
      <c r="S67" s="45">
        <v>30</v>
      </c>
      <c r="T67" s="45">
        <v>30</v>
      </c>
      <c r="U67" s="45">
        <v>30</v>
      </c>
      <c r="V67" s="45">
        <v>30</v>
      </c>
      <c r="W67" s="45">
        <v>14</v>
      </c>
      <c r="X67" s="45">
        <v>14</v>
      </c>
      <c r="Y67" s="45">
        <v>0</v>
      </c>
      <c r="Z67" s="45">
        <v>14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30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8.5</v>
      </c>
      <c r="K68" s="65">
        <v>8.5</v>
      </c>
      <c r="L68" s="65">
        <v>0</v>
      </c>
      <c r="M68" s="65">
        <v>0</v>
      </c>
      <c r="N68" s="65">
        <v>3.2</v>
      </c>
      <c r="O68" s="65">
        <v>8.6</v>
      </c>
      <c r="P68" s="65">
        <v>11.1</v>
      </c>
      <c r="Q68" s="45">
        <v>15.4</v>
      </c>
      <c r="R68" s="45">
        <v>15.2</v>
      </c>
      <c r="S68" s="45">
        <v>15.2</v>
      </c>
      <c r="T68" s="45">
        <v>15.2</v>
      </c>
      <c r="U68" s="45">
        <v>15.2</v>
      </c>
      <c r="V68" s="45">
        <v>15.2</v>
      </c>
      <c r="W68" s="65">
        <v>14.2</v>
      </c>
      <c r="X68" s="65">
        <v>4.8</v>
      </c>
      <c r="Y68" s="65">
        <v>0</v>
      </c>
      <c r="Z68" s="65">
        <v>5.2</v>
      </c>
      <c r="AA68" s="65">
        <v>5.2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15.4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4.5</v>
      </c>
      <c r="K69" s="67">
        <v>4.5</v>
      </c>
      <c r="L69" s="67">
        <v>0</v>
      </c>
      <c r="M69" s="67">
        <v>0</v>
      </c>
      <c r="N69" s="67">
        <v>1.3</v>
      </c>
      <c r="O69" s="67">
        <v>3.1</v>
      </c>
      <c r="P69" s="67">
        <v>4.0999999999999996</v>
      </c>
      <c r="Q69" s="45">
        <v>5.6</v>
      </c>
      <c r="R69" s="45">
        <v>5.5</v>
      </c>
      <c r="S69" s="45">
        <v>5.5</v>
      </c>
      <c r="T69" s="45">
        <v>5.5</v>
      </c>
      <c r="U69" s="45">
        <v>5.5</v>
      </c>
      <c r="V69" s="45">
        <v>5.5</v>
      </c>
      <c r="W69" s="67">
        <v>5.2</v>
      </c>
      <c r="X69" s="67">
        <v>1.8</v>
      </c>
      <c r="Y69" s="67">
        <v>0</v>
      </c>
      <c r="Z69" s="67">
        <v>1.9</v>
      </c>
      <c r="AA69" s="67">
        <v>1.9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5.6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f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7">M67+M68+M69</f>
        <v>0</v>
      </c>
      <c r="N70" s="60">
        <f t="shared" si="7"/>
        <v>14.5</v>
      </c>
      <c r="O70" s="60">
        <f t="shared" si="7"/>
        <v>31.700000000000003</v>
      </c>
      <c r="P70" s="60">
        <f>P67+P68+P69</f>
        <v>35.200000000000003</v>
      </c>
      <c r="Q70" s="60">
        <f t="shared" si="7"/>
        <v>51</v>
      </c>
      <c r="R70" s="60">
        <f t="shared" si="7"/>
        <v>50.7</v>
      </c>
      <c r="S70" s="60">
        <f t="shared" si="7"/>
        <v>50.7</v>
      </c>
      <c r="T70" s="60">
        <f t="shared" si="7"/>
        <v>50.7</v>
      </c>
      <c r="U70" s="60">
        <f t="shared" si="7"/>
        <v>50.7</v>
      </c>
      <c r="V70" s="60">
        <f t="shared" si="7"/>
        <v>50.7</v>
      </c>
      <c r="W70" s="60">
        <f t="shared" si="7"/>
        <v>33.4</v>
      </c>
      <c r="X70" s="60">
        <f t="shared" si="7"/>
        <v>20.6</v>
      </c>
      <c r="Y70" s="60">
        <f t="shared" si="7"/>
        <v>0</v>
      </c>
      <c r="Z70" s="60">
        <f t="shared" si="7"/>
        <v>21.099999999999998</v>
      </c>
      <c r="AA70" s="60">
        <f t="shared" si="7"/>
        <v>7.1</v>
      </c>
      <c r="AB70" s="60">
        <f t="shared" si="7"/>
        <v>0</v>
      </c>
      <c r="AC70" s="60">
        <f t="shared" si="7"/>
        <v>0</v>
      </c>
      <c r="AD70" s="60">
        <f t="shared" si="7"/>
        <v>0</v>
      </c>
      <c r="AE70" s="60">
        <f t="shared" si="7"/>
        <v>0</v>
      </c>
      <c r="AF70" s="60">
        <f t="shared" si="7"/>
        <v>0</v>
      </c>
      <c r="AG70" s="61">
        <f>SUM(AG67:AG69)</f>
        <v>106</v>
      </c>
      <c r="AH70" s="47">
        <f t="shared" si="2"/>
        <v>51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66.5</v>
      </c>
      <c r="C71" s="45">
        <v>66</v>
      </c>
      <c r="D71" s="45">
        <v>69</v>
      </c>
      <c r="E71" s="45">
        <v>69</v>
      </c>
      <c r="F71" s="45">
        <v>69</v>
      </c>
      <c r="G71" s="45">
        <v>69</v>
      </c>
      <c r="H71" s="45">
        <v>52.5</v>
      </c>
      <c r="I71" s="45">
        <v>68.900000000000006</v>
      </c>
      <c r="J71" s="45">
        <v>58</v>
      </c>
      <c r="K71" s="45">
        <v>63.9</v>
      </c>
      <c r="L71" s="45">
        <v>63.9</v>
      </c>
      <c r="M71" s="45">
        <v>68.5</v>
      </c>
      <c r="N71" s="45">
        <v>71</v>
      </c>
      <c r="O71" s="45">
        <v>67</v>
      </c>
      <c r="P71" s="45">
        <v>69</v>
      </c>
      <c r="Q71" s="45">
        <v>69</v>
      </c>
      <c r="R71" s="45">
        <v>69</v>
      </c>
      <c r="S71" s="45">
        <v>67</v>
      </c>
      <c r="T71" s="45">
        <v>67</v>
      </c>
      <c r="U71" s="45">
        <v>67</v>
      </c>
      <c r="V71" s="45">
        <v>67</v>
      </c>
      <c r="W71" s="45">
        <v>67</v>
      </c>
      <c r="X71" s="45">
        <v>68</v>
      </c>
      <c r="Y71" s="45">
        <v>68</v>
      </c>
      <c r="Z71" s="45">
        <v>68</v>
      </c>
      <c r="AA71" s="45">
        <v>60</v>
      </c>
      <c r="AB71" s="45">
        <v>50</v>
      </c>
      <c r="AC71" s="45">
        <v>60</v>
      </c>
      <c r="AD71" s="45">
        <v>65</v>
      </c>
      <c r="AE71" s="45">
        <v>65</v>
      </c>
      <c r="AF71" s="45">
        <v>65</v>
      </c>
      <c r="AG71" s="51"/>
      <c r="AH71" s="47">
        <f t="shared" si="2"/>
        <v>71</v>
      </c>
      <c r="AI71" s="48">
        <f t="shared" si="3"/>
        <v>50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142</v>
      </c>
      <c r="C73" s="65">
        <v>28.8</v>
      </c>
      <c r="D73" s="65">
        <v>0</v>
      </c>
      <c r="E73" s="65">
        <v>240</v>
      </c>
      <c r="F73" s="65">
        <v>250</v>
      </c>
      <c r="G73" s="65">
        <v>130</v>
      </c>
      <c r="H73" s="65">
        <v>240</v>
      </c>
      <c r="I73" s="65">
        <v>220</v>
      </c>
      <c r="J73" s="65">
        <v>290</v>
      </c>
      <c r="K73" s="65">
        <v>300</v>
      </c>
      <c r="L73" s="65">
        <v>200</v>
      </c>
      <c r="M73" s="65">
        <v>225</v>
      </c>
      <c r="N73" s="65">
        <v>215.8</v>
      </c>
      <c r="O73" s="65">
        <v>214</v>
      </c>
      <c r="P73" s="65">
        <v>225</v>
      </c>
      <c r="Q73" s="65">
        <v>202</v>
      </c>
      <c r="R73" s="65">
        <v>231</v>
      </c>
      <c r="S73" s="65">
        <v>220</v>
      </c>
      <c r="T73" s="65">
        <v>205</v>
      </c>
      <c r="U73" s="65">
        <v>215</v>
      </c>
      <c r="V73" s="65">
        <v>241</v>
      </c>
      <c r="W73" s="65">
        <v>206</v>
      </c>
      <c r="X73" s="65">
        <v>208</v>
      </c>
      <c r="Y73" s="65">
        <v>200</v>
      </c>
      <c r="Z73" s="65">
        <v>60</v>
      </c>
      <c r="AA73" s="65">
        <v>0</v>
      </c>
      <c r="AB73" s="65">
        <v>0</v>
      </c>
      <c r="AC73" s="65">
        <v>0</v>
      </c>
      <c r="AD73" s="65">
        <v>0</v>
      </c>
      <c r="AE73" s="65">
        <v>10</v>
      </c>
      <c r="AF73" s="65">
        <v>20</v>
      </c>
      <c r="AG73" s="75"/>
      <c r="AH73" s="47">
        <f t="shared" si="2"/>
        <v>300</v>
      </c>
      <c r="AI73" s="48">
        <f t="shared" si="3"/>
        <v>0</v>
      </c>
      <c r="AK73" s="49"/>
    </row>
    <row r="74" spans="1:40" x14ac:dyDescent="0.25">
      <c r="A74" s="53" t="s">
        <v>82</v>
      </c>
      <c r="B74" s="65">
        <v>10</v>
      </c>
      <c r="C74" s="65">
        <v>10</v>
      </c>
      <c r="D74" s="65">
        <v>10</v>
      </c>
      <c r="E74" s="65">
        <v>10</v>
      </c>
      <c r="F74" s="65">
        <v>10</v>
      </c>
      <c r="G74" s="65">
        <v>10</v>
      </c>
      <c r="H74" s="65">
        <v>10</v>
      </c>
      <c r="I74" s="65">
        <v>10</v>
      </c>
      <c r="J74" s="76">
        <v>10</v>
      </c>
      <c r="K74" s="76">
        <v>0</v>
      </c>
      <c r="L74" s="76">
        <v>0</v>
      </c>
      <c r="M74" s="76">
        <v>10</v>
      </c>
      <c r="N74" s="76">
        <v>10</v>
      </c>
      <c r="O74" s="76">
        <v>10</v>
      </c>
      <c r="P74" s="76">
        <v>10</v>
      </c>
      <c r="Q74" s="76">
        <v>10</v>
      </c>
      <c r="R74" s="76">
        <v>10</v>
      </c>
      <c r="S74" s="76">
        <v>13</v>
      </c>
      <c r="T74" s="76">
        <v>27.3</v>
      </c>
      <c r="U74" s="76">
        <v>59.7</v>
      </c>
      <c r="V74" s="76">
        <v>52.1</v>
      </c>
      <c r="W74" s="76">
        <v>45.2</v>
      </c>
      <c r="X74" s="76">
        <v>36</v>
      </c>
      <c r="Y74" s="76">
        <v>42</v>
      </c>
      <c r="Z74" s="76">
        <v>39.799999999999997</v>
      </c>
      <c r="AA74" s="65">
        <v>8</v>
      </c>
      <c r="AB74" s="65">
        <v>8</v>
      </c>
      <c r="AC74" s="65">
        <v>8</v>
      </c>
      <c r="AD74" s="65">
        <v>8</v>
      </c>
      <c r="AE74" s="65">
        <v>8</v>
      </c>
      <c r="AF74" s="65">
        <v>8</v>
      </c>
      <c r="AG74" s="75"/>
      <c r="AH74" s="47">
        <f t="shared" si="2"/>
        <v>59.7</v>
      </c>
      <c r="AI74" s="48">
        <f t="shared" si="3"/>
        <v>0</v>
      </c>
      <c r="AK74" s="49"/>
    </row>
    <row r="75" spans="1:40" x14ac:dyDescent="0.25">
      <c r="A75" s="53" t="s">
        <v>83</v>
      </c>
      <c r="B75" s="45">
        <v>0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35.200000000000003</v>
      </c>
      <c r="S75" s="45">
        <v>35.4</v>
      </c>
      <c r="T75" s="45">
        <v>35.4</v>
      </c>
      <c r="U75" s="45">
        <v>35</v>
      </c>
      <c r="V75" s="45">
        <v>30.2</v>
      </c>
      <c r="W75" s="45">
        <v>28.2</v>
      </c>
      <c r="X75" s="45">
        <v>27</v>
      </c>
      <c r="Y75" s="45">
        <v>0</v>
      </c>
      <c r="Z75" s="45">
        <v>0</v>
      </c>
      <c r="AA75" s="45">
        <v>0</v>
      </c>
      <c r="AB75" s="45">
        <v>0</v>
      </c>
      <c r="AC75" s="45">
        <v>0</v>
      </c>
      <c r="AD75" s="45">
        <v>0</v>
      </c>
      <c r="AE75" s="45">
        <v>0</v>
      </c>
      <c r="AF75" s="45">
        <v>0</v>
      </c>
      <c r="AG75" s="75"/>
      <c r="AH75" s="47">
        <f t="shared" ref="AH75:AH117" si="8">MAX(B75:AF75)</f>
        <v>35.4</v>
      </c>
      <c r="AI75" s="48">
        <f t="shared" ref="AI75:AI117" si="9">MIN(B75:AF75)</f>
        <v>0</v>
      </c>
      <c r="AK75" s="49"/>
    </row>
    <row r="76" spans="1:40" x14ac:dyDescent="0.25">
      <c r="A76" s="53" t="s">
        <v>84</v>
      </c>
      <c r="B76" s="77">
        <v>5</v>
      </c>
      <c r="C76" s="77">
        <v>5</v>
      </c>
      <c r="D76" s="77">
        <v>5</v>
      </c>
      <c r="E76" s="77">
        <v>5</v>
      </c>
      <c r="F76" s="77">
        <v>5</v>
      </c>
      <c r="G76" s="77">
        <v>5</v>
      </c>
      <c r="H76" s="77">
        <v>5</v>
      </c>
      <c r="I76" s="77">
        <v>5</v>
      </c>
      <c r="J76" s="77">
        <v>5</v>
      </c>
      <c r="K76" s="77">
        <v>5</v>
      </c>
      <c r="L76" s="77">
        <v>5</v>
      </c>
      <c r="M76" s="77">
        <v>5</v>
      </c>
      <c r="N76" s="77">
        <v>5</v>
      </c>
      <c r="O76" s="77">
        <v>5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/>
      <c r="AH76" s="47">
        <f t="shared" si="8"/>
        <v>5</v>
      </c>
      <c r="AI76" s="48">
        <f t="shared" si="9"/>
        <v>0</v>
      </c>
      <c r="AK76" s="49"/>
    </row>
    <row r="77" spans="1:40" ht="15.75" thickBot="1" x14ac:dyDescent="0.3">
      <c r="A77" s="53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8"/>
        <v>0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8"/>
        <v>0</v>
      </c>
      <c r="AI78" s="48">
        <f t="shared" si="9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8"/>
        <v>0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/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v>0</v>
      </c>
      <c r="C82" s="60">
        <f t="shared" ref="C82:AF82" si="10">SUMIF(C71:C81,"&gt;0")</f>
        <v>109.8</v>
      </c>
      <c r="D82" s="60">
        <f t="shared" si="10"/>
        <v>84</v>
      </c>
      <c r="E82" s="60">
        <f t="shared" si="10"/>
        <v>324</v>
      </c>
      <c r="F82" s="60">
        <f>SUMIF(F71:F81,"&gt;0")</f>
        <v>334</v>
      </c>
      <c r="G82" s="60">
        <f>SUMIF(G71:G81,"&gt;0")</f>
        <v>214</v>
      </c>
      <c r="H82" s="60">
        <f t="shared" si="10"/>
        <v>307.5</v>
      </c>
      <c r="I82" s="60">
        <f t="shared" si="10"/>
        <v>303.89999999999998</v>
      </c>
      <c r="J82" s="60">
        <f t="shared" si="10"/>
        <v>363</v>
      </c>
      <c r="K82" s="60">
        <f t="shared" si="10"/>
        <v>368.9</v>
      </c>
      <c r="L82" s="60">
        <f t="shared" si="10"/>
        <v>268.89999999999998</v>
      </c>
      <c r="M82" s="60">
        <f t="shared" si="10"/>
        <v>308.5</v>
      </c>
      <c r="N82" s="60">
        <f t="shared" si="10"/>
        <v>301.8</v>
      </c>
      <c r="O82" s="60">
        <f t="shared" si="10"/>
        <v>296</v>
      </c>
      <c r="P82" s="60">
        <f>SUMIF(P71:P81,"&gt;0")</f>
        <v>309</v>
      </c>
      <c r="Q82" s="60">
        <f t="shared" si="10"/>
        <v>286</v>
      </c>
      <c r="R82" s="60">
        <f t="shared" si="10"/>
        <v>350.2</v>
      </c>
      <c r="S82" s="60">
        <f t="shared" si="10"/>
        <v>340.4</v>
      </c>
      <c r="T82" s="60">
        <f t="shared" si="10"/>
        <v>339.7</v>
      </c>
      <c r="U82" s="60">
        <f t="shared" si="10"/>
        <v>381.7</v>
      </c>
      <c r="V82" s="60">
        <f t="shared" si="10"/>
        <v>395.3</v>
      </c>
      <c r="W82" s="60">
        <f t="shared" si="10"/>
        <v>351.4</v>
      </c>
      <c r="X82" s="60">
        <f t="shared" si="10"/>
        <v>344</v>
      </c>
      <c r="Y82" s="60">
        <f t="shared" si="10"/>
        <v>315</v>
      </c>
      <c r="Z82" s="60">
        <f t="shared" si="10"/>
        <v>172.8</v>
      </c>
      <c r="AA82" s="60">
        <f t="shared" si="10"/>
        <v>68</v>
      </c>
      <c r="AB82" s="60">
        <f t="shared" si="10"/>
        <v>58</v>
      </c>
      <c r="AC82" s="60">
        <f t="shared" si="10"/>
        <v>68</v>
      </c>
      <c r="AD82" s="60">
        <f t="shared" si="10"/>
        <v>73</v>
      </c>
      <c r="AE82" s="60">
        <f t="shared" si="10"/>
        <v>83</v>
      </c>
      <c r="AF82" s="60">
        <f t="shared" si="10"/>
        <v>93</v>
      </c>
      <c r="AG82" s="88">
        <f>SUM(AG71:AG81)</f>
        <v>0</v>
      </c>
      <c r="AH82" s="47">
        <f t="shared" si="8"/>
        <v>395.3</v>
      </c>
      <c r="AI82" s="48">
        <f t="shared" si="9"/>
        <v>0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f t="shared" ref="B87:AG87" si="11">B48+B52+B70+B66+B82+B86</f>
        <v>1185.0400000000002</v>
      </c>
      <c r="C87" s="95">
        <f t="shared" si="11"/>
        <v>1370.74</v>
      </c>
      <c r="D87" s="95">
        <f t="shared" si="11"/>
        <v>1240.01</v>
      </c>
      <c r="E87" s="95">
        <f t="shared" si="11"/>
        <v>1348.54</v>
      </c>
      <c r="F87" s="95">
        <f>F48+F52+F70+F66+F82+F86</f>
        <v>1358.54</v>
      </c>
      <c r="G87" s="95">
        <f>G48+G52+G70+G66+G82+G86</f>
        <v>1264.04</v>
      </c>
      <c r="H87" s="95">
        <f t="shared" si="11"/>
        <v>1308.74</v>
      </c>
      <c r="I87" s="95">
        <f t="shared" si="11"/>
        <v>1310.1399999999999</v>
      </c>
      <c r="J87" s="95">
        <f t="shared" si="11"/>
        <v>1329.8400000000001</v>
      </c>
      <c r="K87" s="95">
        <f t="shared" si="11"/>
        <v>1335.74</v>
      </c>
      <c r="L87" s="95">
        <f t="shared" si="11"/>
        <v>1331.7400000000002</v>
      </c>
      <c r="M87" s="95">
        <f t="shared" si="11"/>
        <v>1364.94</v>
      </c>
      <c r="N87" s="95">
        <f t="shared" si="11"/>
        <v>1384.4399999999998</v>
      </c>
      <c r="O87" s="95">
        <f t="shared" si="11"/>
        <v>1392.1399999999999</v>
      </c>
      <c r="P87" s="95">
        <f>P48+P52+P70+P66+P82+P86</f>
        <v>1458.8400000000001</v>
      </c>
      <c r="Q87" s="95">
        <f t="shared" si="11"/>
        <v>1446.94</v>
      </c>
      <c r="R87" s="95">
        <f t="shared" si="11"/>
        <v>1478.3400000000001</v>
      </c>
      <c r="S87" s="95">
        <f t="shared" si="11"/>
        <v>1467.6400000000003</v>
      </c>
      <c r="T87" s="95">
        <f t="shared" si="11"/>
        <v>1460.9400000000003</v>
      </c>
      <c r="U87" s="95">
        <f t="shared" si="11"/>
        <v>1481.3400000000001</v>
      </c>
      <c r="V87" s="95">
        <f t="shared" si="11"/>
        <v>1430.5400000000002</v>
      </c>
      <c r="W87" s="95">
        <f t="shared" si="11"/>
        <v>1278.94</v>
      </c>
      <c r="X87" s="95">
        <f t="shared" si="11"/>
        <v>1269.3400000000001</v>
      </c>
      <c r="Y87" s="95">
        <f t="shared" si="11"/>
        <v>1178.94</v>
      </c>
      <c r="Z87" s="95">
        <f t="shared" si="11"/>
        <v>1243.24</v>
      </c>
      <c r="AA87" s="95">
        <f t="shared" si="11"/>
        <v>1236.6400000000001</v>
      </c>
      <c r="AB87" s="95">
        <f t="shared" si="11"/>
        <v>1206.6400000000001</v>
      </c>
      <c r="AC87" s="95">
        <f t="shared" si="11"/>
        <v>1216.6400000000001</v>
      </c>
      <c r="AD87" s="95">
        <f t="shared" si="11"/>
        <v>1246.6400000000001</v>
      </c>
      <c r="AE87" s="95">
        <f t="shared" si="11"/>
        <v>1203.74</v>
      </c>
      <c r="AF87" s="95">
        <f t="shared" si="11"/>
        <v>1246.74</v>
      </c>
      <c r="AG87" s="61">
        <f t="shared" si="11"/>
        <v>2065.09</v>
      </c>
      <c r="AH87" s="47">
        <f>MAX(B87:AF87)</f>
        <v>1481.3400000000001</v>
      </c>
      <c r="AI87" s="48">
        <f>MIN(B87:AF87)</f>
        <v>1178.94</v>
      </c>
    </row>
    <row r="88" spans="1:40" ht="15.75" thickBot="1" x14ac:dyDescent="0.3">
      <c r="A88" s="96" t="s">
        <v>99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>
        <v>100</v>
      </c>
      <c r="X88" s="97">
        <v>150</v>
      </c>
      <c r="Y88" s="97">
        <v>150</v>
      </c>
      <c r="Z88" s="97">
        <v>150</v>
      </c>
      <c r="AA88" s="97">
        <v>130</v>
      </c>
      <c r="AB88" s="97">
        <v>130</v>
      </c>
      <c r="AC88" s="97">
        <v>120</v>
      </c>
      <c r="AD88" s="97">
        <v>100</v>
      </c>
      <c r="AE88" s="97">
        <v>100</v>
      </c>
      <c r="AF88" s="97">
        <v>100</v>
      </c>
      <c r="AG88" s="88"/>
      <c r="AH88" s="47">
        <f t="shared" si="8"/>
        <v>150</v>
      </c>
      <c r="AI88" s="48">
        <f t="shared" si="9"/>
        <v>100</v>
      </c>
    </row>
    <row r="89" spans="1:40" ht="15.75" thickBot="1" x14ac:dyDescent="0.3">
      <c r="A89" s="74" t="s">
        <v>100</v>
      </c>
      <c r="B89" s="95">
        <f t="shared" ref="B89:AF89" si="12">B87+B88</f>
        <v>1185.0400000000002</v>
      </c>
      <c r="C89" s="95">
        <f t="shared" si="12"/>
        <v>1370.74</v>
      </c>
      <c r="D89" s="95">
        <f t="shared" si="12"/>
        <v>1240.01</v>
      </c>
      <c r="E89" s="95">
        <f t="shared" si="12"/>
        <v>1348.54</v>
      </c>
      <c r="F89" s="95">
        <f>F87+F88</f>
        <v>1358.54</v>
      </c>
      <c r="G89" s="95">
        <f>G87+G88</f>
        <v>1264.04</v>
      </c>
      <c r="H89" s="95">
        <f t="shared" si="12"/>
        <v>1308.74</v>
      </c>
      <c r="I89" s="95">
        <f t="shared" si="12"/>
        <v>1310.1399999999999</v>
      </c>
      <c r="J89" s="95">
        <f t="shared" si="12"/>
        <v>1329.8400000000001</v>
      </c>
      <c r="K89" s="95">
        <f t="shared" si="12"/>
        <v>1335.74</v>
      </c>
      <c r="L89" s="95">
        <f t="shared" si="12"/>
        <v>1331.7400000000002</v>
      </c>
      <c r="M89" s="95">
        <f t="shared" si="12"/>
        <v>1364.94</v>
      </c>
      <c r="N89" s="95">
        <f t="shared" si="12"/>
        <v>1384.4399999999998</v>
      </c>
      <c r="O89" s="95">
        <f t="shared" si="12"/>
        <v>1392.1399999999999</v>
      </c>
      <c r="P89" s="95">
        <f>P87+P88</f>
        <v>1458.8400000000001</v>
      </c>
      <c r="Q89" s="95">
        <f t="shared" si="12"/>
        <v>1446.94</v>
      </c>
      <c r="R89" s="95">
        <f t="shared" si="12"/>
        <v>1478.3400000000001</v>
      </c>
      <c r="S89" s="95">
        <f t="shared" si="12"/>
        <v>1467.6400000000003</v>
      </c>
      <c r="T89" s="95">
        <f t="shared" si="12"/>
        <v>1460.9400000000003</v>
      </c>
      <c r="U89" s="95">
        <f t="shared" si="12"/>
        <v>1481.3400000000001</v>
      </c>
      <c r="V89" s="95">
        <f t="shared" si="12"/>
        <v>1430.5400000000002</v>
      </c>
      <c r="W89" s="95">
        <f t="shared" si="12"/>
        <v>1378.94</v>
      </c>
      <c r="X89" s="95">
        <f t="shared" si="12"/>
        <v>1419.3400000000001</v>
      </c>
      <c r="Y89" s="95">
        <f t="shared" si="12"/>
        <v>1328.94</v>
      </c>
      <c r="Z89" s="95">
        <f t="shared" si="12"/>
        <v>1393.24</v>
      </c>
      <c r="AA89" s="95">
        <f t="shared" si="12"/>
        <v>1366.64</v>
      </c>
      <c r="AB89" s="95">
        <f t="shared" si="12"/>
        <v>1336.64</v>
      </c>
      <c r="AC89" s="95">
        <f t="shared" si="12"/>
        <v>1336.64</v>
      </c>
      <c r="AD89" s="95">
        <f t="shared" si="12"/>
        <v>1346.64</v>
      </c>
      <c r="AE89" s="95">
        <f t="shared" si="12"/>
        <v>1303.74</v>
      </c>
      <c r="AF89" s="95">
        <f t="shared" si="12"/>
        <v>1346.74</v>
      </c>
      <c r="AG89" s="88">
        <f>AG86+AG82+AG70+AG66+AG48+AG88</f>
        <v>1526.99</v>
      </c>
      <c r="AH89" s="47">
        <f t="shared" si="8"/>
        <v>1481.3400000000001</v>
      </c>
      <c r="AI89" s="48">
        <f t="shared" si="9"/>
        <v>1185.0400000000002</v>
      </c>
    </row>
    <row r="90" spans="1:40" ht="15.75" thickBot="1" x14ac:dyDescent="0.3">
      <c r="A90" s="74" t="s">
        <v>101</v>
      </c>
      <c r="B90" s="95">
        <f t="shared" ref="B90:AF90" si="13">B89-B97</f>
        <v>1185.0400000000002</v>
      </c>
      <c r="C90" s="95">
        <f t="shared" si="13"/>
        <v>1370.74</v>
      </c>
      <c r="D90" s="95">
        <f t="shared" si="13"/>
        <v>1240.01</v>
      </c>
      <c r="E90" s="95">
        <f t="shared" si="13"/>
        <v>1348.54</v>
      </c>
      <c r="F90" s="95">
        <f>F89-F97</f>
        <v>1358.54</v>
      </c>
      <c r="G90" s="95">
        <f>G89-G97</f>
        <v>1264.04</v>
      </c>
      <c r="H90" s="95">
        <f t="shared" si="13"/>
        <v>1308.74</v>
      </c>
      <c r="I90" s="95">
        <f t="shared" si="13"/>
        <v>1310.1399999999999</v>
      </c>
      <c r="J90" s="95">
        <f t="shared" si="13"/>
        <v>1329.8400000000001</v>
      </c>
      <c r="K90" s="95">
        <f t="shared" si="13"/>
        <v>1335.74</v>
      </c>
      <c r="L90" s="95">
        <f t="shared" si="13"/>
        <v>1331.7400000000002</v>
      </c>
      <c r="M90" s="95">
        <f t="shared" si="13"/>
        <v>1364.94</v>
      </c>
      <c r="N90" s="95">
        <f t="shared" si="13"/>
        <v>1384.4399999999998</v>
      </c>
      <c r="O90" s="95">
        <f t="shared" si="13"/>
        <v>1392.1399999999999</v>
      </c>
      <c r="P90" s="95">
        <f>P89-P97</f>
        <v>1458.8400000000001</v>
      </c>
      <c r="Q90" s="95">
        <f t="shared" si="13"/>
        <v>1446.94</v>
      </c>
      <c r="R90" s="95">
        <f t="shared" si="13"/>
        <v>1478.3400000000001</v>
      </c>
      <c r="S90" s="95">
        <f t="shared" si="13"/>
        <v>1467.6400000000003</v>
      </c>
      <c r="T90" s="95">
        <f t="shared" si="13"/>
        <v>1460.9400000000003</v>
      </c>
      <c r="U90" s="95">
        <f t="shared" si="13"/>
        <v>1481.3400000000001</v>
      </c>
      <c r="V90" s="95">
        <f t="shared" si="13"/>
        <v>1430.5400000000002</v>
      </c>
      <c r="W90" s="95">
        <f t="shared" si="13"/>
        <v>1378.94</v>
      </c>
      <c r="X90" s="95">
        <f t="shared" si="13"/>
        <v>1419.3400000000001</v>
      </c>
      <c r="Y90" s="95">
        <f t="shared" si="13"/>
        <v>1328.94</v>
      </c>
      <c r="Z90" s="95">
        <f t="shared" si="13"/>
        <v>1393.24</v>
      </c>
      <c r="AA90" s="95">
        <f t="shared" si="13"/>
        <v>1366.64</v>
      </c>
      <c r="AB90" s="95">
        <f t="shared" si="13"/>
        <v>1336.64</v>
      </c>
      <c r="AC90" s="95">
        <f t="shared" si="13"/>
        <v>1336.64</v>
      </c>
      <c r="AD90" s="95">
        <f t="shared" si="13"/>
        <v>1346.64</v>
      </c>
      <c r="AE90" s="95">
        <f t="shared" si="13"/>
        <v>1303.74</v>
      </c>
      <c r="AF90" s="95">
        <f t="shared" si="13"/>
        <v>1346.74</v>
      </c>
      <c r="AG90" s="88"/>
      <c r="AH90" s="47">
        <f t="shared" si="8"/>
        <v>1481.3400000000001</v>
      </c>
      <c r="AI90" s="48">
        <f t="shared" si="9"/>
        <v>1185.0400000000002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f t="shared" ref="B98:AF98" si="14">B82-B97</f>
        <v>0</v>
      </c>
      <c r="C98" s="60">
        <f t="shared" si="14"/>
        <v>109.8</v>
      </c>
      <c r="D98" s="60">
        <f t="shared" si="14"/>
        <v>84</v>
      </c>
      <c r="E98" s="60">
        <f t="shared" si="14"/>
        <v>324</v>
      </c>
      <c r="F98" s="60">
        <f t="shared" si="14"/>
        <v>334</v>
      </c>
      <c r="G98" s="60">
        <f t="shared" si="14"/>
        <v>214</v>
      </c>
      <c r="H98" s="60">
        <f t="shared" si="14"/>
        <v>307.5</v>
      </c>
      <c r="I98" s="60">
        <f t="shared" si="14"/>
        <v>303.89999999999998</v>
      </c>
      <c r="J98" s="60">
        <f t="shared" si="14"/>
        <v>363</v>
      </c>
      <c r="K98" s="60">
        <f t="shared" si="14"/>
        <v>368.9</v>
      </c>
      <c r="L98" s="60">
        <f t="shared" si="14"/>
        <v>268.89999999999998</v>
      </c>
      <c r="M98" s="60">
        <f t="shared" si="14"/>
        <v>308.5</v>
      </c>
      <c r="N98" s="60">
        <f t="shared" si="14"/>
        <v>301.8</v>
      </c>
      <c r="O98" s="60">
        <f t="shared" si="14"/>
        <v>296</v>
      </c>
      <c r="P98" s="60">
        <f>P82-P97</f>
        <v>309</v>
      </c>
      <c r="Q98" s="60">
        <f t="shared" si="14"/>
        <v>286</v>
      </c>
      <c r="R98" s="60">
        <f t="shared" si="14"/>
        <v>350.2</v>
      </c>
      <c r="S98" s="60">
        <f t="shared" si="14"/>
        <v>340.4</v>
      </c>
      <c r="T98" s="60">
        <f t="shared" si="14"/>
        <v>339.7</v>
      </c>
      <c r="U98" s="60">
        <f t="shared" si="14"/>
        <v>381.7</v>
      </c>
      <c r="V98" s="60">
        <f t="shared" si="14"/>
        <v>395.3</v>
      </c>
      <c r="W98" s="60">
        <f t="shared" si="14"/>
        <v>351.4</v>
      </c>
      <c r="X98" s="60">
        <f t="shared" si="14"/>
        <v>344</v>
      </c>
      <c r="Y98" s="60">
        <f t="shared" si="14"/>
        <v>315</v>
      </c>
      <c r="Z98" s="60">
        <f t="shared" si="14"/>
        <v>172.8</v>
      </c>
      <c r="AA98" s="60">
        <f t="shared" si="14"/>
        <v>68</v>
      </c>
      <c r="AB98" s="60">
        <f t="shared" si="14"/>
        <v>58</v>
      </c>
      <c r="AC98" s="60">
        <v>49.96</v>
      </c>
      <c r="AD98" s="60">
        <f t="shared" si="14"/>
        <v>73</v>
      </c>
      <c r="AE98" s="60">
        <f t="shared" si="14"/>
        <v>83</v>
      </c>
      <c r="AF98" s="60">
        <f t="shared" si="14"/>
        <v>93</v>
      </c>
      <c r="AG98" s="88"/>
      <c r="AH98" s="47">
        <f t="shared" si="8"/>
        <v>395.3</v>
      </c>
      <c r="AI98" s="48">
        <f t="shared" si="9"/>
        <v>0</v>
      </c>
    </row>
    <row r="99" spans="1:37" x14ac:dyDescent="0.25">
      <c r="A99" s="100" t="s">
        <v>107</v>
      </c>
      <c r="B99" s="101">
        <v>49.967599999999997</v>
      </c>
      <c r="C99" s="101">
        <v>50.08</v>
      </c>
      <c r="D99" s="101">
        <v>50.02</v>
      </c>
      <c r="E99" s="101">
        <v>50.06</v>
      </c>
      <c r="F99" s="101">
        <v>49.94</v>
      </c>
      <c r="G99" s="101">
        <v>49.94</v>
      </c>
      <c r="H99" s="101">
        <v>50.03</v>
      </c>
      <c r="I99" s="101">
        <v>50.06</v>
      </c>
      <c r="J99" s="101">
        <v>50.1</v>
      </c>
      <c r="K99" s="101">
        <v>50.06</v>
      </c>
      <c r="L99" s="101">
        <v>50.05</v>
      </c>
      <c r="M99" s="101">
        <v>50.04</v>
      </c>
      <c r="N99" s="101">
        <v>50.04</v>
      </c>
      <c r="O99" s="101">
        <v>49.97</v>
      </c>
      <c r="P99" s="101">
        <v>50.05</v>
      </c>
      <c r="Q99" s="101">
        <v>49.895000000000003</v>
      </c>
      <c r="R99" s="101">
        <v>49.976999999999997</v>
      </c>
      <c r="S99" s="101">
        <v>49.899000000000001</v>
      </c>
      <c r="T99" s="101">
        <v>49.862000000000002</v>
      </c>
      <c r="U99" s="101">
        <v>50.012</v>
      </c>
      <c r="V99" s="101">
        <v>50.026000000000003</v>
      </c>
      <c r="W99" s="101">
        <v>50.031999999999996</v>
      </c>
      <c r="X99" s="101">
        <v>50.055999999999997</v>
      </c>
      <c r="Y99" s="101">
        <v>50.107999999999997</v>
      </c>
      <c r="Z99" s="101">
        <v>50.255000000000003</v>
      </c>
      <c r="AA99" s="101">
        <v>50.029000000000003</v>
      </c>
      <c r="AB99" s="101">
        <v>49.947000000000003</v>
      </c>
      <c r="AC99" s="101">
        <v>49.96</v>
      </c>
      <c r="AD99" s="101">
        <v>50</v>
      </c>
      <c r="AE99" s="101">
        <v>50.03</v>
      </c>
      <c r="AF99" s="101">
        <v>50.04</v>
      </c>
      <c r="AG99" s="102"/>
      <c r="AH99" s="47">
        <f t="shared" si="8"/>
        <v>50.255000000000003</v>
      </c>
      <c r="AI99" s="48">
        <f t="shared" si="9"/>
        <v>49.862000000000002</v>
      </c>
    </row>
    <row r="100" spans="1:37" x14ac:dyDescent="0.25">
      <c r="A100" s="103" t="s">
        <v>108</v>
      </c>
      <c r="B100" s="65">
        <v>123</v>
      </c>
      <c r="C100" s="65">
        <v>123</v>
      </c>
      <c r="D100" s="65">
        <v>124.4</v>
      </c>
      <c r="E100" s="65">
        <v>125.9</v>
      </c>
      <c r="F100" s="65">
        <v>125.9</v>
      </c>
      <c r="G100" s="65">
        <v>125.9</v>
      </c>
      <c r="H100" s="65">
        <v>124.7</v>
      </c>
      <c r="I100" s="65">
        <v>124.8</v>
      </c>
      <c r="J100" s="65">
        <v>125.1</v>
      </c>
      <c r="K100" s="65">
        <v>122.4</v>
      </c>
      <c r="L100" s="65">
        <v>122</v>
      </c>
      <c r="M100" s="65">
        <v>121.6</v>
      </c>
      <c r="N100" s="65">
        <v>121.6</v>
      </c>
      <c r="O100" s="65">
        <v>121</v>
      </c>
      <c r="P100" s="65">
        <v>120</v>
      </c>
      <c r="Q100" s="65">
        <v>120</v>
      </c>
      <c r="R100" s="65">
        <v>122.6</v>
      </c>
      <c r="S100" s="65">
        <v>123.6</v>
      </c>
      <c r="T100" s="65">
        <v>124.4</v>
      </c>
      <c r="U100" s="65">
        <v>124.7</v>
      </c>
      <c r="V100" s="65">
        <v>126.2</v>
      </c>
      <c r="W100" s="65">
        <v>128.1</v>
      </c>
      <c r="X100" s="65">
        <v>128.30000000000001</v>
      </c>
      <c r="Y100" s="65">
        <v>128.69999999999999</v>
      </c>
      <c r="Z100" s="65">
        <v>128.80000000000001</v>
      </c>
      <c r="AA100" s="65">
        <v>128.5</v>
      </c>
      <c r="AB100" s="65">
        <v>125.5</v>
      </c>
      <c r="AC100" s="65">
        <v>125</v>
      </c>
      <c r="AD100" s="65">
        <v>125</v>
      </c>
      <c r="AE100" s="65">
        <v>125</v>
      </c>
      <c r="AF100" s="65">
        <v>125</v>
      </c>
      <c r="AG100" s="104"/>
      <c r="AH100" s="47">
        <f t="shared" si="8"/>
        <v>128.80000000000001</v>
      </c>
      <c r="AI100" s="48">
        <f t="shared" si="9"/>
        <v>120</v>
      </c>
    </row>
    <row r="101" spans="1:37" x14ac:dyDescent="0.25">
      <c r="A101" s="103" t="s">
        <v>109</v>
      </c>
      <c r="B101" s="65">
        <v>129</v>
      </c>
      <c r="C101" s="65">
        <v>129</v>
      </c>
      <c r="D101" s="65">
        <v>130</v>
      </c>
      <c r="E101" s="65">
        <v>130.5</v>
      </c>
      <c r="F101" s="65">
        <v>130.5</v>
      </c>
      <c r="G101" s="65">
        <v>130.5</v>
      </c>
      <c r="H101" s="65">
        <v>128.9</v>
      </c>
      <c r="I101" s="65">
        <v>129</v>
      </c>
      <c r="J101" s="65">
        <v>128.6</v>
      </c>
      <c r="K101" s="65">
        <v>125.9</v>
      </c>
      <c r="L101" s="65">
        <v>125.9</v>
      </c>
      <c r="M101" s="65">
        <v>126</v>
      </c>
      <c r="N101" s="65">
        <v>126</v>
      </c>
      <c r="O101" s="65">
        <v>125.4</v>
      </c>
      <c r="P101" s="65">
        <v>124.5</v>
      </c>
      <c r="Q101" s="65">
        <v>124.5</v>
      </c>
      <c r="R101" s="65">
        <v>127</v>
      </c>
      <c r="S101" s="65">
        <v>127.9</v>
      </c>
      <c r="T101" s="65">
        <v>128.30000000000001</v>
      </c>
      <c r="U101" s="65">
        <v>128.5</v>
      </c>
      <c r="V101" s="65">
        <v>130</v>
      </c>
      <c r="W101" s="65">
        <v>130.5</v>
      </c>
      <c r="X101" s="65">
        <v>130.9</v>
      </c>
      <c r="Y101" s="65">
        <v>131.6</v>
      </c>
      <c r="Z101" s="65">
        <v>131.5</v>
      </c>
      <c r="AA101" s="65">
        <v>131</v>
      </c>
      <c r="AB101" s="65">
        <v>129.5</v>
      </c>
      <c r="AC101" s="65">
        <v>129.5</v>
      </c>
      <c r="AD101" s="65">
        <v>129</v>
      </c>
      <c r="AE101" s="65">
        <v>129</v>
      </c>
      <c r="AF101" s="65">
        <v>129</v>
      </c>
      <c r="AG101" s="104"/>
      <c r="AH101" s="47">
        <f t="shared" si="8"/>
        <v>131.6</v>
      </c>
      <c r="AI101" s="48">
        <f t="shared" si="9"/>
        <v>124.5</v>
      </c>
    </row>
    <row r="102" spans="1:37" x14ac:dyDescent="0.25">
      <c r="A102" s="103" t="s">
        <v>110</v>
      </c>
      <c r="B102" s="65">
        <v>128</v>
      </c>
      <c r="C102" s="65">
        <v>128</v>
      </c>
      <c r="D102" s="65">
        <v>129</v>
      </c>
      <c r="E102" s="65">
        <v>130.6</v>
      </c>
      <c r="F102" s="65">
        <v>130.6</v>
      </c>
      <c r="G102" s="65">
        <v>130.6</v>
      </c>
      <c r="H102" s="65">
        <v>127.2</v>
      </c>
      <c r="I102" s="65">
        <v>127</v>
      </c>
      <c r="J102" s="65">
        <v>126.3</v>
      </c>
      <c r="K102" s="65">
        <v>127</v>
      </c>
      <c r="L102" s="65">
        <v>126.7</v>
      </c>
      <c r="M102" s="65">
        <v>126</v>
      </c>
      <c r="N102" s="65">
        <v>126</v>
      </c>
      <c r="O102" s="65">
        <v>123.1</v>
      </c>
      <c r="P102" s="65">
        <v>124.9</v>
      </c>
      <c r="Q102" s="65">
        <v>124.9</v>
      </c>
      <c r="R102" s="65">
        <v>127.1</v>
      </c>
      <c r="S102" s="65">
        <v>123.6</v>
      </c>
      <c r="T102" s="65">
        <v>124.5</v>
      </c>
      <c r="U102" s="65">
        <v>126.2</v>
      </c>
      <c r="V102" s="65">
        <v>128.30000000000001</v>
      </c>
      <c r="W102" s="65">
        <v>130.69999999999999</v>
      </c>
      <c r="X102" s="65">
        <v>132.9</v>
      </c>
      <c r="Y102" s="65">
        <v>131.6</v>
      </c>
      <c r="Z102" s="65">
        <v>129.1</v>
      </c>
      <c r="AA102" s="65">
        <v>128</v>
      </c>
      <c r="AB102" s="65">
        <v>130</v>
      </c>
      <c r="AC102" s="65">
        <v>126</v>
      </c>
      <c r="AD102" s="65">
        <v>130</v>
      </c>
      <c r="AE102" s="65">
        <v>130</v>
      </c>
      <c r="AF102" s="65">
        <v>130</v>
      </c>
      <c r="AG102" s="104"/>
      <c r="AH102" s="47">
        <f t="shared" si="8"/>
        <v>132.9</v>
      </c>
      <c r="AI102" s="48">
        <f t="shared" si="9"/>
        <v>123.1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>
        <v>128</v>
      </c>
      <c r="C104" s="106">
        <v>128</v>
      </c>
      <c r="D104" s="106">
        <v>129.69999999999999</v>
      </c>
      <c r="E104" s="106">
        <v>132.69999999999999</v>
      </c>
      <c r="F104" s="106">
        <v>132.69999999999999</v>
      </c>
      <c r="G104" s="106">
        <v>132.69999999999999</v>
      </c>
      <c r="H104" s="106">
        <v>130.5</v>
      </c>
      <c r="I104" s="106">
        <v>130.19999999999999</v>
      </c>
      <c r="J104" s="106">
        <v>132.30000000000001</v>
      </c>
      <c r="K104" s="106">
        <v>129.69999999999999</v>
      </c>
      <c r="L104" s="106">
        <v>130.80000000000001</v>
      </c>
      <c r="M104" s="106">
        <v>130.19999999999999</v>
      </c>
      <c r="N104" s="106">
        <v>130.19999999999999</v>
      </c>
      <c r="O104" s="106">
        <v>132.1</v>
      </c>
      <c r="P104" s="106">
        <v>130.19999999999999</v>
      </c>
      <c r="Q104" s="106">
        <v>130.19999999999999</v>
      </c>
      <c r="R104" s="106">
        <v>134</v>
      </c>
      <c r="S104" s="106">
        <v>132.30000000000001</v>
      </c>
      <c r="T104" s="106">
        <v>136.19999999999999</v>
      </c>
      <c r="U104" s="106">
        <v>131.80000000000001</v>
      </c>
      <c r="V104" s="106">
        <v>134.6</v>
      </c>
      <c r="W104" s="106">
        <v>133.5</v>
      </c>
      <c r="X104" s="106">
        <v>133.1</v>
      </c>
      <c r="Y104" s="106">
        <v>133.19999999999999</v>
      </c>
      <c r="Z104" s="106">
        <v>132.30000000000001</v>
      </c>
      <c r="AA104" s="106">
        <v>133</v>
      </c>
      <c r="AB104" s="106">
        <v>130</v>
      </c>
      <c r="AC104" s="106">
        <v>130</v>
      </c>
      <c r="AD104" s="106">
        <v>129</v>
      </c>
      <c r="AE104" s="106">
        <v>129</v>
      </c>
      <c r="AF104" s="106">
        <v>129</v>
      </c>
      <c r="AG104" s="107"/>
      <c r="AH104" s="47">
        <f t="shared" si="8"/>
        <v>136.19999999999999</v>
      </c>
      <c r="AI104" s="48">
        <f t="shared" si="9"/>
        <v>128</v>
      </c>
    </row>
    <row r="105" spans="1:37" x14ac:dyDescent="0.25">
      <c r="A105" s="103" t="s">
        <v>113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>
        <v>128.6</v>
      </c>
      <c r="N105" s="65">
        <v>128.6</v>
      </c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128.6</v>
      </c>
      <c r="AI105" s="48">
        <f t="shared" si="9"/>
        <v>128.6</v>
      </c>
    </row>
    <row r="106" spans="1:37" ht="15.75" thickBot="1" x14ac:dyDescent="0.3">
      <c r="A106" s="103" t="s">
        <v>114</v>
      </c>
      <c r="B106" s="92">
        <v>64.599999999999994</v>
      </c>
      <c r="C106" s="92">
        <v>64.599999999999994</v>
      </c>
      <c r="D106" s="92">
        <v>65</v>
      </c>
      <c r="E106" s="92">
        <v>65.5</v>
      </c>
      <c r="F106" s="92">
        <v>65.5</v>
      </c>
      <c r="G106" s="92">
        <v>64.599999999999994</v>
      </c>
      <c r="H106" s="92">
        <v>64.7</v>
      </c>
      <c r="I106" s="92">
        <v>64.400000000000006</v>
      </c>
      <c r="J106" s="92">
        <v>64.5</v>
      </c>
      <c r="K106" s="92">
        <v>63</v>
      </c>
      <c r="L106" s="92">
        <v>62.8</v>
      </c>
      <c r="M106" s="92">
        <v>62.9</v>
      </c>
      <c r="N106" s="92">
        <v>62.9</v>
      </c>
      <c r="O106" s="92">
        <v>62.6</v>
      </c>
      <c r="P106" s="92">
        <v>62.2</v>
      </c>
      <c r="Q106" s="92">
        <v>62.2</v>
      </c>
      <c r="R106" s="92">
        <v>63</v>
      </c>
      <c r="S106" s="92">
        <v>63.6</v>
      </c>
      <c r="T106" s="92">
        <v>63.8</v>
      </c>
      <c r="U106" s="92">
        <v>64.3</v>
      </c>
      <c r="V106" s="92">
        <v>64.5</v>
      </c>
      <c r="W106" s="92">
        <v>65</v>
      </c>
      <c r="X106" s="92">
        <v>65.400000000000006</v>
      </c>
      <c r="Y106" s="92">
        <v>66</v>
      </c>
      <c r="Z106" s="92">
        <v>131.5</v>
      </c>
      <c r="AA106" s="92">
        <v>65.400000000000006</v>
      </c>
      <c r="AB106" s="92">
        <v>64.8</v>
      </c>
      <c r="AC106" s="92">
        <v>65.8</v>
      </c>
      <c r="AD106" s="92">
        <v>66.8</v>
      </c>
      <c r="AE106" s="92">
        <v>66.8</v>
      </c>
      <c r="AF106" s="92">
        <v>66.8</v>
      </c>
      <c r="AG106" s="108"/>
      <c r="AH106" s="47">
        <f t="shared" si="8"/>
        <v>131.5</v>
      </c>
      <c r="AI106" s="48">
        <f t="shared" si="9"/>
        <v>62.2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f t="shared" ref="B108:AF108" si="15">SUM(B18,B24,B27:B28,B56,B58:B59,B61,B63,B109:B113,B135,B141,B147,B156,B158,B170,B177,B180:B181,B188,B190,B192,B196:B198,B200:B202,B207,B213:B214,B216:B218,B226,B231)</f>
        <v>116.6</v>
      </c>
      <c r="C108" s="111">
        <f t="shared" si="15"/>
        <v>71.84</v>
      </c>
      <c r="D108" s="111">
        <f t="shared" si="15"/>
        <v>75.64</v>
      </c>
      <c r="E108" s="111">
        <f t="shared" si="15"/>
        <v>33.740000000000016</v>
      </c>
      <c r="F108" s="111">
        <f t="shared" si="15"/>
        <v>33.740000000000016</v>
      </c>
      <c r="G108" s="111">
        <f t="shared" si="15"/>
        <v>33.740000000000016</v>
      </c>
      <c r="H108" s="111">
        <f t="shared" si="15"/>
        <v>113.44</v>
      </c>
      <c r="I108" s="111">
        <f t="shared" si="15"/>
        <v>165.44</v>
      </c>
      <c r="J108" s="111">
        <f t="shared" si="15"/>
        <v>160.63999999999999</v>
      </c>
      <c r="K108" s="111">
        <f t="shared" si="15"/>
        <v>167.24</v>
      </c>
      <c r="L108" s="111">
        <f t="shared" si="15"/>
        <v>95.04</v>
      </c>
      <c r="M108" s="111">
        <f t="shared" si="15"/>
        <v>221.83999999999997</v>
      </c>
      <c r="N108" s="111">
        <f t="shared" si="15"/>
        <v>229.94</v>
      </c>
      <c r="O108" s="111">
        <f t="shared" si="15"/>
        <v>233.74</v>
      </c>
      <c r="P108" s="111">
        <v>42</v>
      </c>
      <c r="Q108" s="111">
        <f t="shared" si="15"/>
        <v>224.3</v>
      </c>
      <c r="R108" s="111">
        <f t="shared" si="15"/>
        <v>223.4</v>
      </c>
      <c r="S108" s="111">
        <f t="shared" si="15"/>
        <v>235.9</v>
      </c>
      <c r="T108" s="111">
        <f t="shared" si="15"/>
        <v>236.2</v>
      </c>
      <c r="U108" s="111">
        <f t="shared" si="15"/>
        <v>242.1</v>
      </c>
      <c r="V108" s="111">
        <f t="shared" si="15"/>
        <v>230.59999999999997</v>
      </c>
      <c r="W108" s="111">
        <f t="shared" si="15"/>
        <v>259.09999999999997</v>
      </c>
      <c r="X108" s="111">
        <f t="shared" si="15"/>
        <v>262.59999999999997</v>
      </c>
      <c r="Y108" s="111">
        <f t="shared" si="15"/>
        <v>231.8</v>
      </c>
      <c r="Z108" s="111">
        <f t="shared" si="15"/>
        <v>220.89999999999998</v>
      </c>
      <c r="AA108" s="111">
        <f t="shared" si="15"/>
        <v>239.2</v>
      </c>
      <c r="AB108" s="111">
        <f t="shared" si="15"/>
        <v>199.1</v>
      </c>
      <c r="AC108" s="111">
        <f>SUM(AC18,AC24,AC27:AC28,AC56,AC58:AC59,AC61,AC63,AC109:AC113,AC135,AC141,AC147,AC156,AC158,AC170,AC177,AC180:AC181,AC188,AC190,AC192,AC196:AC198,AC200:AC202,AC207,AC213:AC214,AC216:AC218,AC226,AC231)</f>
        <v>193.1</v>
      </c>
      <c r="AD108" s="111">
        <f>SUM(AD18,AD24,AD27:AD28,AD56,AD58:AD59,AD61,AD63,AD109:AD113,AD135,AD141,AD147,AD156,AD158,AD170,AD177,AD180:AD181,AD188,AD190,AD192,AD196:AD198,AD200:AD202,AD207,AD213:AD214,AD216:AD218,AD226,AD231)</f>
        <v>159.1</v>
      </c>
      <c r="AE108" s="111">
        <f t="shared" si="15"/>
        <v>106.19999999999999</v>
      </c>
      <c r="AF108" s="111">
        <f t="shared" si="15"/>
        <v>72.199999999999989</v>
      </c>
      <c r="AG108" s="112"/>
      <c r="AH108" s="47">
        <f t="shared" si="8"/>
        <v>262.59999999999997</v>
      </c>
      <c r="AI108" s="48">
        <f t="shared" si="9"/>
        <v>33.740000000000016</v>
      </c>
    </row>
    <row r="109" spans="1:37" x14ac:dyDescent="0.25">
      <c r="A109" s="100" t="s">
        <v>117</v>
      </c>
      <c r="B109" s="113">
        <v>10</v>
      </c>
      <c r="C109" s="113">
        <v>-1.6</v>
      </c>
      <c r="D109" s="113">
        <v>-6.7</v>
      </c>
      <c r="E109" s="113">
        <v>-3.5</v>
      </c>
      <c r="F109" s="113">
        <v>-3.5</v>
      </c>
      <c r="G109" s="113">
        <v>-3.5</v>
      </c>
      <c r="H109" s="113">
        <v>-1.6</v>
      </c>
      <c r="I109" s="113">
        <v>-5</v>
      </c>
      <c r="J109" s="113">
        <v>-3.9</v>
      </c>
      <c r="K109" s="113">
        <v>-8.5</v>
      </c>
      <c r="L109" s="113">
        <v>-27.3</v>
      </c>
      <c r="M109" s="113">
        <v>15</v>
      </c>
      <c r="N109" s="113">
        <v>30.7</v>
      </c>
      <c r="O109" s="113">
        <v>30.9</v>
      </c>
      <c r="P109" s="113">
        <v>22.5</v>
      </c>
      <c r="Q109" s="113">
        <v>15.6</v>
      </c>
      <c r="R109" s="113">
        <v>14.4</v>
      </c>
      <c r="S109" s="113">
        <v>22.4</v>
      </c>
      <c r="T109" s="113">
        <v>25</v>
      </c>
      <c r="U109" s="113">
        <v>27</v>
      </c>
      <c r="V109" s="113">
        <v>32</v>
      </c>
      <c r="W109" s="113">
        <v>48</v>
      </c>
      <c r="X109" s="113">
        <v>51.3</v>
      </c>
      <c r="Y109" s="113">
        <v>36.1</v>
      </c>
      <c r="Z109" s="113">
        <v>46.5</v>
      </c>
      <c r="AA109" s="113">
        <v>52.1</v>
      </c>
      <c r="AB109" s="113">
        <v>73</v>
      </c>
      <c r="AC109" s="113">
        <v>73</v>
      </c>
      <c r="AD109" s="113">
        <v>57</v>
      </c>
      <c r="AE109" s="113">
        <v>57</v>
      </c>
      <c r="AF109" s="113">
        <v>36</v>
      </c>
      <c r="AG109" s="114">
        <v>75</v>
      </c>
      <c r="AH109" s="47">
        <f t="shared" si="8"/>
        <v>73</v>
      </c>
      <c r="AI109" s="48">
        <f t="shared" si="9"/>
        <v>-27.3</v>
      </c>
    </row>
    <row r="110" spans="1:37" x14ac:dyDescent="0.25">
      <c r="A110" s="103" t="s">
        <v>118</v>
      </c>
      <c r="B110" s="115">
        <v>15</v>
      </c>
      <c r="C110" s="115">
        <v>-8.1999999999999993</v>
      </c>
      <c r="D110" s="115">
        <v>-0.7</v>
      </c>
      <c r="E110" s="115">
        <v>-13.1</v>
      </c>
      <c r="F110" s="115">
        <v>-13.1</v>
      </c>
      <c r="G110" s="115">
        <v>-13.1</v>
      </c>
      <c r="H110" s="115">
        <v>-6.2</v>
      </c>
      <c r="I110" s="115">
        <v>-0.7</v>
      </c>
      <c r="J110" s="115">
        <v>-1.9</v>
      </c>
      <c r="K110" s="115">
        <v>-16</v>
      </c>
      <c r="L110" s="115">
        <v>-41.3</v>
      </c>
      <c r="M110" s="115">
        <v>40</v>
      </c>
      <c r="N110" s="115">
        <v>46.6</v>
      </c>
      <c r="O110" s="115">
        <v>47.6</v>
      </c>
      <c r="P110" s="115">
        <v>41.8</v>
      </c>
      <c r="Q110" s="115">
        <v>33.9</v>
      </c>
      <c r="R110" s="115">
        <v>26.3</v>
      </c>
      <c r="S110" s="115">
        <v>39.4</v>
      </c>
      <c r="T110" s="115">
        <v>43.5</v>
      </c>
      <c r="U110" s="115">
        <v>45.4</v>
      </c>
      <c r="V110" s="115">
        <v>50.3</v>
      </c>
      <c r="W110" s="115">
        <v>74</v>
      </c>
      <c r="X110" s="115">
        <v>73.7</v>
      </c>
      <c r="Y110" s="115">
        <v>52.3</v>
      </c>
      <c r="Z110" s="115">
        <v>68</v>
      </c>
      <c r="AA110" s="115">
        <v>75.2</v>
      </c>
      <c r="AB110" s="115">
        <v>50</v>
      </c>
      <c r="AC110" s="115">
        <v>44</v>
      </c>
      <c r="AD110" s="115">
        <v>34</v>
      </c>
      <c r="AE110" s="115">
        <v>34</v>
      </c>
      <c r="AF110" s="115">
        <v>18</v>
      </c>
      <c r="AG110" s="114">
        <v>240</v>
      </c>
      <c r="AH110" s="47">
        <f t="shared" si="8"/>
        <v>75.2</v>
      </c>
      <c r="AI110" s="48">
        <f t="shared" si="9"/>
        <v>-41.3</v>
      </c>
    </row>
    <row r="111" spans="1:37" x14ac:dyDescent="0.25">
      <c r="A111" s="103" t="s">
        <v>119</v>
      </c>
      <c r="B111" s="115">
        <v>-96</v>
      </c>
      <c r="C111" s="115">
        <v>-104.8</v>
      </c>
      <c r="D111" s="115">
        <v>-97</v>
      </c>
      <c r="E111" s="115">
        <f>-50.9-54.2</f>
        <v>-105.1</v>
      </c>
      <c r="F111" s="115">
        <f>-50.9-54.2</f>
        <v>-105.1</v>
      </c>
      <c r="G111" s="115">
        <f>-50.9-54.2</f>
        <v>-105.1</v>
      </c>
      <c r="H111" s="115">
        <f>-38-40.9</f>
        <v>-78.900000000000006</v>
      </c>
      <c r="I111" s="115">
        <f>-38.4-27.8</f>
        <v>-66.2</v>
      </c>
      <c r="J111" s="115">
        <f>-41.3-27</f>
        <v>-68.3</v>
      </c>
      <c r="K111" s="115">
        <f>-27.1-23.5</f>
        <v>-50.6</v>
      </c>
      <c r="L111" s="115">
        <f>-36-27.7</f>
        <v>-63.7</v>
      </c>
      <c r="M111" s="115">
        <v>-65</v>
      </c>
      <c r="N111" s="115">
        <f>-32.9-36</f>
        <v>-68.900000000000006</v>
      </c>
      <c r="O111" s="115">
        <f>-33.3-38.3</f>
        <v>-71.599999999999994</v>
      </c>
      <c r="P111" s="115"/>
      <c r="Q111" s="115">
        <v>-65.400000000000006</v>
      </c>
      <c r="R111" s="115">
        <v>-50.9</v>
      </c>
      <c r="S111" s="115">
        <v>-54</v>
      </c>
      <c r="T111" s="115">
        <v>-54</v>
      </c>
      <c r="U111" s="115">
        <v>-52</v>
      </c>
      <c r="V111" s="115">
        <v>-54</v>
      </c>
      <c r="W111" s="115">
        <v>-30</v>
      </c>
      <c r="X111" s="115">
        <v>-34</v>
      </c>
      <c r="Y111" s="115">
        <v>-34</v>
      </c>
      <c r="Z111" s="115">
        <v>-54</v>
      </c>
      <c r="AA111" s="115">
        <v>-50</v>
      </c>
      <c r="AB111" s="115">
        <v>-68</v>
      </c>
      <c r="AC111" s="115">
        <v>-68</v>
      </c>
      <c r="AD111" s="115">
        <v>-83</v>
      </c>
      <c r="AE111" s="115">
        <v>-83</v>
      </c>
      <c r="AF111" s="115">
        <v>-100</v>
      </c>
      <c r="AG111" s="114">
        <v>240</v>
      </c>
      <c r="AH111" s="47">
        <f t="shared" si="8"/>
        <v>-30</v>
      </c>
      <c r="AI111" s="48">
        <f t="shared" si="9"/>
        <v>-105.1</v>
      </c>
    </row>
    <row r="112" spans="1:37" x14ac:dyDescent="0.25">
      <c r="A112" s="103" t="s">
        <v>120</v>
      </c>
      <c r="B112" s="115">
        <v>-9</v>
      </c>
      <c r="C112" s="115">
        <v>-11.3</v>
      </c>
      <c r="D112" s="115">
        <v>-14.8</v>
      </c>
      <c r="E112" s="115">
        <v>-14.4</v>
      </c>
      <c r="F112" s="115">
        <v>-14.4</v>
      </c>
      <c r="G112" s="115">
        <v>-14.4</v>
      </c>
      <c r="H112" s="115">
        <v>-3.4</v>
      </c>
      <c r="I112" s="115">
        <v>21.3</v>
      </c>
      <c r="J112" s="115">
        <v>21.7</v>
      </c>
      <c r="K112" s="115">
        <v>15</v>
      </c>
      <c r="L112" s="115">
        <v>9.3000000000000007</v>
      </c>
      <c r="M112" s="115">
        <v>13.2</v>
      </c>
      <c r="N112" s="115">
        <v>10.199999999999999</v>
      </c>
      <c r="O112" s="115">
        <v>17.7</v>
      </c>
      <c r="P112" s="115"/>
      <c r="Q112" s="115">
        <v>24.8</v>
      </c>
      <c r="R112" s="115">
        <v>17.3</v>
      </c>
      <c r="S112" s="115">
        <v>25</v>
      </c>
      <c r="T112" s="115">
        <v>22</v>
      </c>
      <c r="U112" s="115">
        <v>22.1</v>
      </c>
      <c r="V112" s="115">
        <v>23</v>
      </c>
      <c r="W112" s="115">
        <v>20</v>
      </c>
      <c r="X112" s="115">
        <v>18.7</v>
      </c>
      <c r="Y112" s="115">
        <v>16.2</v>
      </c>
      <c r="Z112" s="115">
        <v>26.8</v>
      </c>
      <c r="AA112" s="115">
        <v>24</v>
      </c>
      <c r="AB112" s="115">
        <v>6</v>
      </c>
      <c r="AC112" s="115">
        <v>6</v>
      </c>
      <c r="AD112" s="115">
        <v>-2</v>
      </c>
      <c r="AE112" s="115">
        <v>-2</v>
      </c>
      <c r="AF112" s="115">
        <v>-6</v>
      </c>
      <c r="AG112" s="114">
        <v>60</v>
      </c>
      <c r="AH112" s="47">
        <f t="shared" si="8"/>
        <v>26.8</v>
      </c>
      <c r="AI112" s="48">
        <f t="shared" si="9"/>
        <v>-14.8</v>
      </c>
    </row>
    <row r="113" spans="1:37" x14ac:dyDescent="0.25">
      <c r="A113" s="116" t="s">
        <v>121</v>
      </c>
      <c r="B113" s="117">
        <v>81</v>
      </c>
      <c r="C113" s="117">
        <v>74.8</v>
      </c>
      <c r="D113" s="117">
        <v>71.900000000000006</v>
      </c>
      <c r="E113" s="117">
        <v>46.5</v>
      </c>
      <c r="F113" s="117">
        <v>46.5</v>
      </c>
      <c r="G113" s="117">
        <v>46.5</v>
      </c>
      <c r="H113" s="117">
        <v>80.400000000000006</v>
      </c>
      <c r="I113" s="117">
        <v>92.9</v>
      </c>
      <c r="J113" s="117">
        <v>89.9</v>
      </c>
      <c r="K113" s="117">
        <v>104.2</v>
      </c>
      <c r="L113" s="117">
        <v>94.9</v>
      </c>
      <c r="M113" s="117">
        <v>89</v>
      </c>
      <c r="N113" s="117">
        <v>79.3</v>
      </c>
      <c r="O113" s="117">
        <v>74.2</v>
      </c>
      <c r="P113" s="117"/>
      <c r="Q113" s="117">
        <v>80.8</v>
      </c>
      <c r="R113" s="117">
        <v>82.5</v>
      </c>
      <c r="S113" s="117">
        <v>76</v>
      </c>
      <c r="T113" s="117">
        <v>72.599999999999994</v>
      </c>
      <c r="U113" s="117">
        <v>68.599999999999994</v>
      </c>
      <c r="V113" s="117">
        <v>67</v>
      </c>
      <c r="W113" s="117">
        <v>34.799999999999997</v>
      </c>
      <c r="X113" s="117">
        <v>39</v>
      </c>
      <c r="Y113" s="117">
        <v>47.3</v>
      </c>
      <c r="Z113" s="117">
        <v>19.7</v>
      </c>
      <c r="AA113" s="117">
        <v>17</v>
      </c>
      <c r="AB113" s="117">
        <v>18</v>
      </c>
      <c r="AC113" s="117">
        <v>18</v>
      </c>
      <c r="AD113" s="117">
        <v>33</v>
      </c>
      <c r="AE113" s="117">
        <v>33</v>
      </c>
      <c r="AF113" s="117">
        <v>37</v>
      </c>
      <c r="AG113" s="118">
        <v>120</v>
      </c>
      <c r="AH113" s="47">
        <f t="shared" si="8"/>
        <v>104.2</v>
      </c>
      <c r="AI113" s="48">
        <f t="shared" si="9"/>
        <v>17</v>
      </c>
    </row>
    <row r="114" spans="1:37" x14ac:dyDescent="0.25">
      <c r="A114" s="116" t="s">
        <v>122</v>
      </c>
      <c r="B114" s="117">
        <v>98.5</v>
      </c>
      <c r="C114" s="117">
        <v>95.3</v>
      </c>
      <c r="D114" s="117">
        <v>97</v>
      </c>
      <c r="E114" s="117">
        <v>79.400000000000006</v>
      </c>
      <c r="F114" s="117">
        <v>79.400000000000006</v>
      </c>
      <c r="G114" s="117">
        <v>79.400000000000006</v>
      </c>
      <c r="H114" s="117">
        <v>98.4</v>
      </c>
      <c r="I114" s="117">
        <v>102.4</v>
      </c>
      <c r="J114" s="117">
        <v>102</v>
      </c>
      <c r="K114" s="117">
        <v>109</v>
      </c>
      <c r="L114" s="117">
        <v>98.8</v>
      </c>
      <c r="M114" s="117">
        <v>94</v>
      </c>
      <c r="N114" s="117">
        <v>91.2</v>
      </c>
      <c r="O114" s="117">
        <v>87.9</v>
      </c>
      <c r="P114" s="117"/>
      <c r="Q114" s="117">
        <v>94.3</v>
      </c>
      <c r="R114" s="117">
        <v>94</v>
      </c>
      <c r="S114" s="117">
        <v>85</v>
      </c>
      <c r="T114" s="117">
        <v>80</v>
      </c>
      <c r="U114" s="117">
        <v>78</v>
      </c>
      <c r="V114" s="117">
        <v>83</v>
      </c>
      <c r="W114" s="117">
        <v>45</v>
      </c>
      <c r="X114" s="117">
        <v>45</v>
      </c>
      <c r="Y114" s="117">
        <v>61</v>
      </c>
      <c r="Z114" s="117">
        <v>31</v>
      </c>
      <c r="AA114" s="117">
        <v>16</v>
      </c>
      <c r="AB114" s="117">
        <v>19</v>
      </c>
      <c r="AC114" s="117">
        <v>19</v>
      </c>
      <c r="AD114" s="117">
        <v>45</v>
      </c>
      <c r="AE114" s="117">
        <v>45</v>
      </c>
      <c r="AF114" s="117">
        <v>51</v>
      </c>
      <c r="AG114" s="118"/>
      <c r="AH114" s="47">
        <f t="shared" si="8"/>
        <v>109</v>
      </c>
      <c r="AI114" s="48">
        <f t="shared" si="9"/>
        <v>16</v>
      </c>
    </row>
    <row r="115" spans="1:37" x14ac:dyDescent="0.25">
      <c r="A115" s="116" t="s">
        <v>123</v>
      </c>
      <c r="B115" s="117">
        <v>51.2</v>
      </c>
      <c r="C115" s="117">
        <v>47.1</v>
      </c>
      <c r="D115" s="117">
        <v>53.9</v>
      </c>
      <c r="E115" s="117">
        <v>54.3</v>
      </c>
      <c r="F115" s="117">
        <v>54.3</v>
      </c>
      <c r="G115" s="117">
        <v>54.3</v>
      </c>
      <c r="H115" s="117">
        <v>58.8</v>
      </c>
      <c r="I115" s="117">
        <v>61</v>
      </c>
      <c r="J115" s="117">
        <v>58.5</v>
      </c>
      <c r="K115" s="117">
        <v>58.9</v>
      </c>
      <c r="L115" s="117">
        <v>45.3</v>
      </c>
      <c r="M115" s="117">
        <v>39.5</v>
      </c>
      <c r="N115" s="117">
        <v>40.299999999999997</v>
      </c>
      <c r="O115" s="117">
        <v>37.1</v>
      </c>
      <c r="P115" s="117"/>
      <c r="Q115" s="117">
        <v>51.5</v>
      </c>
      <c r="R115" s="117">
        <v>41.5</v>
      </c>
      <c r="S115" s="117">
        <v>58</v>
      </c>
      <c r="T115" s="117">
        <v>48.2</v>
      </c>
      <c r="U115" s="117">
        <v>47.1</v>
      </c>
      <c r="V115" s="117">
        <v>41</v>
      </c>
      <c r="W115" s="117">
        <v>34</v>
      </c>
      <c r="X115" s="117">
        <v>33</v>
      </c>
      <c r="Y115" s="117">
        <v>31</v>
      </c>
      <c r="Z115" s="117">
        <v>19</v>
      </c>
      <c r="AA115" s="117">
        <v>15</v>
      </c>
      <c r="AB115" s="117">
        <v>40</v>
      </c>
      <c r="AC115" s="117">
        <v>40</v>
      </c>
      <c r="AD115" s="117">
        <v>38</v>
      </c>
      <c r="AE115" s="117">
        <v>38</v>
      </c>
      <c r="AF115" s="117">
        <v>80</v>
      </c>
      <c r="AG115" s="119"/>
      <c r="AH115" s="47">
        <f t="shared" si="8"/>
        <v>80</v>
      </c>
      <c r="AI115" s="48">
        <f t="shared" si="9"/>
        <v>15</v>
      </c>
    </row>
    <row r="116" spans="1:37" x14ac:dyDescent="0.25">
      <c r="A116" s="120" t="s">
        <v>124</v>
      </c>
      <c r="B116" s="106">
        <v>16.2</v>
      </c>
      <c r="C116" s="106">
        <v>17.3</v>
      </c>
      <c r="D116" s="106">
        <v>20.6</v>
      </c>
      <c r="E116" s="106">
        <v>-35</v>
      </c>
      <c r="F116" s="106">
        <v>-35</v>
      </c>
      <c r="G116" s="106">
        <v>-35</v>
      </c>
      <c r="H116" s="106">
        <v>43.7</v>
      </c>
      <c r="I116" s="106">
        <v>41.2</v>
      </c>
      <c r="J116" s="106">
        <v>-42.1</v>
      </c>
      <c r="K116" s="106">
        <v>-30</v>
      </c>
      <c r="L116" s="106">
        <v>-28.7</v>
      </c>
      <c r="M116" s="106">
        <v>27.7</v>
      </c>
      <c r="N116" s="106">
        <v>30.1</v>
      </c>
      <c r="O116" s="106">
        <v>27.5</v>
      </c>
      <c r="P116" s="106"/>
      <c r="Q116" s="106">
        <v>24.8</v>
      </c>
      <c r="R116" s="106">
        <v>22.5</v>
      </c>
      <c r="S116" s="106">
        <v>22</v>
      </c>
      <c r="T116" s="106">
        <v>18</v>
      </c>
      <c r="U116" s="106">
        <v>18</v>
      </c>
      <c r="V116" s="106">
        <v>18</v>
      </c>
      <c r="W116" s="106">
        <v>15</v>
      </c>
      <c r="X116" s="106">
        <v>16</v>
      </c>
      <c r="Y116" s="106">
        <v>17</v>
      </c>
      <c r="Z116" s="106">
        <v>-2</v>
      </c>
      <c r="AA116" s="106">
        <v>2</v>
      </c>
      <c r="AB116" s="106">
        <v>6</v>
      </c>
      <c r="AC116" s="106">
        <v>6</v>
      </c>
      <c r="AD116" s="106">
        <v>15</v>
      </c>
      <c r="AE116" s="106">
        <v>15</v>
      </c>
      <c r="AF116" s="106">
        <v>14</v>
      </c>
      <c r="AG116" s="119"/>
      <c r="AH116" s="47">
        <f t="shared" si="8"/>
        <v>43.7</v>
      </c>
      <c r="AI116" s="48">
        <f t="shared" si="9"/>
        <v>-42.1</v>
      </c>
    </row>
    <row r="117" spans="1:37" ht="15.75" thickBot="1" x14ac:dyDescent="0.3">
      <c r="A117" s="120" t="s">
        <v>125</v>
      </c>
      <c r="B117" s="106">
        <v>83.5</v>
      </c>
      <c r="C117" s="106">
        <v>74.069999999999993</v>
      </c>
      <c r="D117" s="106">
        <v>84.8</v>
      </c>
      <c r="E117" s="106">
        <v>61.1</v>
      </c>
      <c r="F117" s="106">
        <v>61.1</v>
      </c>
      <c r="G117" s="106">
        <v>61.1</v>
      </c>
      <c r="H117" s="106">
        <v>48.8</v>
      </c>
      <c r="I117" s="106">
        <v>90</v>
      </c>
      <c r="J117" s="106">
        <v>53.8</v>
      </c>
      <c r="K117" s="106">
        <v>60</v>
      </c>
      <c r="L117" s="106">
        <v>53.8</v>
      </c>
      <c r="M117" s="106">
        <v>55.1</v>
      </c>
      <c r="N117" s="106">
        <v>57.8</v>
      </c>
      <c r="O117" s="106">
        <v>60.2</v>
      </c>
      <c r="P117" s="106"/>
      <c r="Q117" s="106">
        <v>55.5</v>
      </c>
      <c r="R117" s="106">
        <v>61.5</v>
      </c>
      <c r="S117" s="106">
        <v>63</v>
      </c>
      <c r="T117" s="106">
        <v>68</v>
      </c>
      <c r="U117" s="106">
        <v>67</v>
      </c>
      <c r="V117" s="106">
        <v>59</v>
      </c>
      <c r="W117" s="106">
        <v>54</v>
      </c>
      <c r="X117" s="106">
        <v>46</v>
      </c>
      <c r="Y117" s="106">
        <v>53</v>
      </c>
      <c r="Z117" s="106">
        <v>74</v>
      </c>
      <c r="AA117" s="106">
        <v>74</v>
      </c>
      <c r="AB117" s="106">
        <v>73</v>
      </c>
      <c r="AC117" s="106">
        <v>73</v>
      </c>
      <c r="AD117" s="106">
        <v>75</v>
      </c>
      <c r="AE117" s="106">
        <v>75</v>
      </c>
      <c r="AF117" s="106">
        <v>70</v>
      </c>
      <c r="AG117" s="119"/>
      <c r="AH117" s="47">
        <f t="shared" si="8"/>
        <v>90</v>
      </c>
      <c r="AI117" s="48">
        <f t="shared" si="9"/>
        <v>46</v>
      </c>
    </row>
    <row r="118" spans="1:37" ht="15.75" thickBot="1" x14ac:dyDescent="0.3">
      <c r="A118" s="121" t="s">
        <v>126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230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231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232</v>
      </c>
      <c r="B224" s="135">
        <f t="shared" ref="B224:AG224" si="16">SUM(B119:B223)</f>
        <v>0</v>
      </c>
      <c r="C224" s="136">
        <f t="shared" si="16"/>
        <v>0</v>
      </c>
      <c r="D224" s="136">
        <f t="shared" si="16"/>
        <v>0</v>
      </c>
      <c r="E224" s="136">
        <f t="shared" si="16"/>
        <v>0</v>
      </c>
      <c r="F224" s="136">
        <f t="shared" si="16"/>
        <v>0</v>
      </c>
      <c r="G224" s="136">
        <f t="shared" si="16"/>
        <v>0</v>
      </c>
      <c r="H224" s="136">
        <f t="shared" si="16"/>
        <v>0</v>
      </c>
      <c r="I224" s="136">
        <f t="shared" si="16"/>
        <v>0</v>
      </c>
      <c r="J224" s="136">
        <f t="shared" si="16"/>
        <v>0</v>
      </c>
      <c r="K224" s="136">
        <f t="shared" si="16"/>
        <v>0</v>
      </c>
      <c r="L224" s="136">
        <f t="shared" si="16"/>
        <v>0</v>
      </c>
      <c r="M224" s="136">
        <f t="shared" si="16"/>
        <v>0</v>
      </c>
      <c r="N224" s="136">
        <f t="shared" si="16"/>
        <v>0</v>
      </c>
      <c r="O224" s="136">
        <f t="shared" si="16"/>
        <v>0</v>
      </c>
      <c r="P224" s="136">
        <f t="shared" si="16"/>
        <v>0</v>
      </c>
      <c r="Q224" s="136">
        <f t="shared" si="16"/>
        <v>0</v>
      </c>
      <c r="R224" s="136">
        <f t="shared" si="16"/>
        <v>0</v>
      </c>
      <c r="S224" s="136">
        <f t="shared" si="16"/>
        <v>0</v>
      </c>
      <c r="T224" s="136">
        <f t="shared" si="16"/>
        <v>0</v>
      </c>
      <c r="U224" s="136">
        <f t="shared" si="16"/>
        <v>0</v>
      </c>
      <c r="V224" s="136">
        <f t="shared" si="16"/>
        <v>0</v>
      </c>
      <c r="W224" s="136">
        <f t="shared" si="16"/>
        <v>0</v>
      </c>
      <c r="X224" s="136">
        <f t="shared" si="16"/>
        <v>0</v>
      </c>
      <c r="Y224" s="136">
        <f t="shared" si="16"/>
        <v>0</v>
      </c>
      <c r="Z224" s="136">
        <f t="shared" si="16"/>
        <v>0</v>
      </c>
      <c r="AA224" s="136">
        <f t="shared" si="16"/>
        <v>0</v>
      </c>
      <c r="AB224" s="136">
        <f t="shared" si="16"/>
        <v>0</v>
      </c>
      <c r="AC224" s="136">
        <f t="shared" si="16"/>
        <v>0</v>
      </c>
      <c r="AD224" s="136">
        <f t="shared" si="16"/>
        <v>0</v>
      </c>
      <c r="AE224" s="136">
        <f t="shared" si="16"/>
        <v>0</v>
      </c>
      <c r="AF224" s="137">
        <f t="shared" si="16"/>
        <v>0</v>
      </c>
      <c r="AG224" s="138">
        <f t="shared" si="16"/>
        <v>412.72299999999984</v>
      </c>
      <c r="AH224" s="47"/>
      <c r="AI224" s="48"/>
      <c r="AK224" s="49"/>
    </row>
    <row r="225" spans="1:37" ht="15.75" thickBot="1" x14ac:dyDescent="0.3">
      <c r="A225" s="26" t="s">
        <v>73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233</v>
      </c>
      <c r="B226" s="140">
        <f t="shared" ref="B226:B231" si="17">AF226</f>
        <v>0</v>
      </c>
      <c r="C226" s="140">
        <v>0.3</v>
      </c>
      <c r="D226" s="140">
        <f t="shared" ref="D226:P231" si="18">C226</f>
        <v>0.3</v>
      </c>
      <c r="E226" s="140">
        <f t="shared" si="18"/>
        <v>0.3</v>
      </c>
      <c r="F226" s="140">
        <f t="shared" si="18"/>
        <v>0.3</v>
      </c>
      <c r="G226" s="140">
        <f t="shared" si="18"/>
        <v>0.3</v>
      </c>
      <c r="H226" s="140">
        <f t="shared" si="18"/>
        <v>0.3</v>
      </c>
      <c r="I226" s="140">
        <f t="shared" si="18"/>
        <v>0.3</v>
      </c>
      <c r="J226" s="140">
        <f t="shared" si="18"/>
        <v>0.3</v>
      </c>
      <c r="K226" s="140">
        <f t="shared" si="18"/>
        <v>0.3</v>
      </c>
      <c r="L226" s="140">
        <f t="shared" si="18"/>
        <v>0.3</v>
      </c>
      <c r="M226" s="140">
        <f t="shared" si="18"/>
        <v>0.3</v>
      </c>
      <c r="N226" s="140">
        <f t="shared" si="18"/>
        <v>0.3</v>
      </c>
      <c r="O226" s="140">
        <f t="shared" si="18"/>
        <v>0.3</v>
      </c>
      <c r="P226" s="140">
        <f t="shared" si="18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234</v>
      </c>
      <c r="B227" s="128">
        <f t="shared" si="17"/>
        <v>0</v>
      </c>
      <c r="C227" s="128">
        <v>0.4</v>
      </c>
      <c r="D227" s="128">
        <f t="shared" si="18"/>
        <v>0.4</v>
      </c>
      <c r="E227" s="128">
        <f t="shared" si="18"/>
        <v>0.4</v>
      </c>
      <c r="F227" s="128">
        <f t="shared" si="18"/>
        <v>0.4</v>
      </c>
      <c r="G227" s="128">
        <f t="shared" si="18"/>
        <v>0.4</v>
      </c>
      <c r="H227" s="128">
        <f t="shared" si="18"/>
        <v>0.4</v>
      </c>
      <c r="I227" s="128">
        <f t="shared" si="18"/>
        <v>0.4</v>
      </c>
      <c r="J227" s="128">
        <f t="shared" si="18"/>
        <v>0.4</v>
      </c>
      <c r="K227" s="128">
        <f t="shared" si="18"/>
        <v>0.4</v>
      </c>
      <c r="L227" s="128">
        <f t="shared" si="18"/>
        <v>0.4</v>
      </c>
      <c r="M227" s="128">
        <f t="shared" si="18"/>
        <v>0.4</v>
      </c>
      <c r="N227" s="128">
        <f t="shared" si="18"/>
        <v>0.4</v>
      </c>
      <c r="O227" s="128">
        <f t="shared" si="18"/>
        <v>0.4</v>
      </c>
      <c r="P227" s="128">
        <f t="shared" si="18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235</v>
      </c>
      <c r="B228" s="128">
        <f t="shared" si="17"/>
        <v>0</v>
      </c>
      <c r="C228" s="128">
        <v>1.5</v>
      </c>
      <c r="D228" s="128">
        <f t="shared" si="18"/>
        <v>1.5</v>
      </c>
      <c r="E228" s="128">
        <f t="shared" si="18"/>
        <v>1.5</v>
      </c>
      <c r="F228" s="128">
        <f t="shared" si="18"/>
        <v>1.5</v>
      </c>
      <c r="G228" s="128">
        <f t="shared" si="18"/>
        <v>1.5</v>
      </c>
      <c r="H228" s="128">
        <f t="shared" si="18"/>
        <v>1.5</v>
      </c>
      <c r="I228" s="111">
        <f ca="1">SUM(I140,I146,I149:I150,I176,I178:I179,I181,I183,I229:I233,I255,I261,I267,I276,I278,I290,I297,I300:I301,I308,I310,I312,I316:I318,I320:I322,I327,I333:I334,I336:I338,I346,I351)</f>
        <v>123.21900000000009</v>
      </c>
      <c r="J228" s="128">
        <f t="shared" ca="1" si="18"/>
        <v>123.21900000000009</v>
      </c>
      <c r="K228" s="128">
        <f t="shared" ca="1" si="18"/>
        <v>123.21900000000009</v>
      </c>
      <c r="L228" s="128">
        <f t="shared" ca="1" si="18"/>
        <v>123.21900000000009</v>
      </c>
      <c r="M228" s="128">
        <f t="shared" ca="1" si="18"/>
        <v>123.21900000000009</v>
      </c>
      <c r="N228" s="128">
        <f t="shared" ca="1" si="18"/>
        <v>123.21900000000009</v>
      </c>
      <c r="O228" s="128">
        <f t="shared" ca="1" si="18"/>
        <v>123.21900000000009</v>
      </c>
      <c r="P228" s="128">
        <f t="shared" ca="1" si="18"/>
        <v>123.21900000000009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236</v>
      </c>
      <c r="B229" s="128">
        <f t="shared" si="17"/>
        <v>0</v>
      </c>
      <c r="C229" s="128">
        <v>0.3</v>
      </c>
      <c r="D229" s="128">
        <f t="shared" si="18"/>
        <v>0.3</v>
      </c>
      <c r="E229" s="128">
        <f t="shared" si="18"/>
        <v>0.3</v>
      </c>
      <c r="F229" s="128">
        <f t="shared" si="18"/>
        <v>0.3</v>
      </c>
      <c r="G229" s="128">
        <f t="shared" si="18"/>
        <v>0.3</v>
      </c>
      <c r="H229" s="128">
        <f t="shared" si="18"/>
        <v>0.3</v>
      </c>
      <c r="I229" s="128">
        <f t="shared" si="18"/>
        <v>0.3</v>
      </c>
      <c r="J229" s="128">
        <f t="shared" si="18"/>
        <v>0.3</v>
      </c>
      <c r="K229" s="128">
        <f t="shared" si="18"/>
        <v>0.3</v>
      </c>
      <c r="L229" s="128">
        <f t="shared" si="18"/>
        <v>0.3</v>
      </c>
      <c r="M229" s="128">
        <f t="shared" si="18"/>
        <v>0.3</v>
      </c>
      <c r="N229" s="128">
        <f t="shared" si="18"/>
        <v>0.3</v>
      </c>
      <c r="O229" s="128">
        <f t="shared" si="18"/>
        <v>0.3</v>
      </c>
      <c r="P229" s="128">
        <f t="shared" si="18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237</v>
      </c>
      <c r="B230" s="128">
        <f t="shared" si="17"/>
        <v>0</v>
      </c>
      <c r="C230" s="128">
        <v>0.4</v>
      </c>
      <c r="D230" s="128">
        <f t="shared" si="18"/>
        <v>0.4</v>
      </c>
      <c r="E230" s="128">
        <f t="shared" si="18"/>
        <v>0.4</v>
      </c>
      <c r="F230" s="128">
        <f t="shared" si="18"/>
        <v>0.4</v>
      </c>
      <c r="G230" s="128">
        <f t="shared" si="18"/>
        <v>0.4</v>
      </c>
      <c r="H230" s="128">
        <f t="shared" si="18"/>
        <v>0.4</v>
      </c>
      <c r="I230" s="128">
        <f t="shared" si="18"/>
        <v>0.4</v>
      </c>
      <c r="J230" s="128">
        <f t="shared" si="18"/>
        <v>0.4</v>
      </c>
      <c r="K230" s="128">
        <f t="shared" si="18"/>
        <v>0.4</v>
      </c>
      <c r="L230" s="128">
        <f t="shared" si="18"/>
        <v>0.4</v>
      </c>
      <c r="M230" s="128">
        <f t="shared" si="18"/>
        <v>0.4</v>
      </c>
      <c r="N230" s="128">
        <f t="shared" si="18"/>
        <v>0.4</v>
      </c>
      <c r="O230" s="128">
        <f t="shared" si="18"/>
        <v>0.4</v>
      </c>
      <c r="P230" s="128">
        <f t="shared" si="1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238</v>
      </c>
      <c r="B231" s="132">
        <f t="shared" si="17"/>
        <v>0</v>
      </c>
      <c r="C231" s="132">
        <v>0.64</v>
      </c>
      <c r="D231" s="132">
        <f t="shared" si="18"/>
        <v>0.64</v>
      </c>
      <c r="E231" s="132">
        <f t="shared" si="18"/>
        <v>0.64</v>
      </c>
      <c r="F231" s="132">
        <f t="shared" si="18"/>
        <v>0.64</v>
      </c>
      <c r="G231" s="132">
        <f t="shared" si="18"/>
        <v>0.64</v>
      </c>
      <c r="H231" s="132">
        <f t="shared" si="18"/>
        <v>0.64</v>
      </c>
      <c r="I231" s="132">
        <f t="shared" si="18"/>
        <v>0.64</v>
      </c>
      <c r="J231" s="132">
        <f t="shared" si="18"/>
        <v>0.64</v>
      </c>
      <c r="K231" s="132">
        <f t="shared" si="18"/>
        <v>0.64</v>
      </c>
      <c r="L231" s="132">
        <f t="shared" si="18"/>
        <v>0.64</v>
      </c>
      <c r="M231" s="132">
        <f t="shared" si="18"/>
        <v>0.64</v>
      </c>
      <c r="N231" s="132">
        <f t="shared" si="18"/>
        <v>0.64</v>
      </c>
      <c r="O231" s="132">
        <f t="shared" si="18"/>
        <v>0.64</v>
      </c>
      <c r="P231" s="132">
        <f t="shared" si="18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73</v>
      </c>
      <c r="B232" s="136">
        <f t="shared" ref="B232:AG232" si="19">SUM(B226:B231)</f>
        <v>0</v>
      </c>
      <c r="C232" s="136">
        <f t="shared" si="19"/>
        <v>3.54</v>
      </c>
      <c r="D232" s="136">
        <f t="shared" si="19"/>
        <v>3.54</v>
      </c>
      <c r="E232" s="136">
        <f t="shared" si="19"/>
        <v>3.54</v>
      </c>
      <c r="F232" s="136">
        <f t="shared" si="19"/>
        <v>3.54</v>
      </c>
      <c r="G232" s="136">
        <f t="shared" si="19"/>
        <v>3.54</v>
      </c>
      <c r="H232" s="136">
        <f t="shared" si="19"/>
        <v>3.54</v>
      </c>
      <c r="I232" s="136">
        <f t="shared" ca="1" si="19"/>
        <v>121.23900000000009</v>
      </c>
      <c r="J232" s="136">
        <f t="shared" ca="1" si="19"/>
        <v>121.23900000000009</v>
      </c>
      <c r="K232" s="136">
        <f t="shared" ca="1" si="19"/>
        <v>121.23900000000009</v>
      </c>
      <c r="L232" s="136">
        <f t="shared" ca="1" si="19"/>
        <v>121.23900000000009</v>
      </c>
      <c r="M232" s="136">
        <f t="shared" ca="1" si="19"/>
        <v>121.23900000000009</v>
      </c>
      <c r="N232" s="136">
        <f t="shared" ca="1" si="19"/>
        <v>121.23900000000009</v>
      </c>
      <c r="O232" s="136">
        <f t="shared" ca="1" si="19"/>
        <v>121.23900000000009</v>
      </c>
      <c r="P232" s="136">
        <f t="shared" ca="1" si="19"/>
        <v>125.2590000000001</v>
      </c>
      <c r="Q232" s="136">
        <f t="shared" si="19"/>
        <v>0</v>
      </c>
      <c r="R232" s="136">
        <f t="shared" si="19"/>
        <v>0</v>
      </c>
      <c r="S232" s="136">
        <f t="shared" si="19"/>
        <v>0</v>
      </c>
      <c r="T232" s="136">
        <f t="shared" si="19"/>
        <v>0</v>
      </c>
      <c r="U232" s="136">
        <f t="shared" si="19"/>
        <v>0</v>
      </c>
      <c r="V232" s="136">
        <f t="shared" si="19"/>
        <v>0</v>
      </c>
      <c r="W232" s="136">
        <f t="shared" si="19"/>
        <v>0</v>
      </c>
      <c r="X232" s="136">
        <f t="shared" si="19"/>
        <v>0</v>
      </c>
      <c r="Y232" s="136">
        <f t="shared" si="19"/>
        <v>0</v>
      </c>
      <c r="Z232" s="136">
        <f t="shared" si="19"/>
        <v>0</v>
      </c>
      <c r="AA232" s="136">
        <f t="shared" si="19"/>
        <v>0</v>
      </c>
      <c r="AB232" s="136">
        <f t="shared" si="19"/>
        <v>0</v>
      </c>
      <c r="AC232" s="136">
        <f t="shared" si="19"/>
        <v>0</v>
      </c>
      <c r="AD232" s="136">
        <f t="shared" si="19"/>
        <v>0</v>
      </c>
      <c r="AE232" s="136">
        <f t="shared" si="19"/>
        <v>0</v>
      </c>
      <c r="AF232" s="136">
        <f t="shared" si="19"/>
        <v>0</v>
      </c>
      <c r="AG232" s="145">
        <f t="shared" si="19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239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240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241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242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243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244</v>
      </c>
      <c r="B241" s="160">
        <f>MAX(G89:N89)</f>
        <v>1384.4399999999998</v>
      </c>
      <c r="C241" s="161">
        <f>INDEX(G9:N9,1,MATCH(MAX(G89:N89),G89:N89,0))</f>
        <v>0.375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5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78" t="s">
        <v>245</v>
      </c>
      <c r="B243" s="178"/>
      <c r="C243" s="43"/>
      <c r="D243" s="162" t="str">
        <f ca="1">"Pie Chart of Daily Peak Demand(Inclusive of Export) of Nepal ("&amp;A4&amp;" "&amp;B4&amp;")"</f>
        <v>Pie Chart of Daily Peak Demand(Inclusive of Export) of Nepal (Nepali Date: 2080/02/5)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2080/02/5)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246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247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248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249</v>
      </c>
      <c r="T246" s="170">
        <f t="shared" ref="T246:AX246" si="20">B89</f>
        <v>1185.0400000000002</v>
      </c>
      <c r="U246" s="170">
        <f t="shared" si="20"/>
        <v>1370.74</v>
      </c>
      <c r="V246" s="170">
        <f t="shared" si="20"/>
        <v>1240.01</v>
      </c>
      <c r="W246" s="170">
        <f t="shared" si="20"/>
        <v>1348.54</v>
      </c>
      <c r="X246" s="170">
        <f t="shared" si="20"/>
        <v>1358.54</v>
      </c>
      <c r="Y246" s="170">
        <f t="shared" si="20"/>
        <v>1264.04</v>
      </c>
      <c r="Z246" s="170">
        <f t="shared" si="20"/>
        <v>1308.74</v>
      </c>
      <c r="AA246" s="170">
        <f t="shared" si="20"/>
        <v>1310.1399999999999</v>
      </c>
      <c r="AB246" s="170">
        <f t="shared" si="20"/>
        <v>1329.8400000000001</v>
      </c>
      <c r="AC246" s="170">
        <f t="shared" si="20"/>
        <v>1335.74</v>
      </c>
      <c r="AD246" s="170">
        <f t="shared" si="20"/>
        <v>1331.7400000000002</v>
      </c>
      <c r="AE246" s="170">
        <f t="shared" si="20"/>
        <v>1364.94</v>
      </c>
      <c r="AF246" s="170">
        <f t="shared" si="20"/>
        <v>1384.4399999999998</v>
      </c>
      <c r="AG246" s="170">
        <f t="shared" si="20"/>
        <v>1392.1399999999999</v>
      </c>
      <c r="AH246" s="170">
        <f t="shared" si="20"/>
        <v>1458.8400000000001</v>
      </c>
      <c r="AI246" s="170">
        <f t="shared" si="20"/>
        <v>1446.94</v>
      </c>
      <c r="AJ246" s="170">
        <f t="shared" si="20"/>
        <v>1478.3400000000001</v>
      </c>
      <c r="AK246" s="170">
        <f t="shared" si="20"/>
        <v>1467.6400000000003</v>
      </c>
      <c r="AL246" s="170">
        <f t="shared" si="20"/>
        <v>1460.9400000000003</v>
      </c>
      <c r="AM246" s="170">
        <f t="shared" si="20"/>
        <v>1481.3400000000001</v>
      </c>
      <c r="AN246" s="170">
        <f t="shared" si="20"/>
        <v>1430.5400000000002</v>
      </c>
      <c r="AO246" s="170">
        <f t="shared" si="20"/>
        <v>1378.94</v>
      </c>
      <c r="AP246" s="170">
        <f t="shared" si="20"/>
        <v>1419.3400000000001</v>
      </c>
      <c r="AQ246" s="170">
        <f t="shared" si="20"/>
        <v>1328.94</v>
      </c>
      <c r="AR246" s="170">
        <f t="shared" si="20"/>
        <v>1393.24</v>
      </c>
      <c r="AS246" s="170">
        <f t="shared" si="20"/>
        <v>1366.64</v>
      </c>
      <c r="AT246" s="170">
        <f t="shared" si="20"/>
        <v>1336.64</v>
      </c>
      <c r="AU246" s="170">
        <f t="shared" si="20"/>
        <v>1336.64</v>
      </c>
      <c r="AV246" s="170">
        <f t="shared" si="20"/>
        <v>1346.64</v>
      </c>
      <c r="AW246" s="170">
        <f t="shared" si="20"/>
        <v>1303.74</v>
      </c>
      <c r="AX246" s="170">
        <f t="shared" si="20"/>
        <v>1346.74</v>
      </c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251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252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253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239</v>
      </c>
      <c r="B267" s="173">
        <f t="shared" ref="B267:AE267" si="21">C231</f>
        <v>0.64</v>
      </c>
      <c r="C267" s="173">
        <f t="shared" si="21"/>
        <v>0.64</v>
      </c>
      <c r="D267" s="173">
        <f t="shared" si="21"/>
        <v>0.64</v>
      </c>
      <c r="E267" s="173">
        <f t="shared" si="21"/>
        <v>0.64</v>
      </c>
      <c r="F267" s="173">
        <f t="shared" si="21"/>
        <v>0.64</v>
      </c>
      <c r="G267" s="173">
        <f t="shared" si="21"/>
        <v>0.64</v>
      </c>
      <c r="H267" s="173">
        <f t="shared" si="21"/>
        <v>0.64</v>
      </c>
      <c r="I267" s="173">
        <f t="shared" si="21"/>
        <v>0.64</v>
      </c>
      <c r="J267" s="173">
        <f t="shared" si="21"/>
        <v>0.64</v>
      </c>
      <c r="K267" s="173">
        <f t="shared" si="21"/>
        <v>0.64</v>
      </c>
      <c r="L267" s="173">
        <f t="shared" si="21"/>
        <v>0.64</v>
      </c>
      <c r="M267" s="173">
        <f t="shared" si="21"/>
        <v>0.64</v>
      </c>
      <c r="N267" s="173">
        <f t="shared" si="21"/>
        <v>0.64</v>
      </c>
      <c r="O267" s="173">
        <f t="shared" si="21"/>
        <v>0.64</v>
      </c>
      <c r="P267" s="173">
        <f t="shared" si="21"/>
        <v>0</v>
      </c>
      <c r="Q267" s="173">
        <f t="shared" si="21"/>
        <v>0</v>
      </c>
      <c r="R267" s="173">
        <f t="shared" si="21"/>
        <v>0</v>
      </c>
      <c r="S267" s="173">
        <f t="shared" si="21"/>
        <v>0</v>
      </c>
      <c r="T267" s="173">
        <f t="shared" si="21"/>
        <v>0</v>
      </c>
      <c r="U267" s="173">
        <f t="shared" si="21"/>
        <v>0</v>
      </c>
      <c r="V267" s="173">
        <f t="shared" si="21"/>
        <v>0</v>
      </c>
      <c r="W267" s="173">
        <f t="shared" si="21"/>
        <v>0</v>
      </c>
      <c r="X267" s="173">
        <f t="shared" si="21"/>
        <v>0</v>
      </c>
      <c r="Y267" s="173">
        <f t="shared" si="21"/>
        <v>0</v>
      </c>
      <c r="Z267" s="173">
        <f t="shared" si="21"/>
        <v>0</v>
      </c>
      <c r="AA267" s="173">
        <f t="shared" si="21"/>
        <v>0</v>
      </c>
      <c r="AB267" s="173">
        <f t="shared" si="21"/>
        <v>0</v>
      </c>
      <c r="AC267" s="173">
        <f t="shared" si="21"/>
        <v>0</v>
      </c>
      <c r="AD267" s="173">
        <f t="shared" si="21"/>
        <v>0</v>
      </c>
      <c r="AE267" s="173">
        <f t="shared" si="21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2">IF(B235&lt;100,"",B235-520)</f>
        <v/>
      </c>
      <c r="C268" s="174" t="str">
        <f t="shared" si="22"/>
        <v/>
      </c>
      <c r="D268" s="174" t="str">
        <f t="shared" si="22"/>
        <v/>
      </c>
      <c r="E268" s="174" t="str">
        <f t="shared" si="22"/>
        <v/>
      </c>
      <c r="F268" s="174" t="str">
        <f t="shared" si="22"/>
        <v/>
      </c>
      <c r="G268" s="174" t="str">
        <f t="shared" si="22"/>
        <v/>
      </c>
      <c r="H268" s="174" t="str">
        <f t="shared" si="22"/>
        <v/>
      </c>
      <c r="I268" s="174" t="str">
        <f t="shared" si="22"/>
        <v/>
      </c>
      <c r="J268" s="174" t="str">
        <f t="shared" si="22"/>
        <v/>
      </c>
      <c r="K268" s="174" t="str">
        <f t="shared" si="22"/>
        <v/>
      </c>
      <c r="L268" s="174" t="str">
        <f t="shared" si="22"/>
        <v/>
      </c>
      <c r="M268" s="174" t="str">
        <f t="shared" si="22"/>
        <v/>
      </c>
      <c r="N268" s="174" t="str">
        <f t="shared" si="22"/>
        <v/>
      </c>
      <c r="O268" s="174" t="str">
        <f t="shared" si="22"/>
        <v/>
      </c>
      <c r="P268" s="174" t="str">
        <f t="shared" si="22"/>
        <v/>
      </c>
      <c r="Q268" s="174" t="str">
        <f t="shared" si="22"/>
        <v/>
      </c>
      <c r="R268" s="174" t="str">
        <f t="shared" si="22"/>
        <v/>
      </c>
      <c r="S268" s="174" t="str">
        <f t="shared" si="22"/>
        <v/>
      </c>
      <c r="T268" s="174" t="str">
        <f t="shared" si="22"/>
        <v/>
      </c>
      <c r="U268" s="174" t="str">
        <f t="shared" si="22"/>
        <v/>
      </c>
      <c r="V268" s="174" t="str">
        <f t="shared" si="22"/>
        <v/>
      </c>
      <c r="W268" s="174" t="str">
        <f t="shared" si="22"/>
        <v/>
      </c>
      <c r="X268" s="174" t="str">
        <f t="shared" si="22"/>
        <v/>
      </c>
      <c r="Y268" s="174" t="str">
        <f t="shared" si="22"/>
        <v/>
      </c>
      <c r="Z268" s="174" t="str">
        <f t="shared" si="22"/>
        <v/>
      </c>
      <c r="AA268" s="174" t="str">
        <f t="shared" si="22"/>
        <v/>
      </c>
      <c r="AB268" s="174" t="str">
        <f t="shared" si="22"/>
        <v/>
      </c>
      <c r="AC268" s="174" t="str">
        <f t="shared" si="22"/>
        <v/>
      </c>
      <c r="AD268" s="174" t="str">
        <f t="shared" si="22"/>
        <v/>
      </c>
      <c r="AE268" s="174" t="str">
        <f t="shared" si="22"/>
        <v/>
      </c>
      <c r="AF268" s="174" t="str">
        <f t="shared" si="22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3">IF(B236&lt;100,"",B236-620)</f>
        <v/>
      </c>
      <c r="C269" s="174" t="str">
        <f t="shared" si="23"/>
        <v/>
      </c>
      <c r="D269" s="174" t="str">
        <f t="shared" si="23"/>
        <v/>
      </c>
      <c r="E269" s="174" t="str">
        <f t="shared" si="23"/>
        <v/>
      </c>
      <c r="F269" s="174" t="str">
        <f t="shared" si="23"/>
        <v/>
      </c>
      <c r="G269" s="174" t="str">
        <f t="shared" si="23"/>
        <v/>
      </c>
      <c r="H269" s="174" t="str">
        <f t="shared" si="23"/>
        <v/>
      </c>
      <c r="I269" s="174" t="str">
        <f t="shared" si="23"/>
        <v/>
      </c>
      <c r="J269" s="174" t="str">
        <f t="shared" si="23"/>
        <v/>
      </c>
      <c r="K269" s="174" t="str">
        <f t="shared" si="23"/>
        <v/>
      </c>
      <c r="L269" s="174" t="str">
        <f t="shared" si="23"/>
        <v/>
      </c>
      <c r="M269" s="174" t="str">
        <f t="shared" si="23"/>
        <v/>
      </c>
      <c r="N269" s="174" t="str">
        <f t="shared" si="23"/>
        <v/>
      </c>
      <c r="O269" s="174" t="str">
        <f t="shared" si="23"/>
        <v/>
      </c>
      <c r="P269" s="174" t="str">
        <f t="shared" si="23"/>
        <v/>
      </c>
      <c r="Q269" s="174" t="str">
        <f t="shared" si="23"/>
        <v/>
      </c>
      <c r="R269" s="174" t="str">
        <f t="shared" si="23"/>
        <v/>
      </c>
      <c r="S269" s="174" t="str">
        <f t="shared" si="23"/>
        <v/>
      </c>
      <c r="T269" s="174" t="str">
        <f t="shared" si="23"/>
        <v/>
      </c>
      <c r="U269" s="174" t="str">
        <f t="shared" si="23"/>
        <v/>
      </c>
      <c r="V269" s="174" t="str">
        <f t="shared" si="23"/>
        <v/>
      </c>
      <c r="W269" s="174" t="str">
        <f t="shared" si="23"/>
        <v/>
      </c>
      <c r="X269" s="174" t="str">
        <f t="shared" si="23"/>
        <v/>
      </c>
      <c r="Y269" s="174" t="str">
        <f t="shared" si="23"/>
        <v/>
      </c>
      <c r="Z269" s="174" t="str">
        <f t="shared" si="23"/>
        <v/>
      </c>
      <c r="AA269" s="174" t="str">
        <f t="shared" si="23"/>
        <v/>
      </c>
      <c r="AB269" s="174" t="str">
        <f t="shared" si="23"/>
        <v/>
      </c>
      <c r="AC269" s="174" t="str">
        <f t="shared" si="23"/>
        <v/>
      </c>
      <c r="AD269" s="174" t="str">
        <f t="shared" si="23"/>
        <v/>
      </c>
      <c r="AE269" s="174" t="str">
        <f t="shared" si="23"/>
        <v/>
      </c>
      <c r="AF269" s="174" t="str">
        <f t="shared" si="23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4">IF(B237&lt;100,"",B237-330)</f>
        <v/>
      </c>
      <c r="C270" s="174" t="str">
        <f t="shared" si="24"/>
        <v/>
      </c>
      <c r="D270" s="174" t="str">
        <f t="shared" si="24"/>
        <v/>
      </c>
      <c r="E270" s="174" t="str">
        <f t="shared" si="24"/>
        <v/>
      </c>
      <c r="F270" s="174" t="str">
        <f t="shared" si="24"/>
        <v/>
      </c>
      <c r="G270" s="174" t="str">
        <f t="shared" si="24"/>
        <v/>
      </c>
      <c r="H270" s="174" t="str">
        <f t="shared" si="24"/>
        <v/>
      </c>
      <c r="I270" s="174" t="str">
        <f t="shared" si="24"/>
        <v/>
      </c>
      <c r="J270" s="174" t="str">
        <f t="shared" si="24"/>
        <v/>
      </c>
      <c r="K270" s="174" t="str">
        <f t="shared" si="24"/>
        <v/>
      </c>
      <c r="L270" s="174" t="str">
        <f t="shared" si="24"/>
        <v/>
      </c>
      <c r="M270" s="174" t="str">
        <f t="shared" si="24"/>
        <v/>
      </c>
      <c r="N270" s="174" t="str">
        <f t="shared" si="24"/>
        <v/>
      </c>
      <c r="O270" s="174" t="str">
        <f t="shared" si="24"/>
        <v/>
      </c>
      <c r="P270" s="174" t="str">
        <f t="shared" si="24"/>
        <v/>
      </c>
      <c r="Q270" s="174" t="str">
        <f t="shared" si="24"/>
        <v/>
      </c>
      <c r="R270" s="174" t="str">
        <f t="shared" si="24"/>
        <v/>
      </c>
      <c r="S270" s="174" t="str">
        <f t="shared" si="24"/>
        <v/>
      </c>
      <c r="T270" s="174" t="str">
        <f t="shared" si="24"/>
        <v/>
      </c>
      <c r="U270" s="174" t="str">
        <f t="shared" si="24"/>
        <v/>
      </c>
      <c r="V270" s="174" t="str">
        <f t="shared" si="24"/>
        <v/>
      </c>
      <c r="W270" s="174" t="str">
        <f t="shared" si="24"/>
        <v/>
      </c>
      <c r="X270" s="174" t="str">
        <f t="shared" si="24"/>
        <v/>
      </c>
      <c r="Y270" s="174" t="str">
        <f t="shared" si="24"/>
        <v/>
      </c>
      <c r="Z270" s="174" t="str">
        <f t="shared" si="24"/>
        <v/>
      </c>
      <c r="AA270" s="174" t="str">
        <f t="shared" si="24"/>
        <v/>
      </c>
      <c r="AB270" s="174" t="str">
        <f t="shared" si="24"/>
        <v/>
      </c>
      <c r="AC270" s="174" t="str">
        <f t="shared" si="24"/>
        <v/>
      </c>
      <c r="AD270" s="174" t="str">
        <f t="shared" si="24"/>
        <v/>
      </c>
      <c r="AE270" s="174" t="str">
        <f t="shared" si="24"/>
        <v/>
      </c>
      <c r="AF270" s="174" t="str">
        <f t="shared" si="24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5">IF(B238&lt;100,"",B238-1500)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11:AF116 D109:AF109">
    <cfRule type="expression" dxfId="12281" priority="339">
      <formula>B$9&gt;=20/24</formula>
    </cfRule>
    <cfRule type="expression" dxfId="12280" priority="340">
      <formula>AND(B$9&gt;=14/24,B$9&lt;20/24)</formula>
    </cfRule>
    <cfRule type="expression" dxfId="12279" priority="341">
      <formula>AND(B$9&gt;=8/24,B$9&lt;14/24)</formula>
    </cfRule>
    <cfRule type="expression" dxfId="12278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2277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2276" priority="336">
      <formula>$AH12=0</formula>
    </cfRule>
  </conditionalFormatting>
  <conditionalFormatting sqref="A114">
    <cfRule type="expression" dxfId="12275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2274" priority="333">
      <formula>$AH45=0</formula>
    </cfRule>
  </conditionalFormatting>
  <conditionalFormatting sqref="A98">
    <cfRule type="expression" dxfId="12273" priority="332">
      <formula>$AH98=0</formula>
    </cfRule>
  </conditionalFormatting>
  <conditionalFormatting sqref="A18">
    <cfRule type="expression" dxfId="12272" priority="331">
      <formula>$AH18=0</formula>
    </cfRule>
  </conditionalFormatting>
  <conditionalFormatting sqref="A196:A201">
    <cfRule type="expression" dxfId="12271" priority="330">
      <formula>$AH196=0</formula>
    </cfRule>
  </conditionalFormatting>
  <conditionalFormatting sqref="A190:A195">
    <cfRule type="expression" dxfId="12270" priority="329">
      <formula>$AH190=0</formula>
    </cfRule>
  </conditionalFormatting>
  <conditionalFormatting sqref="A58">
    <cfRule type="expression" dxfId="12269" priority="328">
      <formula>$AH58=0</formula>
    </cfRule>
  </conditionalFormatting>
  <conditionalFormatting sqref="A94">
    <cfRule type="expression" dxfId="12268" priority="327">
      <formula>$AH94=0</formula>
    </cfRule>
  </conditionalFormatting>
  <conditionalFormatting sqref="E99:X99 AD99:AF99">
    <cfRule type="expression" dxfId="12267" priority="323">
      <formula>E$9&gt;=20/24</formula>
    </cfRule>
    <cfRule type="expression" dxfId="12266" priority="324">
      <formula>AND(E$9&gt;=14/24,E$9&lt;20/24)</formula>
    </cfRule>
    <cfRule type="expression" dxfId="12265" priority="325">
      <formula>AND(E$9&gt;=8/24,E$9&lt;14/24)</formula>
    </cfRule>
    <cfRule type="expression" dxfId="12264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2263" priority="345">
      <formula>C$9&gt;=20/24</formula>
    </cfRule>
    <cfRule type="expression" dxfId="12262" priority="346">
      <formula>AND(C$9&gt;=14/24,C$9&lt;20/24)</formula>
    </cfRule>
    <cfRule type="expression" dxfId="12261" priority="347">
      <formula>AND(C$9&gt;=8/24,C$9&lt;14/24)</formula>
    </cfRule>
    <cfRule type="expression" dxfId="12260" priority="348">
      <formula>C$9&lt;8/24</formula>
    </cfRule>
  </conditionalFormatting>
  <conditionalFormatting sqref="A233">
    <cfRule type="expression" dxfId="12259" priority="349">
      <formula>$AH233=0</formula>
    </cfRule>
  </conditionalFormatting>
  <conditionalFormatting sqref="AG245">
    <cfRule type="expression" dxfId="12258" priority="350">
      <formula>B$9&gt;=20/24</formula>
    </cfRule>
    <cfRule type="expression" dxfId="12257" priority="351">
      <formula>AND(B$9&gt;=14/24,B$9&lt;20/24)</formula>
    </cfRule>
    <cfRule type="expression" dxfId="12256" priority="352">
      <formula>AND(B$9&gt;=8/24,B$9&lt;14/24)</formula>
    </cfRule>
    <cfRule type="expression" dxfId="12255" priority="353">
      <formula>B$9&lt;8/24</formula>
    </cfRule>
  </conditionalFormatting>
  <conditionalFormatting sqref="S8">
    <cfRule type="expression" dxfId="12254" priority="318">
      <formula>U$9&gt;=20/24</formula>
    </cfRule>
    <cfRule type="expression" dxfId="12253" priority="319">
      <formula>AND(U$9&gt;=14/24,U$9&lt;20/24)</formula>
    </cfRule>
    <cfRule type="expression" dxfId="12252" priority="320">
      <formula>AND(U$9&gt;=8/24,U$9&lt;14/24)</formula>
    </cfRule>
    <cfRule type="expression" dxfId="12251" priority="321">
      <formula>U$9&lt;8/24</formula>
    </cfRule>
  </conditionalFormatting>
  <conditionalFormatting sqref="AB8">
    <cfRule type="expression" dxfId="12250" priority="314">
      <formula>AD$9&gt;=20/24</formula>
    </cfRule>
    <cfRule type="expression" dxfId="12249" priority="315">
      <formula>AND(AD$9&gt;=14/24,AD$9&lt;20/24)</formula>
    </cfRule>
    <cfRule type="expression" dxfId="12248" priority="316">
      <formula>AND(AD$9&gt;=8/24,AD$9&lt;14/24)</formula>
    </cfRule>
    <cfRule type="expression" dxfId="12247" priority="317">
      <formula>AD$9&lt;8/24</formula>
    </cfRule>
  </conditionalFormatting>
  <conditionalFormatting sqref="AH245:AX245">
    <cfRule type="expression" dxfId="12246" priority="354">
      <formula>AG$9&gt;=20/24</formula>
    </cfRule>
    <cfRule type="expression" dxfId="12245" priority="355">
      <formula>AND(AG$9&gt;=14/24,AG$9&lt;20/24)</formula>
    </cfRule>
    <cfRule type="expression" dxfId="12244" priority="356">
      <formula>AND(AG$9&gt;=8/24,AG$9&lt;14/24)</formula>
    </cfRule>
    <cfRule type="expression" dxfId="12243" priority="357">
      <formula>AG$9&lt;8/24</formula>
    </cfRule>
  </conditionalFormatting>
  <conditionalFormatting sqref="T245">
    <cfRule type="expression" dxfId="12242" priority="358">
      <formula>AX$9&gt;=20/24</formula>
    </cfRule>
    <cfRule type="expression" dxfId="12241" priority="359">
      <formula>AND(AX$9&gt;=14/24,AX$9&lt;20/24)</formula>
    </cfRule>
    <cfRule type="expression" dxfId="12240" priority="360">
      <formula>AND(AX$9&gt;=8/24,AX$9&lt;14/24)</formula>
    </cfRule>
    <cfRule type="expression" dxfId="12239" priority="361">
      <formula>AX$9&lt;8/24</formula>
    </cfRule>
  </conditionalFormatting>
  <conditionalFormatting sqref="A115:A116">
    <cfRule type="expression" dxfId="12238" priority="313">
      <formula>$AH115=0</formula>
    </cfRule>
  </conditionalFormatting>
  <conditionalFormatting sqref="O54:Q58 R56:Z58 AB54:AF57 I71:AF71">
    <cfRule type="expression" dxfId="12237" priority="309">
      <formula>I$9&gt;=20/24</formula>
    </cfRule>
    <cfRule type="expression" dxfId="12236" priority="310">
      <formula>AND(I$9&gt;=14/24,I$9&lt;20/24)</formula>
    </cfRule>
    <cfRule type="expression" dxfId="12235" priority="311">
      <formula>AND(I$9&gt;=8/24,I$9&lt;14/24)</formula>
    </cfRule>
    <cfRule type="expression" dxfId="12234" priority="312">
      <formula>I$9&lt;8/24</formula>
    </cfRule>
  </conditionalFormatting>
  <conditionalFormatting sqref="O53:Q53 AB53:AF53">
    <cfRule type="expression" dxfId="12233" priority="305">
      <formula>O$9&gt;=20/24</formula>
    </cfRule>
    <cfRule type="expression" dxfId="12232" priority="306">
      <formula>AND(O$9&gt;=14/24,O$9&lt;20/24)</formula>
    </cfRule>
    <cfRule type="expression" dxfId="12231" priority="307">
      <formula>AND(O$9&gt;=8/24,O$9&lt;14/24)</formula>
    </cfRule>
    <cfRule type="expression" dxfId="12230" priority="308">
      <formula>O$9&lt;8/24</formula>
    </cfRule>
  </conditionalFormatting>
  <conditionalFormatting sqref="O53:Q58 R56:Z58 AB53:AF57">
    <cfRule type="expression" dxfId="12229" priority="304">
      <formula>O53&gt;$AG53</formula>
    </cfRule>
  </conditionalFormatting>
  <conditionalFormatting sqref="X96:AF96 X47:AF47 D86:AF86 M100:X106 I72:Z73 Y67:AF69 AA72:AF74 AD100:AF105">
    <cfRule type="expression" dxfId="12228" priority="300">
      <formula>D$9&gt;=20/24</formula>
    </cfRule>
    <cfRule type="expression" dxfId="12227" priority="301">
      <formula>AND(D$9&gt;=14/24,D$9&lt;20/24)</formula>
    </cfRule>
    <cfRule type="expression" dxfId="12226" priority="302">
      <formula>AND(D$9&gt;=8/24,D$9&lt;14/24)</formula>
    </cfRule>
    <cfRule type="expression" dxfId="12225" priority="303">
      <formula>D$9&lt;8/24</formula>
    </cfRule>
  </conditionalFormatting>
  <conditionalFormatting sqref="X47:AF47 Y67:AF69">
    <cfRule type="expression" dxfId="12224" priority="299">
      <formula>X47&gt;$AG47</formula>
    </cfRule>
  </conditionalFormatting>
  <conditionalFormatting sqref="AA53:AA58 R53:Z55">
    <cfRule type="expression" dxfId="12223" priority="295">
      <formula>R$9&gt;=20/24</formula>
    </cfRule>
    <cfRule type="expression" dxfId="12222" priority="296">
      <formula>AND(R$9&gt;=14/24,R$9&lt;20/24)</formula>
    </cfRule>
    <cfRule type="expression" dxfId="12221" priority="297">
      <formula>AND(R$9&gt;=8/24,R$9&lt;14/24)</formula>
    </cfRule>
    <cfRule type="expression" dxfId="12220" priority="298">
      <formula>R$9&lt;8/24</formula>
    </cfRule>
  </conditionalFormatting>
  <conditionalFormatting sqref="AA53:AA58 R53:Z55">
    <cfRule type="expression" dxfId="12219" priority="294">
      <formula>R53&gt;$AG53</formula>
    </cfRule>
  </conditionalFormatting>
  <conditionalFormatting sqref="C97:AF97 D88:AF88">
    <cfRule type="expression" dxfId="12218" priority="290">
      <formula>C$9&gt;=20/24</formula>
    </cfRule>
    <cfRule type="expression" dxfId="12217" priority="291">
      <formula>AND(C$9&gt;=14/24,C$9&lt;20/24)</formula>
    </cfRule>
    <cfRule type="expression" dxfId="12216" priority="292">
      <formula>AND(C$9&gt;=8/24,C$9&lt;14/24)</formula>
    </cfRule>
    <cfRule type="expression" dxfId="12215" priority="293">
      <formula>C$9&lt;8/24</formula>
    </cfRule>
  </conditionalFormatting>
  <conditionalFormatting sqref="T47:W47">
    <cfRule type="expression" dxfId="12214" priority="286">
      <formula>T$9&gt;=20/24</formula>
    </cfRule>
    <cfRule type="expression" dxfId="12213" priority="287">
      <formula>AND(T$9&gt;=14/24,T$9&lt;20/24)</formula>
    </cfRule>
    <cfRule type="expression" dxfId="12212" priority="288">
      <formula>AND(T$9&gt;=8/24,T$9&lt;14/24)</formula>
    </cfRule>
    <cfRule type="expression" dxfId="12211" priority="289">
      <formula>T$9&lt;8/24</formula>
    </cfRule>
  </conditionalFormatting>
  <conditionalFormatting sqref="T47:W47">
    <cfRule type="expression" dxfId="12210" priority="285">
      <formula>T47&gt;$AG47</formula>
    </cfRule>
  </conditionalFormatting>
  <conditionalFormatting sqref="E54:N55">
    <cfRule type="expression" dxfId="12209" priority="281">
      <formula>E$9&gt;=20/24</formula>
    </cfRule>
    <cfRule type="expression" dxfId="12208" priority="282">
      <formula>AND(E$9&gt;=14/24,E$9&lt;20/24)</formula>
    </cfRule>
    <cfRule type="expression" dxfId="12207" priority="283">
      <formula>AND(E$9&gt;=8/24,E$9&lt;14/24)</formula>
    </cfRule>
    <cfRule type="expression" dxfId="12206" priority="284">
      <formula>E$9&lt;8/24</formula>
    </cfRule>
  </conditionalFormatting>
  <conditionalFormatting sqref="E53:N53">
    <cfRule type="expression" dxfId="12205" priority="277">
      <formula>E$9&gt;=20/24</formula>
    </cfRule>
    <cfRule type="expression" dxfId="12204" priority="278">
      <formula>AND(E$9&gt;=14/24,E$9&lt;20/24)</formula>
    </cfRule>
    <cfRule type="expression" dxfId="12203" priority="279">
      <formula>AND(E$9&gt;=8/24,E$9&lt;14/24)</formula>
    </cfRule>
    <cfRule type="expression" dxfId="12202" priority="280">
      <formula>E$9&lt;8/24</formula>
    </cfRule>
  </conditionalFormatting>
  <conditionalFormatting sqref="E53:N55">
    <cfRule type="expression" dxfId="12201" priority="276">
      <formula>E53&gt;$AG53</formula>
    </cfRule>
  </conditionalFormatting>
  <conditionalFormatting sqref="AG70 AG87 E100:L106 Q67:X69">
    <cfRule type="expression" dxfId="12200" priority="272">
      <formula>E$9&gt;=20/24</formula>
    </cfRule>
    <cfRule type="expression" dxfId="12199" priority="273">
      <formula>AND(E$9&gt;=14/24,E$9&lt;20/24)</formula>
    </cfRule>
    <cfRule type="expression" dxfId="12198" priority="274">
      <formula>AND(E$9&gt;=8/24,E$9&lt;14/24)</formula>
    </cfRule>
    <cfRule type="expression" dxfId="12197" priority="275">
      <formula>E$9&lt;8/24</formula>
    </cfRule>
  </conditionalFormatting>
  <conditionalFormatting sqref="AG48 AG66 AG70 Q67:X69">
    <cfRule type="expression" dxfId="12196" priority="271">
      <formula>Q48&gt;$AG48</formula>
    </cfRule>
  </conditionalFormatting>
  <conditionalFormatting sqref="AB58:AF58">
    <cfRule type="expression" dxfId="12195" priority="267">
      <formula>AB$9&gt;=20/24</formula>
    </cfRule>
    <cfRule type="expression" dxfId="12194" priority="268">
      <formula>AND(AB$9&gt;=14/24,AB$9&lt;20/24)</formula>
    </cfRule>
    <cfRule type="expression" dxfId="12193" priority="269">
      <formula>AND(AB$9&gt;=8/24,AB$9&lt;14/24)</formula>
    </cfRule>
    <cfRule type="expression" dxfId="12192" priority="270">
      <formula>AB$9&lt;8/24</formula>
    </cfRule>
  </conditionalFormatting>
  <conditionalFormatting sqref="AB58:AF58">
    <cfRule type="expression" dxfId="12191" priority="266">
      <formula>AB58&gt;$AG58</formula>
    </cfRule>
  </conditionalFormatting>
  <conditionalFormatting sqref="A43">
    <cfRule type="expression" dxfId="12190" priority="265">
      <formula>$AH43=0</formula>
    </cfRule>
  </conditionalFormatting>
  <conditionalFormatting sqref="X91:AF95">
    <cfRule type="expression" dxfId="12189" priority="261">
      <formula>X$9&gt;=20/24</formula>
    </cfRule>
    <cfRule type="expression" dxfId="12188" priority="262">
      <formula>AND(X$9&gt;=14/24,X$9&lt;20/24)</formula>
    </cfRule>
    <cfRule type="expression" dxfId="12187" priority="263">
      <formula>AND(X$9&gt;=8/24,X$9&lt;14/24)</formula>
    </cfRule>
    <cfRule type="expression" dxfId="12186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I49:N49 O49:AF51">
    <cfRule type="expression" dxfId="12185" priority="257">
      <formula>I$9&gt;=20/24</formula>
    </cfRule>
    <cfRule type="expression" dxfId="12184" priority="258">
      <formula>AND(I$9&gt;=14/24,I$9&lt;20/24)</formula>
    </cfRule>
    <cfRule type="expression" dxfId="12183" priority="259">
      <formula>AND(I$9&gt;=8/24,I$9&lt;14/24)</formula>
    </cfRule>
    <cfRule type="expression" dxfId="12182" priority="260">
      <formula>I$9&lt;8/24</formula>
    </cfRule>
  </conditionalFormatting>
  <conditionalFormatting sqref="I49:N49 O49:AF51">
    <cfRule type="expression" dxfId="12181" priority="256">
      <formula>I49&gt;$AG49</formula>
    </cfRule>
  </conditionalFormatting>
  <conditionalFormatting sqref="AG52">
    <cfRule type="expression" dxfId="12180" priority="252">
      <formula>AG$9&gt;=20/24</formula>
    </cfRule>
    <cfRule type="expression" dxfId="12179" priority="253">
      <formula>AND(AG$9&gt;=14/24,AG$9&lt;20/24)</formula>
    </cfRule>
    <cfRule type="expression" dxfId="12178" priority="254">
      <formula>AND(AG$9&gt;=8/24,AG$9&lt;14/24)</formula>
    </cfRule>
    <cfRule type="expression" dxfId="12177" priority="255">
      <formula>AG$9&lt;8/24</formula>
    </cfRule>
  </conditionalFormatting>
  <conditionalFormatting sqref="AG52">
    <cfRule type="expression" dxfId="12176" priority="251">
      <formula>AG52&gt;$AG52</formula>
    </cfRule>
  </conditionalFormatting>
  <conditionalFormatting sqref="C107:AF107">
    <cfRule type="expression" dxfId="12175" priority="247">
      <formula>C$9&gt;=20/24</formula>
    </cfRule>
    <cfRule type="expression" dxfId="12174" priority="248">
      <formula>AND(C$9&gt;=14/24,C$9&lt;20/24)</formula>
    </cfRule>
    <cfRule type="expression" dxfId="12173" priority="249">
      <formula>AND(C$9&gt;=8/24,C$9&lt;14/24)</formula>
    </cfRule>
    <cfRule type="expression" dxfId="12172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2171" priority="245">
      <formula>$AH40=0</formula>
    </cfRule>
  </conditionalFormatting>
  <conditionalFormatting sqref="A90">
    <cfRule type="expression" dxfId="12170" priority="243">
      <formula>$AH90=0</formula>
    </cfRule>
  </conditionalFormatting>
  <conditionalFormatting sqref="A87">
    <cfRule type="expression" dxfId="12169" priority="244">
      <formula>$AH87=0</formula>
    </cfRule>
  </conditionalFormatting>
  <conditionalFormatting sqref="D110:AF110">
    <cfRule type="expression" dxfId="12168" priority="239">
      <formula>D$9&gt;=20/24</formula>
    </cfRule>
    <cfRule type="expression" dxfId="12167" priority="240">
      <formula>AND(D$9&gt;=14/24,D$9&lt;20/24)</formula>
    </cfRule>
    <cfRule type="expression" dxfId="12166" priority="241">
      <formula>AND(D$9&gt;=8/24,D$9&lt;14/24)</formula>
    </cfRule>
    <cfRule type="expression" dxfId="12165" priority="242">
      <formula>D$9&lt;8/24</formula>
    </cfRule>
  </conditionalFormatting>
  <conditionalFormatting sqref="A110">
    <cfRule type="expression" dxfId="12164" priority="238">
      <formula>$AH110=0</formula>
    </cfRule>
  </conditionalFormatting>
  <conditionalFormatting sqref="A21">
    <cfRule type="expression" dxfId="12163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2162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2161" priority="230">
      <formula>Y$9&gt;=20/24</formula>
    </cfRule>
    <cfRule type="expression" dxfId="12160" priority="231">
      <formula>AND(Y$9&gt;=14/24,Y$9&lt;20/24)</formula>
    </cfRule>
    <cfRule type="expression" dxfId="12159" priority="232">
      <formula>AND(Y$9&gt;=8/24,Y$9&lt;14/24)</formula>
    </cfRule>
    <cfRule type="expression" dxfId="12158" priority="233">
      <formula>Y$9&lt;8/24</formula>
    </cfRule>
  </conditionalFormatting>
  <conditionalFormatting sqref="Y100:AC106 AD106:AF106">
    <cfRule type="expression" dxfId="12157" priority="226">
      <formula>Y$9&gt;=20/24</formula>
    </cfRule>
    <cfRule type="expression" dxfId="12156" priority="227">
      <formula>AND(Y$9&gt;=14/24,Y$9&lt;20/24)</formula>
    </cfRule>
    <cfRule type="expression" dxfId="12155" priority="228">
      <formula>AND(Y$9&gt;=8/24,Y$9&lt;14/24)</formula>
    </cfRule>
    <cfRule type="expression" dxfId="12154" priority="229">
      <formula>Y$9&lt;8/24</formula>
    </cfRule>
  </conditionalFormatting>
  <conditionalFormatting sqref="C109 C111:C116 X21:AA21 AA17:AA20 X18:Z18 AA22:AA32 X37:Z37 X25:Z25 AA34:AF43 AB17:AF32">
    <cfRule type="expression" dxfId="12153" priority="222">
      <formula>C$9&gt;=20/24</formula>
    </cfRule>
    <cfRule type="expression" dxfId="12152" priority="223">
      <formula>AND(C$9&gt;=14/24,C$9&lt;20/24)</formula>
    </cfRule>
    <cfRule type="expression" dxfId="12151" priority="224">
      <formula>AND(C$9&gt;=8/24,C$9&lt;14/24)</formula>
    </cfRule>
    <cfRule type="expression" dxfId="12150" priority="225">
      <formula>C$9&lt;8/24</formula>
    </cfRule>
  </conditionalFormatting>
  <conditionalFormatting sqref="C47:S47">
    <cfRule type="expression" dxfId="12149" priority="218">
      <formula>C$9&gt;=20/24</formula>
    </cfRule>
    <cfRule type="expression" dxfId="12148" priority="219">
      <formula>AND(C$9&gt;=14/24,C$9&lt;20/24)</formula>
    </cfRule>
    <cfRule type="expression" dxfId="12147" priority="220">
      <formula>AND(C$9&gt;=8/24,C$9&lt;14/24)</formula>
    </cfRule>
    <cfRule type="expression" dxfId="12146" priority="221">
      <formula>C$9&lt;8/24</formula>
    </cfRule>
  </conditionalFormatting>
  <conditionalFormatting sqref="C47:S47 X21:AA21 AA17:AA20 X18:Z18 AA22:AA32 X37:Z37 X25:Z25 AA34:AF43 AB17:AF32">
    <cfRule type="expression" dxfId="12145" priority="217">
      <formula>C17&gt;$AG17</formula>
    </cfRule>
  </conditionalFormatting>
  <conditionalFormatting sqref="C99:D99">
    <cfRule type="expression" dxfId="12144" priority="213">
      <formula>C$9&gt;=20/24</formula>
    </cfRule>
    <cfRule type="expression" dxfId="12143" priority="214">
      <formula>AND(C$9&gt;=14/24,C$9&lt;20/24)</formula>
    </cfRule>
    <cfRule type="expression" dxfId="12142" priority="215">
      <formula>AND(C$9&gt;=8/24,C$9&lt;14/24)</formula>
    </cfRule>
    <cfRule type="expression" dxfId="12141" priority="216">
      <formula>C$9&lt;8/24</formula>
    </cfRule>
  </conditionalFormatting>
  <conditionalFormatting sqref="C86 D100:D106 M75:O76 J74:O74 C96:W96 C83:AF85 I67:P69 P74:Z76 AA75:AF76">
    <cfRule type="expression" dxfId="12140" priority="209">
      <formula>C$9&gt;=20/24</formula>
    </cfRule>
    <cfRule type="expression" dxfId="12139" priority="210">
      <formula>AND(C$9&gt;=14/24,C$9&lt;20/24)</formula>
    </cfRule>
    <cfRule type="expression" dxfId="12138" priority="211">
      <formula>AND(C$9&gt;=8/24,C$9&lt;14/24)</formula>
    </cfRule>
    <cfRule type="expression" dxfId="12137" priority="212">
      <formula>C$9&lt;8/24</formula>
    </cfRule>
  </conditionalFormatting>
  <conditionalFormatting sqref="E56:N56 I67:P69">
    <cfRule type="expression" dxfId="12136" priority="208">
      <formula>E56&gt;$AG56</formula>
    </cfRule>
  </conditionalFormatting>
  <conditionalFormatting sqref="B54:D57 B71:H71 E57:N57">
    <cfRule type="expression" dxfId="12135" priority="132">
      <formula>B$9&gt;=20/24</formula>
    </cfRule>
    <cfRule type="expression" dxfId="12134" priority="133">
      <formula>AND(B$9&gt;=14/24,B$9&lt;20/24)</formula>
    </cfRule>
    <cfRule type="expression" dxfId="12133" priority="134">
      <formula>AND(B$9&gt;=8/24,B$9&lt;14/24)</formula>
    </cfRule>
    <cfRule type="expression" dxfId="12132" priority="135">
      <formula>B$9&lt;8/24</formula>
    </cfRule>
  </conditionalFormatting>
  <conditionalFormatting sqref="C98:AF98 C87:AF87 C89:AF89 C70:AF70">
    <cfRule type="expression" dxfId="12131" priority="199">
      <formula>C$9&gt;=20/24</formula>
    </cfRule>
    <cfRule type="expression" dxfId="12130" priority="200">
      <formula>AND(C$9&gt;=14/24,C$9&lt;20/24)</formula>
    </cfRule>
    <cfRule type="expression" dxfId="12129" priority="201">
      <formula>AND(C$9&gt;=8/24,C$9&lt;14/24)</formula>
    </cfRule>
    <cfRule type="expression" dxfId="12128" priority="202">
      <formula>C$9&lt;8/24</formula>
    </cfRule>
  </conditionalFormatting>
  <conditionalFormatting sqref="C70:AF70 C65:AF66">
    <cfRule type="expression" dxfId="12127" priority="198">
      <formula>C65&gt;$AG65</formula>
    </cfRule>
  </conditionalFormatting>
  <conditionalFormatting sqref="C82:AF82">
    <cfRule type="expression" dxfId="12126" priority="194">
      <formula>C$9&gt;=20/24</formula>
    </cfRule>
    <cfRule type="expression" dxfId="12125" priority="195">
      <formula>AND(C$9&gt;=14/24,C$9&lt;20/24)</formula>
    </cfRule>
    <cfRule type="expression" dxfId="12124" priority="196">
      <formula>AND(C$9&gt;=8/24,C$9&lt;14/24)</formula>
    </cfRule>
    <cfRule type="expression" dxfId="12123" priority="197">
      <formula>C$9&lt;8/24</formula>
    </cfRule>
  </conditionalFormatting>
  <conditionalFormatting sqref="C91:W95">
    <cfRule type="expression" dxfId="12122" priority="190">
      <formula>C$9&gt;=20/24</formula>
    </cfRule>
    <cfRule type="expression" dxfId="12121" priority="191">
      <formula>AND(C$9&gt;=14/24,C$9&lt;20/24)</formula>
    </cfRule>
    <cfRule type="expression" dxfId="12120" priority="192">
      <formula>AND(C$9&gt;=8/24,C$9&lt;14/24)</formula>
    </cfRule>
    <cfRule type="expression" dxfId="12119" priority="193">
      <formula>C$9&lt;8/24</formula>
    </cfRule>
  </conditionalFormatting>
  <conditionalFormatting sqref="C52:AF52">
    <cfRule type="expression" dxfId="12118" priority="186">
      <formula>C$9&gt;=20/24</formula>
    </cfRule>
    <cfRule type="expression" dxfId="12117" priority="187">
      <formula>AND(C$9&gt;=14/24,C$9&lt;20/24)</formula>
    </cfRule>
    <cfRule type="expression" dxfId="12116" priority="188">
      <formula>AND(C$9&gt;=8/24,C$9&lt;14/24)</formula>
    </cfRule>
    <cfRule type="expression" dxfId="12115" priority="189">
      <formula>C$9&lt;8/24</formula>
    </cfRule>
  </conditionalFormatting>
  <conditionalFormatting sqref="C52:AF52">
    <cfRule type="expression" dxfId="12114" priority="185">
      <formula>C52&gt;$AG52</formula>
    </cfRule>
  </conditionalFormatting>
  <conditionalFormatting sqref="B49:H51 I50:N51">
    <cfRule type="expression" dxfId="12113" priority="100">
      <formula>B$9&gt;=20/24</formula>
    </cfRule>
    <cfRule type="expression" dxfId="12112" priority="101">
      <formula>AND(B$9&gt;=14/24,B$9&lt;20/24)</formula>
    </cfRule>
    <cfRule type="expression" dxfId="12111" priority="102">
      <formula>AND(B$9&gt;=8/24,B$9&lt;14/24)</formula>
    </cfRule>
    <cfRule type="expression" dxfId="12110" priority="103">
      <formula>B$9&lt;8/24</formula>
    </cfRule>
  </conditionalFormatting>
  <conditionalFormatting sqref="C110">
    <cfRule type="expression" dxfId="12109" priority="177">
      <formula>C$9&gt;=20/24</formula>
    </cfRule>
    <cfRule type="expression" dxfId="12108" priority="178">
      <formula>AND(C$9&gt;=14/24,C$9&lt;20/24)</formula>
    </cfRule>
    <cfRule type="expression" dxfId="12107" priority="179">
      <formula>AND(C$9&gt;=8/24,C$9&lt;14/24)</formula>
    </cfRule>
    <cfRule type="expression" dxfId="12106" priority="180">
      <formula>C$9&lt;8/24</formula>
    </cfRule>
  </conditionalFormatting>
  <conditionalFormatting sqref="O59:AF64">
    <cfRule type="expression" dxfId="12105" priority="173">
      <formula>O$9&gt;=20/24</formula>
    </cfRule>
    <cfRule type="expression" dxfId="12104" priority="174">
      <formula>AND(O$9&gt;=14/24,O$9&lt;20/24)</formula>
    </cfRule>
    <cfRule type="expression" dxfId="12103" priority="175">
      <formula>AND(O$9&gt;=8/24,O$9&lt;14/24)</formula>
    </cfRule>
    <cfRule type="expression" dxfId="12102" priority="176">
      <formula>O$9&lt;8/24</formula>
    </cfRule>
  </conditionalFormatting>
  <conditionalFormatting sqref="O59:AF64">
    <cfRule type="expression" dxfId="12101" priority="172">
      <formula>O59&gt;$AG59</formula>
    </cfRule>
  </conditionalFormatting>
  <conditionalFormatting sqref="AA45:AF45 AA13:AF15">
    <cfRule type="expression" dxfId="12100" priority="171">
      <formula>AA13&gt;$AG13</formula>
    </cfRule>
  </conditionalFormatting>
  <conditionalFormatting sqref="AA12:AF12">
    <cfRule type="expression" dxfId="12099" priority="167">
      <formula>AA$9&gt;=20/24</formula>
    </cfRule>
    <cfRule type="expression" dxfId="12098" priority="168">
      <formula>AND(AA$9&gt;=14/24,AA$9&lt;20/24)</formula>
    </cfRule>
    <cfRule type="expression" dxfId="12097" priority="169">
      <formula>AND(AA$9&gt;=8/24,AA$9&lt;14/24)</formula>
    </cfRule>
    <cfRule type="expression" dxfId="12096" priority="170">
      <formula>AA$9&lt;8/24</formula>
    </cfRule>
  </conditionalFormatting>
  <conditionalFormatting sqref="AA12:AF12">
    <cfRule type="expression" dxfId="12095" priority="166">
      <formula>AA12&gt;$AG12</formula>
    </cfRule>
  </conditionalFormatting>
  <conditionalFormatting sqref="AA13:AF15">
    <cfRule type="expression" dxfId="12094" priority="162">
      <formula>AA$9&gt;=20/24</formula>
    </cfRule>
    <cfRule type="expression" dxfId="12093" priority="163">
      <formula>AND(AA$9&gt;=14/24,AA$9&lt;20/24)</formula>
    </cfRule>
    <cfRule type="expression" dxfId="12092" priority="164">
      <formula>AND(AA$9&gt;=8/24,AA$9&lt;14/24)</formula>
    </cfRule>
    <cfRule type="expression" dxfId="12091" priority="165">
      <formula>AA$9&lt;8/24</formula>
    </cfRule>
  </conditionalFormatting>
  <conditionalFormatting sqref="AA45:AF45">
    <cfRule type="expression" dxfId="12090" priority="158">
      <formula>AA$9&gt;=20/24</formula>
    </cfRule>
    <cfRule type="expression" dxfId="12089" priority="159">
      <formula>AND(AA$9&gt;=14/24,AA$9&lt;20/24)</formula>
    </cfRule>
    <cfRule type="expression" dxfId="12088" priority="160">
      <formula>AND(AA$9&gt;=8/24,AA$9&lt;14/24)</formula>
    </cfRule>
    <cfRule type="expression" dxfId="12087" priority="161">
      <formula>AA$9&lt;8/24</formula>
    </cfRule>
  </conditionalFormatting>
  <conditionalFormatting sqref="M77:AF81 B80:L80 B78:L78">
    <cfRule type="expression" dxfId="12086" priority="154">
      <formula>B$9&gt;=20/24</formula>
    </cfRule>
    <cfRule type="expression" dxfId="12085" priority="155">
      <formula>AND(B$9&gt;=14/24,B$9&lt;20/24)</formula>
    </cfRule>
    <cfRule type="expression" dxfId="12084" priority="156">
      <formula>AND(B$9&gt;=8/24,B$9&lt;14/24)</formula>
    </cfRule>
    <cfRule type="expression" dxfId="12083" priority="157">
      <formula>B$9&lt;8/24</formula>
    </cfRule>
  </conditionalFormatting>
  <conditionalFormatting sqref="AL78:AN78 AL84:AN84 AN79:AN80">
    <cfRule type="expression" dxfId="12082" priority="150">
      <formula>AL$9&gt;=20/24</formula>
    </cfRule>
    <cfRule type="expression" dxfId="12081" priority="151">
      <formula>AND(AL$9&gt;=14/24,AL$9&lt;20/24)</formula>
    </cfRule>
    <cfRule type="expression" dxfId="12080" priority="152">
      <formula>AND(AL$9&gt;=8/24,AL$9&lt;14/24)</formula>
    </cfRule>
    <cfRule type="expression" dxfId="12079" priority="153">
      <formula>AL$9&lt;8/24</formula>
    </cfRule>
  </conditionalFormatting>
  <conditionalFormatting sqref="AN81:AN82">
    <cfRule type="expression" dxfId="12078" priority="146">
      <formula>AN$9&gt;=20/24</formula>
    </cfRule>
    <cfRule type="expression" dxfId="12077" priority="147">
      <formula>AND(AN$9&gt;=14/24,AN$9&lt;20/24)</formula>
    </cfRule>
    <cfRule type="expression" dxfId="12076" priority="148">
      <formula>AND(AN$9&gt;=8/24,AN$9&lt;14/24)</formula>
    </cfRule>
    <cfRule type="expression" dxfId="12075" priority="149">
      <formula>AN$9&lt;8/24</formula>
    </cfRule>
  </conditionalFormatting>
  <conditionalFormatting sqref="AL79:AM83">
    <cfRule type="expression" dxfId="12074" priority="363">
      <formula>AJ$9&gt;=20/24</formula>
    </cfRule>
    <cfRule type="expression" dxfId="12073" priority="364">
      <formula>AND(AJ$9&gt;=14/24,AJ$9&lt;20/24)</formula>
    </cfRule>
    <cfRule type="expression" dxfId="12072" priority="365">
      <formula>AND(AJ$9&gt;=8/24,AJ$9&lt;14/24)</formula>
    </cfRule>
    <cfRule type="expression" dxfId="12071" priority="366">
      <formula>AJ$9&lt;8/24</formula>
    </cfRule>
  </conditionalFormatting>
  <conditionalFormatting sqref="A117">
    <cfRule type="expression" dxfId="12070" priority="145">
      <formula>$AH117=0</formula>
    </cfRule>
  </conditionalFormatting>
  <conditionalFormatting sqref="B109 B111:B116 B34:W43 B17:W32 B12:Z15 X17:Z17 X19:Z20 X22:Z24 X34:Z36 X26:Z32 X38:Z43 B45:Z45">
    <cfRule type="expression" dxfId="12069" priority="141">
      <formula>B$9&gt;=20/24</formula>
    </cfRule>
    <cfRule type="expression" dxfId="12068" priority="142">
      <formula>AND(B$9&gt;=14/24,B$9&lt;20/24)</formula>
    </cfRule>
    <cfRule type="expression" dxfId="12067" priority="143">
      <formula>AND(B$9&gt;=8/24,B$9&lt;14/24)</formula>
    </cfRule>
    <cfRule type="expression" dxfId="12066" priority="144">
      <formula>B$9&lt;8/24</formula>
    </cfRule>
  </conditionalFormatting>
  <conditionalFormatting sqref="B34:W43 B17:W32 B12:Z15 X17:Z17 X19:Z20 X22:Z24 X34:Z36 X26:Z32 X38:Z43 B45:Z45">
    <cfRule type="expression" dxfId="12065" priority="140">
      <formula>B12&gt;$AG12</formula>
    </cfRule>
  </conditionalFormatting>
  <conditionalFormatting sqref="B99">
    <cfRule type="expression" dxfId="12064" priority="136">
      <formula>B$9&gt;=20/24</formula>
    </cfRule>
    <cfRule type="expression" dxfId="12063" priority="137">
      <formula>AND(B$9&gt;=14/24,B$9&lt;20/24)</formula>
    </cfRule>
    <cfRule type="expression" dxfId="12062" priority="138">
      <formula>AND(B$9&gt;=8/24,B$9&lt;14/24)</formula>
    </cfRule>
    <cfRule type="expression" dxfId="12061" priority="139">
      <formula>B$9&lt;8/24</formula>
    </cfRule>
  </conditionalFormatting>
  <conditionalFormatting sqref="B53:D53">
    <cfRule type="expression" dxfId="12060" priority="128">
      <formula>B$9&gt;=20/24</formula>
    </cfRule>
    <cfRule type="expression" dxfId="12059" priority="129">
      <formula>AND(B$9&gt;=14/24,B$9&lt;20/24)</formula>
    </cfRule>
    <cfRule type="expression" dxfId="12058" priority="130">
      <formula>AND(B$9&gt;=8/24,B$9&lt;14/24)</formula>
    </cfRule>
    <cfRule type="expression" dxfId="12057" priority="131">
      <formula>B$9&lt;8/24</formula>
    </cfRule>
  </conditionalFormatting>
  <conditionalFormatting sqref="B53:D57 E57:N57">
    <cfRule type="expression" dxfId="12056" priority="127">
      <formula>B53&gt;$AG53</formula>
    </cfRule>
  </conditionalFormatting>
  <conditionalFormatting sqref="B96 B86 B47 B100:C106 B67:H69 B72:H74 I74">
    <cfRule type="expression" dxfId="12055" priority="123">
      <formula>B$9&gt;=20/24</formula>
    </cfRule>
    <cfRule type="expression" dxfId="12054" priority="124">
      <formula>AND(B$9&gt;=14/24,B$9&lt;20/24)</formula>
    </cfRule>
    <cfRule type="expression" dxfId="12053" priority="125">
      <formula>AND(B$9&gt;=8/24,B$9&lt;14/24)</formula>
    </cfRule>
    <cfRule type="expression" dxfId="12052" priority="126">
      <formula>B$9&lt;8/24</formula>
    </cfRule>
  </conditionalFormatting>
  <conditionalFormatting sqref="B47 B67:H69">
    <cfRule type="expression" dxfId="12051" priority="122">
      <formula>B47&gt;$AG47</formula>
    </cfRule>
  </conditionalFormatting>
  <conditionalFormatting sqref="B97 B88:C88">
    <cfRule type="expression" dxfId="12050" priority="118">
      <formula>B$9&gt;=20/24</formula>
    </cfRule>
    <cfRule type="expression" dxfId="12049" priority="119">
      <formula>AND(B$9&gt;=14/24,B$9&lt;20/24)</formula>
    </cfRule>
    <cfRule type="expression" dxfId="12048" priority="120">
      <formula>AND(B$9&gt;=8/24,B$9&lt;14/24)</formula>
    </cfRule>
    <cfRule type="expression" dxfId="12047" priority="121">
      <formula>B$9&lt;8/24</formula>
    </cfRule>
  </conditionalFormatting>
  <conditionalFormatting sqref="B46:AF46">
    <cfRule type="expression" dxfId="12046" priority="114">
      <formula>B$9&gt;=20/24</formula>
    </cfRule>
    <cfRule type="expression" dxfId="12045" priority="115">
      <formula>AND(B$9&gt;=14/24,B$9&lt;20/24)</formula>
    </cfRule>
    <cfRule type="expression" dxfId="12044" priority="116">
      <formula>AND(B$9&gt;=8/24,B$9&lt;14/24)</formula>
    </cfRule>
    <cfRule type="expression" dxfId="12043" priority="117">
      <formula>B$9&lt;8/24</formula>
    </cfRule>
  </conditionalFormatting>
  <conditionalFormatting sqref="B46:AF46">
    <cfRule type="expression" dxfId="12042" priority="113">
      <formula>B46&gt;$AG46</formula>
    </cfRule>
  </conditionalFormatting>
  <conditionalFormatting sqref="B58:N58">
    <cfRule type="expression" dxfId="12041" priority="109">
      <formula>B$9&gt;=20/24</formula>
    </cfRule>
    <cfRule type="expression" dxfId="12040" priority="110">
      <formula>AND(B$9&gt;=14/24,B$9&lt;20/24)</formula>
    </cfRule>
    <cfRule type="expression" dxfId="12039" priority="111">
      <formula>AND(B$9&gt;=8/24,B$9&lt;14/24)</formula>
    </cfRule>
    <cfRule type="expression" dxfId="12038" priority="112">
      <formula>B$9&lt;8/24</formula>
    </cfRule>
  </conditionalFormatting>
  <conditionalFormatting sqref="B58:N58">
    <cfRule type="expression" dxfId="12037" priority="108">
      <formula>B58&gt;$AG58</formula>
    </cfRule>
  </conditionalFormatting>
  <conditionalFormatting sqref="B91:B95">
    <cfRule type="expression" dxfId="12036" priority="104">
      <formula>B$9&gt;=20/24</formula>
    </cfRule>
    <cfRule type="expression" dxfId="12035" priority="105">
      <formula>AND(B$9&gt;=14/24,B$9&lt;20/24)</formula>
    </cfRule>
    <cfRule type="expression" dxfId="12034" priority="106">
      <formula>AND(B$9&gt;=8/24,B$9&lt;14/24)</formula>
    </cfRule>
    <cfRule type="expression" dxfId="12033" priority="107">
      <formula>B$9&lt;8/24</formula>
    </cfRule>
  </conditionalFormatting>
  <conditionalFormatting sqref="B49:H51 I50:N51">
    <cfRule type="expression" dxfId="12032" priority="99">
      <formula>B49&gt;$AG49</formula>
    </cfRule>
  </conditionalFormatting>
  <conditionalFormatting sqref="B107">
    <cfRule type="expression" dxfId="12031" priority="95">
      <formula>B$9&gt;=20/24</formula>
    </cfRule>
    <cfRule type="expression" dxfId="12030" priority="96">
      <formula>AND(B$9&gt;=14/24,B$9&lt;20/24)</formula>
    </cfRule>
    <cfRule type="expression" dxfId="12029" priority="97">
      <formula>AND(B$9&gt;=8/24,B$9&lt;14/24)</formula>
    </cfRule>
    <cfRule type="expression" dxfId="12028" priority="98">
      <formula>B$9&lt;8/24</formula>
    </cfRule>
  </conditionalFormatting>
  <conditionalFormatting sqref="B110">
    <cfRule type="expression" dxfId="12027" priority="91">
      <formula>B$9&gt;=20/24</formula>
    </cfRule>
    <cfRule type="expression" dxfId="12026" priority="92">
      <formula>AND(B$9&gt;=14/24,B$9&lt;20/24)</formula>
    </cfRule>
    <cfRule type="expression" dxfId="12025" priority="93">
      <formula>AND(B$9&gt;=8/24,B$9&lt;14/24)</formula>
    </cfRule>
    <cfRule type="expression" dxfId="12024" priority="94">
      <formula>B$9&lt;8/24</formula>
    </cfRule>
  </conditionalFormatting>
  <conditionalFormatting sqref="B83:B85 B75:L76">
    <cfRule type="expression" dxfId="12023" priority="87">
      <formula>B$9&gt;=20/24</formula>
    </cfRule>
    <cfRule type="expression" dxfId="12022" priority="88">
      <formula>AND(B$9&gt;=14/24,B$9&lt;20/24)</formula>
    </cfRule>
    <cfRule type="expression" dxfId="12021" priority="89">
      <formula>AND(B$9&gt;=8/24,B$9&lt;14/24)</formula>
    </cfRule>
    <cfRule type="expression" dxfId="12020" priority="90">
      <formula>B$9&lt;8/24</formula>
    </cfRule>
  </conditionalFormatting>
  <conditionalFormatting sqref="B89 B98 B70 B87">
    <cfRule type="expression" dxfId="12019" priority="83">
      <formula>B$9&gt;=20/24</formula>
    </cfRule>
    <cfRule type="expression" dxfId="12018" priority="84">
      <formula>AND(B$9&gt;=14/24,B$9&lt;20/24)</formula>
    </cfRule>
    <cfRule type="expression" dxfId="12017" priority="85">
      <formula>AND(B$9&gt;=8/24,B$9&lt;14/24)</formula>
    </cfRule>
    <cfRule type="expression" dxfId="12016" priority="86">
      <formula>B$9&lt;8/24</formula>
    </cfRule>
  </conditionalFormatting>
  <conditionalFormatting sqref="B65:B66 B70 B48:AF48">
    <cfRule type="expression" dxfId="12015" priority="82">
      <formula>B48&gt;$AG48</formula>
    </cfRule>
  </conditionalFormatting>
  <conditionalFormatting sqref="B82">
    <cfRule type="expression" dxfId="12014" priority="78">
      <formula>B$9&gt;=20/24</formula>
    </cfRule>
    <cfRule type="expression" dxfId="12013" priority="79">
      <formula>AND(B$9&gt;=14/24,B$9&lt;20/24)</formula>
    </cfRule>
    <cfRule type="expression" dxfId="12012" priority="80">
      <formula>AND(B$9&gt;=8/24,B$9&lt;14/24)</formula>
    </cfRule>
    <cfRule type="expression" dxfId="12011" priority="81">
      <formula>B$9&lt;8/24</formula>
    </cfRule>
  </conditionalFormatting>
  <conditionalFormatting sqref="B52">
    <cfRule type="expression" dxfId="12010" priority="74">
      <formula>B$9&gt;=20/24</formula>
    </cfRule>
    <cfRule type="expression" dxfId="12009" priority="75">
      <formula>AND(B$9&gt;=14/24,B$9&lt;20/24)</formula>
    </cfRule>
    <cfRule type="expression" dxfId="12008" priority="76">
      <formula>AND(B$9&gt;=8/24,B$9&lt;14/24)</formula>
    </cfRule>
    <cfRule type="expression" dxfId="12007" priority="77">
      <formula>B$9&lt;8/24</formula>
    </cfRule>
  </conditionalFormatting>
  <conditionalFormatting sqref="B52">
    <cfRule type="expression" dxfId="12006" priority="73">
      <formula>B52&gt;$AG52</formula>
    </cfRule>
  </conditionalFormatting>
  <conditionalFormatting sqref="B59:N64">
    <cfRule type="expression" dxfId="12005" priority="65">
      <formula>B$9&gt;=20/24</formula>
    </cfRule>
    <cfRule type="expression" dxfId="12004" priority="66">
      <formula>AND(B$9&gt;=14/24,B$9&lt;20/24)</formula>
    </cfRule>
    <cfRule type="expression" dxfId="12003" priority="67">
      <formula>AND(B$9&gt;=8/24,B$9&lt;14/24)</formula>
    </cfRule>
    <cfRule type="expression" dxfId="12002" priority="68">
      <formula>B$9&lt;8/24</formula>
    </cfRule>
  </conditionalFormatting>
  <conditionalFormatting sqref="B59:N64">
    <cfRule type="expression" dxfId="12001" priority="64">
      <formula>B59&gt;$AG59</formula>
    </cfRule>
  </conditionalFormatting>
  <conditionalFormatting sqref="B77:L77 B81:L81 B79:L79">
    <cfRule type="expression" dxfId="12000" priority="60">
      <formula>B$9&gt;=20/24</formula>
    </cfRule>
    <cfRule type="expression" dxfId="11999" priority="61">
      <formula>AND(B$9&gt;=14/24,B$9&lt;20/24)</formula>
    </cfRule>
    <cfRule type="expression" dxfId="11998" priority="62">
      <formula>AND(B$9&gt;=8/24,B$9&lt;14/24)</formula>
    </cfRule>
    <cfRule type="expression" dxfId="11997" priority="63">
      <formula>B$9&lt;8/24</formula>
    </cfRule>
  </conditionalFormatting>
  <conditionalFormatting sqref="A11">
    <cfRule type="expression" dxfId="11996" priority="59">
      <formula>$AH11=0</formula>
    </cfRule>
  </conditionalFormatting>
  <conditionalFormatting sqref="AA11:AF11">
    <cfRule type="expression" dxfId="11995" priority="55">
      <formula>AA$9&gt;=20/24</formula>
    </cfRule>
    <cfRule type="expression" dxfId="11994" priority="56">
      <formula>AND(AA$9&gt;=14/24,AA$9&lt;20/24)</formula>
    </cfRule>
    <cfRule type="expression" dxfId="11993" priority="57">
      <formula>AND(AA$9&gt;=8/24,AA$9&lt;14/24)</formula>
    </cfRule>
    <cfRule type="expression" dxfId="11992" priority="58">
      <formula>AA$9&lt;8/24</formula>
    </cfRule>
  </conditionalFormatting>
  <conditionalFormatting sqref="AA11:AF11">
    <cfRule type="expression" dxfId="11991" priority="54">
      <formula>AA11&gt;$AG11</formula>
    </cfRule>
  </conditionalFormatting>
  <conditionalFormatting sqref="B11:Z11">
    <cfRule type="expression" dxfId="11990" priority="50">
      <formula>B$9&gt;=20/24</formula>
    </cfRule>
    <cfRule type="expression" dxfId="11989" priority="51">
      <formula>AND(B$9&gt;=14/24,B$9&lt;20/24)</formula>
    </cfRule>
    <cfRule type="expression" dxfId="11988" priority="52">
      <formula>AND(B$9&gt;=8/24,B$9&lt;14/24)</formula>
    </cfRule>
    <cfRule type="expression" dxfId="11987" priority="53">
      <formula>B$9&lt;8/24</formula>
    </cfRule>
  </conditionalFormatting>
  <conditionalFormatting sqref="B11:Z11">
    <cfRule type="expression" dxfId="11986" priority="49">
      <formula>B11&gt;$AG11</formula>
    </cfRule>
  </conditionalFormatting>
  <conditionalFormatting sqref="A16">
    <cfRule type="expression" dxfId="11985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A16:AF16">
    <cfRule type="expression" dxfId="11984" priority="43">
      <formula>AA$9&gt;=20/24</formula>
    </cfRule>
    <cfRule type="expression" dxfId="11983" priority="44">
      <formula>AND(AA$9&gt;=14/24,AA$9&lt;20/24)</formula>
    </cfRule>
    <cfRule type="expression" dxfId="11982" priority="45">
      <formula>AND(AA$9&gt;=8/24,AA$9&lt;14/24)</formula>
    </cfRule>
    <cfRule type="expression" dxfId="11981" priority="46">
      <formula>AA$9&lt;8/24</formula>
    </cfRule>
  </conditionalFormatting>
  <conditionalFormatting sqref="AA16:AF16">
    <cfRule type="expression" dxfId="11980" priority="42">
      <formula>AA16&gt;$AG16</formula>
    </cfRule>
  </conditionalFormatting>
  <conditionalFormatting sqref="B16:Z16">
    <cfRule type="expression" dxfId="11979" priority="38">
      <formula>B$9&gt;=20/24</formula>
    </cfRule>
    <cfRule type="expression" dxfId="11978" priority="39">
      <formula>AND(B$9&gt;=14/24,B$9&lt;20/24)</formula>
    </cfRule>
    <cfRule type="expression" dxfId="11977" priority="40">
      <formula>AND(B$9&gt;=8/24,B$9&lt;14/24)</formula>
    </cfRule>
    <cfRule type="expression" dxfId="11976" priority="41">
      <formula>B$9&lt;8/24</formula>
    </cfRule>
  </conditionalFormatting>
  <conditionalFormatting sqref="B16:Z16">
    <cfRule type="expression" dxfId="11975" priority="37">
      <formula>B16&gt;$AG16</formula>
    </cfRule>
  </conditionalFormatting>
  <conditionalFormatting sqref="A33">
    <cfRule type="expression" dxfId="11974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AA33:AF33">
    <cfRule type="expression" dxfId="11973" priority="31">
      <formula>AA$9&gt;=20/24</formula>
    </cfRule>
    <cfRule type="expression" dxfId="11972" priority="32">
      <formula>AND(AA$9&gt;=14/24,AA$9&lt;20/24)</formula>
    </cfRule>
    <cfRule type="expression" dxfId="11971" priority="33">
      <formula>AND(AA$9&gt;=8/24,AA$9&lt;14/24)</formula>
    </cfRule>
    <cfRule type="expression" dxfId="11970" priority="34">
      <formula>AA$9&lt;8/24</formula>
    </cfRule>
  </conditionalFormatting>
  <conditionalFormatting sqref="AA33:AF33">
    <cfRule type="expression" dxfId="11969" priority="30">
      <formula>AA33&gt;$AG33</formula>
    </cfRule>
  </conditionalFormatting>
  <conditionalFormatting sqref="B33:Z33">
    <cfRule type="expression" dxfId="11968" priority="26">
      <formula>B$9&gt;=20/24</formula>
    </cfRule>
    <cfRule type="expression" dxfId="11967" priority="27">
      <formula>AND(B$9&gt;=14/24,B$9&lt;20/24)</formula>
    </cfRule>
    <cfRule type="expression" dxfId="11966" priority="28">
      <formula>AND(B$9&gt;=8/24,B$9&lt;14/24)</formula>
    </cfRule>
    <cfRule type="expression" dxfId="11965" priority="29">
      <formula>B$9&lt;8/24</formula>
    </cfRule>
  </conditionalFormatting>
  <conditionalFormatting sqref="B33:Z33">
    <cfRule type="expression" dxfId="11964" priority="25">
      <formula>B33&gt;$AG33</formula>
    </cfRule>
  </conditionalFormatting>
  <conditionalFormatting sqref="A44">
    <cfRule type="expression" dxfId="11963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11962" priority="22">
      <formula>AA44&gt;$AG44</formula>
    </cfRule>
  </conditionalFormatting>
  <conditionalFormatting sqref="AA44:AF44">
    <cfRule type="expression" dxfId="11961" priority="18">
      <formula>AA$9&gt;=20/24</formula>
    </cfRule>
    <cfRule type="expression" dxfId="11960" priority="19">
      <formula>AND(AA$9&gt;=14/24,AA$9&lt;20/24)</formula>
    </cfRule>
    <cfRule type="expression" dxfId="11959" priority="20">
      <formula>AND(AA$9&gt;=8/24,AA$9&lt;14/24)</formula>
    </cfRule>
    <cfRule type="expression" dxfId="11958" priority="21">
      <formula>AA$9&lt;8/24</formula>
    </cfRule>
  </conditionalFormatting>
  <conditionalFormatting sqref="B44:Z44">
    <cfRule type="expression" dxfId="11957" priority="14">
      <formula>B$9&gt;=20/24</formula>
    </cfRule>
    <cfRule type="expression" dxfId="11956" priority="15">
      <formula>AND(B$9&gt;=14/24,B$9&lt;20/24)</formula>
    </cfRule>
    <cfRule type="expression" dxfId="11955" priority="16">
      <formula>AND(B$9&gt;=8/24,B$9&lt;14/24)</formula>
    </cfRule>
    <cfRule type="expression" dxfId="11954" priority="17">
      <formula>B$9&lt;8/24</formula>
    </cfRule>
  </conditionalFormatting>
  <conditionalFormatting sqref="B44:Z44">
    <cfRule type="expression" dxfId="11953" priority="13">
      <formula>B44&gt;$AG44</formula>
    </cfRule>
  </conditionalFormatting>
  <conditionalFormatting sqref="B117">
    <cfRule type="expression" dxfId="11952" priority="1">
      <formula>B$9&gt;=20/24</formula>
    </cfRule>
    <cfRule type="expression" dxfId="11951" priority="2">
      <formula>AND(B$9&gt;=14/24,B$9&lt;20/24)</formula>
    </cfRule>
    <cfRule type="expression" dxfId="11950" priority="3">
      <formula>AND(B$9&gt;=8/24,B$9&lt;14/24)</formula>
    </cfRule>
    <cfRule type="expression" dxfId="11949" priority="4">
      <formula>B$9&lt;8/24</formula>
    </cfRule>
  </conditionalFormatting>
  <conditionalFormatting sqref="D117:AF117">
    <cfRule type="expression" dxfId="11948" priority="9">
      <formula>D$9&gt;=20/24</formula>
    </cfRule>
    <cfRule type="expression" dxfId="11947" priority="10">
      <formula>AND(D$9&gt;=14/24,D$9&lt;20/24)</formula>
    </cfRule>
    <cfRule type="expression" dxfId="11946" priority="11">
      <formula>AND(D$9&gt;=8/24,D$9&lt;14/24)</formula>
    </cfRule>
    <cfRule type="expression" dxfId="11945" priority="12">
      <formula>D$9&lt;8/24</formula>
    </cfRule>
  </conditionalFormatting>
  <conditionalFormatting sqref="C117">
    <cfRule type="expression" dxfId="11944" priority="5">
      <formula>C$9&gt;=20/24</formula>
    </cfRule>
    <cfRule type="expression" dxfId="11943" priority="6">
      <formula>AND(C$9&gt;=14/24,C$9&lt;20/24)</formula>
    </cfRule>
    <cfRule type="expression" dxfId="11942" priority="7">
      <formula>AND(C$9&gt;=8/24,C$9&lt;14/24)</formula>
    </cfRule>
    <cfRule type="expression" dxfId="11941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66403DEB-9383-4410-949D-98AFA1EF7A9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06327F74-492B-43B0-861C-F8373B29900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988D312E-D862-43A4-A270-FF2F9BDEEA5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C5DA50B8-65CB-46B8-8B38-D9DEEE360D5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2439DEA4-A4D8-4BC3-9666-D3224037B37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1B006E8F-DE19-4D65-89F7-5F6E9116C89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A33A3E1B-01EA-4520-81B2-7718403C364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4E6478D3-5116-444A-8039-24F6358E991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CJ278"/>
  <sheetViews>
    <sheetView workbookViewId="0">
      <pane ySplit="10" topLeftCell="A11" activePane="bottomLeft" state="frozen"/>
      <selection activeCell="Z85" sqref="Z85"/>
      <selection pane="bottomLeft" activeCell="W111" sqref="W11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2080/02/6</v>
      </c>
      <c r="C4" s="191"/>
      <c r="D4" s="191"/>
      <c r="E4" s="192" t="str">
        <f ca="1">"2079/"&amp;"12/"&amp;INT(MID(CELL("filename",G6),FIND("]",CELL("filename",G6))+1,200))</f>
        <v>2079/12/6</v>
      </c>
      <c r="F4" s="192"/>
      <c r="G4" s="192"/>
      <c r="H4" s="192" t="str">
        <f ca="1">TEXT(E4,"dddd")</f>
        <v>Wednesday</v>
      </c>
      <c r="I4" s="192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253</v>
      </c>
      <c r="C5" s="30">
        <f t="shared" si="0"/>
        <v>283</v>
      </c>
      <c r="D5" s="30">
        <f t="shared" si="0"/>
        <v>302</v>
      </c>
      <c r="E5" s="30">
        <f t="shared" si="0"/>
        <v>302</v>
      </c>
      <c r="F5" s="30">
        <f t="shared" si="0"/>
        <v>284</v>
      </c>
      <c r="G5" s="30">
        <f t="shared" si="0"/>
        <v>299.39999999999998</v>
      </c>
      <c r="H5" s="30">
        <f t="shared" si="0"/>
        <v>280.5</v>
      </c>
      <c r="I5" s="30">
        <f t="shared" si="0"/>
        <v>285</v>
      </c>
      <c r="J5" s="30">
        <f t="shared" si="0"/>
        <v>250.29999999999998</v>
      </c>
      <c r="K5" s="30">
        <f t="shared" si="0"/>
        <v>281</v>
      </c>
      <c r="L5" s="30">
        <f t="shared" si="0"/>
        <v>270.3</v>
      </c>
      <c r="M5" s="30">
        <f t="shared" si="0"/>
        <v>204</v>
      </c>
      <c r="N5" s="30">
        <f t="shared" si="0"/>
        <v>215</v>
      </c>
      <c r="O5" s="30">
        <f t="shared" si="0"/>
        <v>197</v>
      </c>
      <c r="P5" s="30">
        <f t="shared" si="0"/>
        <v>160</v>
      </c>
      <c r="Q5" s="30">
        <f t="shared" si="0"/>
        <v>169</v>
      </c>
      <c r="R5" s="30">
        <f t="shared" si="0"/>
        <v>255.9</v>
      </c>
      <c r="S5" s="30">
        <f t="shared" si="0"/>
        <v>264.09999999999997</v>
      </c>
      <c r="T5" s="30">
        <f t="shared" si="0"/>
        <v>205.9</v>
      </c>
      <c r="U5" s="30">
        <f t="shared" si="0"/>
        <v>205.9</v>
      </c>
      <c r="V5" s="30">
        <f t="shared" si="0"/>
        <v>205.9</v>
      </c>
      <c r="W5" s="30">
        <f t="shared" si="0"/>
        <v>0</v>
      </c>
      <c r="X5" s="30">
        <f t="shared" si="0"/>
        <v>0</v>
      </c>
      <c r="Y5" s="30">
        <f t="shared" si="0"/>
        <v>266.2</v>
      </c>
      <c r="Z5" s="30">
        <f t="shared" si="0"/>
        <v>216.5</v>
      </c>
      <c r="AA5" s="30">
        <f t="shared" si="0"/>
        <v>193.9</v>
      </c>
      <c r="AB5" s="30">
        <f t="shared" si="0"/>
        <v>174</v>
      </c>
      <c r="AC5" s="30">
        <f t="shared" si="0"/>
        <v>205</v>
      </c>
      <c r="AD5" s="30">
        <f t="shared" si="0"/>
        <v>224.6</v>
      </c>
      <c r="AE5" s="30">
        <f t="shared" si="0"/>
        <v>202</v>
      </c>
      <c r="AF5" s="30">
        <f>B82</f>
        <v>93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1239MW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B89</f>
        <v>1346.74</v>
      </c>
      <c r="C7" s="35">
        <f t="shared" si="1"/>
        <v>1282.24</v>
      </c>
      <c r="D7" s="35">
        <f t="shared" si="1"/>
        <v>1239.24</v>
      </c>
      <c r="E7" s="35">
        <f t="shared" si="1"/>
        <v>1244.74</v>
      </c>
      <c r="F7" s="35">
        <f t="shared" si="1"/>
        <v>1212.24</v>
      </c>
      <c r="G7" s="35">
        <f t="shared" si="1"/>
        <v>1194.24</v>
      </c>
      <c r="H7" s="35">
        <f t="shared" si="1"/>
        <v>1237.6399999999999</v>
      </c>
      <c r="I7" s="35">
        <f t="shared" si="1"/>
        <v>1219.74</v>
      </c>
      <c r="J7" s="35">
        <f t="shared" si="1"/>
        <v>1224.24</v>
      </c>
      <c r="K7" s="35">
        <f t="shared" si="1"/>
        <v>1207.44</v>
      </c>
      <c r="L7" s="35">
        <f t="shared" si="1"/>
        <v>1238.8400000000001</v>
      </c>
      <c r="M7" s="35">
        <f t="shared" si="1"/>
        <v>1193.94</v>
      </c>
      <c r="N7" s="35">
        <f>N89</f>
        <v>1227.3400000000001</v>
      </c>
      <c r="O7" s="35">
        <f t="shared" si="1"/>
        <v>1203.94</v>
      </c>
      <c r="P7" s="35">
        <f t="shared" si="1"/>
        <v>1272.8400000000001</v>
      </c>
      <c r="Q7" s="35">
        <f t="shared" si="1"/>
        <v>1294.5400000000002</v>
      </c>
      <c r="R7" s="35">
        <f t="shared" si="1"/>
        <v>1280.94</v>
      </c>
      <c r="S7" s="35">
        <f t="shared" si="1"/>
        <v>1340.7400000000002</v>
      </c>
      <c r="T7" s="35">
        <f t="shared" si="1"/>
        <v>1406.74</v>
      </c>
      <c r="U7" s="35">
        <f t="shared" si="1"/>
        <v>1316.5400000000002</v>
      </c>
      <c r="V7" s="35">
        <f t="shared" si="1"/>
        <v>1341.5400000000002</v>
      </c>
      <c r="W7" s="35">
        <f t="shared" si="1"/>
        <v>1246.5400000000002</v>
      </c>
      <c r="X7" s="35">
        <f t="shared" si="1"/>
        <v>3.54</v>
      </c>
      <c r="Y7" s="35">
        <f t="shared" si="1"/>
        <v>3.54</v>
      </c>
      <c r="Z7" s="35">
        <f t="shared" si="1"/>
        <v>1388.9400000000003</v>
      </c>
      <c r="AA7" s="35">
        <f t="shared" si="1"/>
        <v>1412.94</v>
      </c>
      <c r="AB7" s="35">
        <f t="shared" si="1"/>
        <v>1337.0400000000004</v>
      </c>
      <c r="AC7" s="35">
        <f t="shared" si="1"/>
        <v>1310.1400000000003</v>
      </c>
      <c r="AD7" s="35">
        <f t="shared" si="1"/>
        <v>1335.14</v>
      </c>
      <c r="AE7" s="35">
        <f t="shared" si="1"/>
        <v>1282.94</v>
      </c>
      <c r="AF7" s="35">
        <f t="shared" si="1"/>
        <v>1238.6399999999999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</v>
      </c>
      <c r="C11" s="45">
        <v>32</v>
      </c>
      <c r="D11" s="45">
        <v>32</v>
      </c>
      <c r="E11" s="45">
        <v>32</v>
      </c>
      <c r="F11" s="45">
        <v>32</v>
      </c>
      <c r="G11" s="45">
        <v>32</v>
      </c>
      <c r="H11" s="45">
        <v>32</v>
      </c>
      <c r="I11" s="45">
        <v>32</v>
      </c>
      <c r="J11" s="45">
        <v>32</v>
      </c>
      <c r="K11" s="45">
        <v>32</v>
      </c>
      <c r="L11" s="45">
        <v>32</v>
      </c>
      <c r="M11" s="45">
        <v>32</v>
      </c>
      <c r="N11" s="45">
        <v>32</v>
      </c>
      <c r="O11" s="45">
        <v>32</v>
      </c>
      <c r="P11" s="45">
        <v>32</v>
      </c>
      <c r="Q11" s="45">
        <v>32</v>
      </c>
      <c r="R11" s="45">
        <v>32</v>
      </c>
      <c r="S11" s="45">
        <v>32</v>
      </c>
      <c r="T11" s="45">
        <v>32</v>
      </c>
      <c r="U11" s="45">
        <v>32</v>
      </c>
      <c r="V11" s="45">
        <v>32</v>
      </c>
      <c r="W11" s="45">
        <v>32</v>
      </c>
      <c r="X11" s="45"/>
      <c r="Y11" s="45"/>
      <c r="Z11" s="45">
        <v>32</v>
      </c>
      <c r="AA11" s="45">
        <v>32</v>
      </c>
      <c r="AB11" s="45">
        <v>32</v>
      </c>
      <c r="AC11" s="45">
        <v>32</v>
      </c>
      <c r="AD11" s="45">
        <v>32</v>
      </c>
      <c r="AE11" s="45">
        <v>32</v>
      </c>
      <c r="AF11" s="45">
        <v>32</v>
      </c>
      <c r="AG11" s="46">
        <v>86</v>
      </c>
      <c r="AH11" s="47">
        <f t="shared" ref="AH11:AH74" si="2">MAX(B11:AF11)</f>
        <v>32</v>
      </c>
      <c r="AI11" s="48">
        <f t="shared" ref="AI11:AI74" si="3">MIN(B11:AF11)</f>
        <v>32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18</v>
      </c>
      <c r="C12" s="45">
        <v>18</v>
      </c>
      <c r="D12" s="45">
        <v>20</v>
      </c>
      <c r="E12" s="45">
        <v>20</v>
      </c>
      <c r="F12" s="45">
        <v>20</v>
      </c>
      <c r="G12" s="45">
        <v>20</v>
      </c>
      <c r="H12" s="45">
        <v>20</v>
      </c>
      <c r="I12" s="45">
        <v>20</v>
      </c>
      <c r="J12" s="45">
        <v>20</v>
      </c>
      <c r="K12" s="45">
        <v>20</v>
      </c>
      <c r="L12" s="45">
        <v>20</v>
      </c>
      <c r="M12" s="45">
        <v>20</v>
      </c>
      <c r="N12" s="45">
        <v>20</v>
      </c>
      <c r="O12" s="45">
        <v>20</v>
      </c>
      <c r="P12" s="45">
        <v>20</v>
      </c>
      <c r="Q12" s="45">
        <v>20</v>
      </c>
      <c r="R12" s="45">
        <v>20</v>
      </c>
      <c r="S12" s="45">
        <v>20</v>
      </c>
      <c r="T12" s="45">
        <v>20</v>
      </c>
      <c r="U12" s="45">
        <v>20</v>
      </c>
      <c r="V12" s="45">
        <v>20</v>
      </c>
      <c r="W12" s="45">
        <v>20</v>
      </c>
      <c r="X12" s="45"/>
      <c r="Y12" s="45"/>
      <c r="Z12" s="45">
        <v>20</v>
      </c>
      <c r="AA12" s="45">
        <v>20</v>
      </c>
      <c r="AB12" s="45">
        <v>20</v>
      </c>
      <c r="AC12" s="45">
        <v>20</v>
      </c>
      <c r="AD12" s="45">
        <v>20</v>
      </c>
      <c r="AE12" s="45">
        <v>22</v>
      </c>
      <c r="AF12" s="45">
        <v>20</v>
      </c>
      <c r="AG12" s="46">
        <v>52.4</v>
      </c>
      <c r="AH12" s="47">
        <f t="shared" si="2"/>
        <v>22</v>
      </c>
      <c r="AI12" s="48">
        <f t="shared" si="3"/>
        <v>18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50.3</v>
      </c>
      <c r="C13" s="45">
        <v>50.3</v>
      </c>
      <c r="D13" s="45">
        <v>50.3</v>
      </c>
      <c r="E13" s="45">
        <v>50.3</v>
      </c>
      <c r="F13" s="45">
        <v>50.3</v>
      </c>
      <c r="G13" s="45">
        <v>50.3</v>
      </c>
      <c r="H13" s="45">
        <v>50.3</v>
      </c>
      <c r="I13" s="45">
        <v>50.3</v>
      </c>
      <c r="J13" s="45">
        <v>50.3</v>
      </c>
      <c r="K13" s="45">
        <v>50.3</v>
      </c>
      <c r="L13" s="45">
        <v>50.3</v>
      </c>
      <c r="M13" s="45">
        <v>50.3</v>
      </c>
      <c r="N13" s="45">
        <v>50.3</v>
      </c>
      <c r="O13" s="45">
        <v>50.3</v>
      </c>
      <c r="P13" s="45">
        <v>50.3</v>
      </c>
      <c r="Q13" s="45">
        <v>50.3</v>
      </c>
      <c r="R13" s="45">
        <v>50.3</v>
      </c>
      <c r="S13" s="45">
        <v>50.3</v>
      </c>
      <c r="T13" s="45">
        <v>50.3</v>
      </c>
      <c r="U13" s="45">
        <v>50.3</v>
      </c>
      <c r="V13" s="45">
        <v>50.3</v>
      </c>
      <c r="W13" s="45">
        <v>50.3</v>
      </c>
      <c r="X13" s="45"/>
      <c r="Y13" s="45"/>
      <c r="Z13" s="45">
        <v>50.3</v>
      </c>
      <c r="AA13" s="45">
        <v>50.3</v>
      </c>
      <c r="AB13" s="45">
        <v>50.3</v>
      </c>
      <c r="AC13" s="45">
        <v>50.3</v>
      </c>
      <c r="AD13" s="45">
        <v>50.3</v>
      </c>
      <c r="AE13" s="45">
        <v>50</v>
      </c>
      <c r="AF13" s="45">
        <v>50</v>
      </c>
      <c r="AG13" s="50">
        <v>50</v>
      </c>
      <c r="AH13" s="47">
        <f t="shared" si="2"/>
        <v>50.3</v>
      </c>
      <c r="AI13" s="48">
        <f t="shared" si="3"/>
        <v>50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28</v>
      </c>
      <c r="C14" s="45">
        <v>28</v>
      </c>
      <c r="D14" s="45">
        <v>28</v>
      </c>
      <c r="E14" s="45">
        <v>28</v>
      </c>
      <c r="F14" s="45">
        <v>28</v>
      </c>
      <c r="G14" s="45">
        <v>28</v>
      </c>
      <c r="H14" s="45">
        <v>28</v>
      </c>
      <c r="I14" s="45">
        <v>28</v>
      </c>
      <c r="J14" s="45">
        <v>28</v>
      </c>
      <c r="K14" s="45">
        <v>28</v>
      </c>
      <c r="L14" s="45">
        <v>28</v>
      </c>
      <c r="M14" s="45">
        <v>28</v>
      </c>
      <c r="N14" s="45">
        <v>28</v>
      </c>
      <c r="O14" s="45">
        <v>28</v>
      </c>
      <c r="P14" s="45">
        <v>28</v>
      </c>
      <c r="Q14" s="45">
        <v>28</v>
      </c>
      <c r="R14" s="45">
        <v>28</v>
      </c>
      <c r="S14" s="45">
        <v>28</v>
      </c>
      <c r="T14" s="45">
        <v>28</v>
      </c>
      <c r="U14" s="45">
        <v>28</v>
      </c>
      <c r="V14" s="45">
        <v>28</v>
      </c>
      <c r="W14" s="45">
        <v>28</v>
      </c>
      <c r="X14" s="45"/>
      <c r="Y14" s="45"/>
      <c r="Z14" s="45">
        <v>28</v>
      </c>
      <c r="AA14" s="45">
        <v>28</v>
      </c>
      <c r="AB14" s="45">
        <v>28</v>
      </c>
      <c r="AC14" s="45">
        <v>28</v>
      </c>
      <c r="AD14" s="45">
        <v>28</v>
      </c>
      <c r="AE14" s="45">
        <v>27.6</v>
      </c>
      <c r="AF14" s="45">
        <v>29.7</v>
      </c>
      <c r="AG14" s="50">
        <v>45</v>
      </c>
      <c r="AH14" s="47">
        <f t="shared" si="2"/>
        <v>29.7</v>
      </c>
      <c r="AI14" s="48">
        <f t="shared" si="3"/>
        <v>27.6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10</v>
      </c>
      <c r="C15" s="45">
        <v>10</v>
      </c>
      <c r="D15" s="45">
        <v>10</v>
      </c>
      <c r="E15" s="45">
        <v>10</v>
      </c>
      <c r="F15" s="45">
        <v>10</v>
      </c>
      <c r="G15" s="45">
        <v>10</v>
      </c>
      <c r="H15" s="45">
        <v>10</v>
      </c>
      <c r="I15" s="45">
        <v>10</v>
      </c>
      <c r="J15" s="45">
        <v>10</v>
      </c>
      <c r="K15" s="45">
        <v>10</v>
      </c>
      <c r="L15" s="45">
        <v>10</v>
      </c>
      <c r="M15" s="45">
        <v>10</v>
      </c>
      <c r="N15" s="45">
        <v>10</v>
      </c>
      <c r="O15" s="45">
        <v>10</v>
      </c>
      <c r="P15" s="45">
        <v>10</v>
      </c>
      <c r="Q15" s="45">
        <v>10</v>
      </c>
      <c r="R15" s="45">
        <v>10</v>
      </c>
      <c r="S15" s="45">
        <v>0</v>
      </c>
      <c r="T15" s="45">
        <v>0</v>
      </c>
      <c r="U15" s="45">
        <v>10</v>
      </c>
      <c r="V15" s="45">
        <v>10</v>
      </c>
      <c r="W15" s="45">
        <v>10</v>
      </c>
      <c r="X15" s="45"/>
      <c r="Y15" s="45"/>
      <c r="Z15" s="45">
        <v>10</v>
      </c>
      <c r="AA15" s="45">
        <v>10</v>
      </c>
      <c r="AB15" s="45">
        <v>10</v>
      </c>
      <c r="AC15" s="45">
        <v>10</v>
      </c>
      <c r="AD15" s="45">
        <v>10</v>
      </c>
      <c r="AE15" s="45">
        <v>20</v>
      </c>
      <c r="AF15" s="45">
        <v>20</v>
      </c>
      <c r="AG15" s="50">
        <v>42</v>
      </c>
      <c r="AH15" s="47">
        <f t="shared" si="2"/>
        <v>20</v>
      </c>
      <c r="AI15" s="48">
        <f t="shared" si="3"/>
        <v>0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22</v>
      </c>
      <c r="C16" s="45">
        <v>22</v>
      </c>
      <c r="D16" s="45">
        <v>22</v>
      </c>
      <c r="E16" s="45">
        <v>22</v>
      </c>
      <c r="F16" s="45">
        <v>22</v>
      </c>
      <c r="G16" s="45">
        <v>22</v>
      </c>
      <c r="H16" s="45">
        <v>22</v>
      </c>
      <c r="I16" s="45">
        <v>22</v>
      </c>
      <c r="J16" s="45">
        <v>22</v>
      </c>
      <c r="K16" s="45">
        <v>22</v>
      </c>
      <c r="L16" s="45">
        <v>22</v>
      </c>
      <c r="M16" s="45">
        <v>22</v>
      </c>
      <c r="N16" s="45">
        <v>22</v>
      </c>
      <c r="O16" s="45">
        <v>22</v>
      </c>
      <c r="P16" s="45">
        <v>22</v>
      </c>
      <c r="Q16" s="45">
        <v>22</v>
      </c>
      <c r="R16" s="45">
        <v>22</v>
      </c>
      <c r="S16" s="45">
        <v>22</v>
      </c>
      <c r="T16" s="45">
        <v>22</v>
      </c>
      <c r="U16" s="45">
        <v>22</v>
      </c>
      <c r="V16" s="45">
        <v>22</v>
      </c>
      <c r="W16" s="45">
        <v>22</v>
      </c>
      <c r="X16" s="45"/>
      <c r="Y16" s="45"/>
      <c r="Z16" s="45">
        <v>22</v>
      </c>
      <c r="AA16" s="45">
        <v>22</v>
      </c>
      <c r="AB16" s="45">
        <v>22</v>
      </c>
      <c r="AC16" s="45">
        <v>22</v>
      </c>
      <c r="AD16" s="45">
        <v>22</v>
      </c>
      <c r="AE16" s="45">
        <v>22</v>
      </c>
      <c r="AF16" s="45">
        <v>22</v>
      </c>
      <c r="AG16" s="50">
        <v>36</v>
      </c>
      <c r="AH16" s="47">
        <f t="shared" si="2"/>
        <v>22</v>
      </c>
      <c r="AI16" s="48">
        <f t="shared" si="3"/>
        <v>22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14.6</v>
      </c>
      <c r="C17" s="45">
        <v>14.6</v>
      </c>
      <c r="D17" s="45">
        <v>14.6</v>
      </c>
      <c r="E17" s="45">
        <v>14.6</v>
      </c>
      <c r="F17" s="45">
        <v>14.6</v>
      </c>
      <c r="G17" s="45">
        <v>14.6</v>
      </c>
      <c r="H17" s="45">
        <v>14.6</v>
      </c>
      <c r="I17" s="45">
        <v>14.6</v>
      </c>
      <c r="J17" s="45">
        <v>14.6</v>
      </c>
      <c r="K17" s="45">
        <v>14.6</v>
      </c>
      <c r="L17" s="45">
        <v>14.6</v>
      </c>
      <c r="M17" s="45">
        <v>14.6</v>
      </c>
      <c r="N17" s="45">
        <v>14.6</v>
      </c>
      <c r="O17" s="45">
        <v>14.6</v>
      </c>
      <c r="P17" s="45">
        <v>14.6</v>
      </c>
      <c r="Q17" s="45">
        <v>14.6</v>
      </c>
      <c r="R17" s="45">
        <v>14.6</v>
      </c>
      <c r="S17" s="45">
        <v>14.6</v>
      </c>
      <c r="T17" s="45">
        <v>14.6</v>
      </c>
      <c r="U17" s="45">
        <v>14.6</v>
      </c>
      <c r="V17" s="45">
        <v>14.6</v>
      </c>
      <c r="W17" s="45">
        <v>14.6</v>
      </c>
      <c r="X17" s="45"/>
      <c r="Y17" s="45"/>
      <c r="Z17" s="45">
        <v>14.6</v>
      </c>
      <c r="AA17" s="45">
        <v>14.6</v>
      </c>
      <c r="AB17" s="45">
        <v>14.6</v>
      </c>
      <c r="AC17" s="45">
        <v>14.6</v>
      </c>
      <c r="AD17" s="45">
        <v>14.6</v>
      </c>
      <c r="AE17" s="45">
        <v>14.6</v>
      </c>
      <c r="AF17" s="45">
        <v>14.6</v>
      </c>
      <c r="AG17" s="50">
        <v>36</v>
      </c>
      <c r="AH17" s="47">
        <f t="shared" si="2"/>
        <v>14.6</v>
      </c>
      <c r="AI17" s="48">
        <f t="shared" si="3"/>
        <v>14.6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10</v>
      </c>
      <c r="C18" s="45">
        <v>10</v>
      </c>
      <c r="D18" s="45">
        <v>10</v>
      </c>
      <c r="E18" s="45">
        <v>10</v>
      </c>
      <c r="F18" s="45">
        <v>10</v>
      </c>
      <c r="G18" s="45">
        <v>10</v>
      </c>
      <c r="H18" s="45">
        <v>10</v>
      </c>
      <c r="I18" s="45">
        <v>10</v>
      </c>
      <c r="J18" s="45">
        <v>10</v>
      </c>
      <c r="K18" s="45">
        <v>18</v>
      </c>
      <c r="L18" s="45">
        <v>18</v>
      </c>
      <c r="M18" s="45">
        <v>18</v>
      </c>
      <c r="N18" s="45">
        <v>18</v>
      </c>
      <c r="O18" s="45">
        <v>18</v>
      </c>
      <c r="P18" s="45">
        <v>18</v>
      </c>
      <c r="Q18" s="45">
        <v>18</v>
      </c>
      <c r="R18" s="45">
        <v>18</v>
      </c>
      <c r="S18" s="45">
        <v>10</v>
      </c>
      <c r="T18" s="45">
        <v>4</v>
      </c>
      <c r="U18" s="45">
        <v>18</v>
      </c>
      <c r="V18" s="45">
        <v>18</v>
      </c>
      <c r="W18" s="45">
        <v>18</v>
      </c>
      <c r="X18" s="45"/>
      <c r="Y18" s="45"/>
      <c r="Z18" s="45">
        <v>18</v>
      </c>
      <c r="AA18" s="45">
        <v>18</v>
      </c>
      <c r="AB18" s="45">
        <v>18</v>
      </c>
      <c r="AC18" s="45">
        <v>18</v>
      </c>
      <c r="AD18" s="45">
        <v>18</v>
      </c>
      <c r="AE18" s="45">
        <v>18</v>
      </c>
      <c r="AF18" s="45">
        <v>0</v>
      </c>
      <c r="AG18" s="51">
        <v>30</v>
      </c>
      <c r="AH18" s="47">
        <f t="shared" si="2"/>
        <v>18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9</v>
      </c>
      <c r="C19" s="45">
        <v>9</v>
      </c>
      <c r="D19" s="45">
        <v>9</v>
      </c>
      <c r="E19" s="45">
        <v>9</v>
      </c>
      <c r="F19" s="45">
        <v>9</v>
      </c>
      <c r="G19" s="45">
        <v>9</v>
      </c>
      <c r="H19" s="45">
        <v>9</v>
      </c>
      <c r="I19" s="45">
        <v>9</v>
      </c>
      <c r="J19" s="45">
        <v>9</v>
      </c>
      <c r="K19" s="45">
        <v>9</v>
      </c>
      <c r="L19" s="45">
        <v>9</v>
      </c>
      <c r="M19" s="45">
        <v>9</v>
      </c>
      <c r="N19" s="45">
        <v>9</v>
      </c>
      <c r="O19" s="45">
        <v>9</v>
      </c>
      <c r="P19" s="45">
        <v>9</v>
      </c>
      <c r="Q19" s="45">
        <v>9</v>
      </c>
      <c r="R19" s="45">
        <v>9</v>
      </c>
      <c r="S19" s="45">
        <v>9</v>
      </c>
      <c r="T19" s="45">
        <v>9</v>
      </c>
      <c r="U19" s="45">
        <v>9</v>
      </c>
      <c r="V19" s="45">
        <v>9</v>
      </c>
      <c r="W19" s="45">
        <v>9</v>
      </c>
      <c r="X19" s="45"/>
      <c r="Y19" s="45"/>
      <c r="Z19" s="45">
        <v>9</v>
      </c>
      <c r="AA19" s="45">
        <v>9</v>
      </c>
      <c r="AB19" s="45">
        <v>9</v>
      </c>
      <c r="AC19" s="45">
        <v>9</v>
      </c>
      <c r="AD19" s="45">
        <v>9</v>
      </c>
      <c r="AE19" s="45">
        <v>16.8</v>
      </c>
      <c r="AF19" s="45">
        <v>19.399999999999999</v>
      </c>
      <c r="AG19" s="50">
        <v>24.2</v>
      </c>
      <c r="AH19" s="47">
        <f t="shared" si="2"/>
        <v>19.399999999999999</v>
      </c>
      <c r="AI19" s="48">
        <f t="shared" si="3"/>
        <v>9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</v>
      </c>
      <c r="C20" s="45">
        <v>9</v>
      </c>
      <c r="D20" s="45">
        <v>9</v>
      </c>
      <c r="E20" s="45">
        <v>9</v>
      </c>
      <c r="F20" s="45">
        <v>9</v>
      </c>
      <c r="G20" s="45">
        <v>9</v>
      </c>
      <c r="H20" s="45">
        <v>9</v>
      </c>
      <c r="I20" s="45">
        <v>9</v>
      </c>
      <c r="J20" s="45">
        <v>9</v>
      </c>
      <c r="K20" s="45">
        <v>9</v>
      </c>
      <c r="L20" s="45">
        <v>9</v>
      </c>
      <c r="M20" s="45">
        <v>9</v>
      </c>
      <c r="N20" s="45">
        <v>9</v>
      </c>
      <c r="O20" s="45">
        <v>9</v>
      </c>
      <c r="P20" s="45">
        <v>9</v>
      </c>
      <c r="Q20" s="45">
        <v>9</v>
      </c>
      <c r="R20" s="45">
        <v>9</v>
      </c>
      <c r="S20" s="45">
        <v>9</v>
      </c>
      <c r="T20" s="45">
        <v>9</v>
      </c>
      <c r="U20" s="45">
        <v>9</v>
      </c>
      <c r="V20" s="45">
        <v>9</v>
      </c>
      <c r="W20" s="45">
        <v>9</v>
      </c>
      <c r="X20" s="45"/>
      <c r="Y20" s="45"/>
      <c r="Z20" s="45">
        <v>9</v>
      </c>
      <c r="AA20" s="45">
        <v>9</v>
      </c>
      <c r="AB20" s="45">
        <v>9</v>
      </c>
      <c r="AC20" s="45">
        <v>9</v>
      </c>
      <c r="AD20" s="45">
        <v>9</v>
      </c>
      <c r="AE20" s="45">
        <v>9</v>
      </c>
      <c r="AF20" s="45">
        <v>9</v>
      </c>
      <c r="AG20" s="50">
        <v>28</v>
      </c>
      <c r="AH20" s="47">
        <f t="shared" si="2"/>
        <v>9</v>
      </c>
      <c r="AI20" s="48">
        <f t="shared" si="3"/>
        <v>9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5</v>
      </c>
      <c r="C21" s="45">
        <v>5</v>
      </c>
      <c r="D21" s="45">
        <v>5</v>
      </c>
      <c r="E21" s="45">
        <v>5</v>
      </c>
      <c r="F21" s="45">
        <v>5</v>
      </c>
      <c r="G21" s="45">
        <v>5</v>
      </c>
      <c r="H21" s="45">
        <v>5</v>
      </c>
      <c r="I21" s="45">
        <v>5</v>
      </c>
      <c r="J21" s="45">
        <v>5</v>
      </c>
      <c r="K21" s="45">
        <v>16.399999999999999</v>
      </c>
      <c r="L21" s="45">
        <v>16.399999999999999</v>
      </c>
      <c r="M21" s="45">
        <v>16.399999999999999</v>
      </c>
      <c r="N21" s="45">
        <v>16.399999999999999</v>
      </c>
      <c r="O21" s="45">
        <v>16.399999999999999</v>
      </c>
      <c r="P21" s="45">
        <v>16.399999999999999</v>
      </c>
      <c r="Q21" s="45">
        <v>16.399999999999999</v>
      </c>
      <c r="R21" s="45">
        <v>16.399999999999999</v>
      </c>
      <c r="S21" s="45">
        <v>8</v>
      </c>
      <c r="T21" s="45">
        <v>5</v>
      </c>
      <c r="U21" s="45">
        <v>16.399999999999999</v>
      </c>
      <c r="V21" s="45">
        <v>16.399999999999999</v>
      </c>
      <c r="W21" s="45">
        <v>16.399999999999999</v>
      </c>
      <c r="X21" s="45"/>
      <c r="Y21" s="45"/>
      <c r="Z21" s="45">
        <v>16.399999999999999</v>
      </c>
      <c r="AA21" s="45">
        <v>16.399999999999999</v>
      </c>
      <c r="AB21" s="45">
        <v>16.399999999999999</v>
      </c>
      <c r="AC21" s="45">
        <v>16.399999999999999</v>
      </c>
      <c r="AD21" s="45">
        <v>16.399999999999999</v>
      </c>
      <c r="AE21" s="45">
        <v>0</v>
      </c>
      <c r="AF21" s="45">
        <v>0</v>
      </c>
      <c r="AG21" s="51">
        <v>30</v>
      </c>
      <c r="AH21" s="47">
        <f t="shared" si="2"/>
        <v>16.399999999999999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25</v>
      </c>
      <c r="C22" s="45">
        <v>25</v>
      </c>
      <c r="D22" s="45">
        <v>24</v>
      </c>
      <c r="E22" s="45">
        <v>24</v>
      </c>
      <c r="F22" s="45">
        <v>24</v>
      </c>
      <c r="G22" s="45">
        <v>24</v>
      </c>
      <c r="H22" s="45">
        <v>24</v>
      </c>
      <c r="I22" s="45">
        <v>24</v>
      </c>
      <c r="J22" s="45">
        <v>24</v>
      </c>
      <c r="K22" s="45">
        <v>19</v>
      </c>
      <c r="L22" s="45">
        <v>19</v>
      </c>
      <c r="M22" s="45">
        <v>19</v>
      </c>
      <c r="N22" s="45">
        <v>19</v>
      </c>
      <c r="O22" s="45">
        <v>19</v>
      </c>
      <c r="P22" s="45">
        <v>19</v>
      </c>
      <c r="Q22" s="45">
        <v>19</v>
      </c>
      <c r="R22" s="45">
        <v>19</v>
      </c>
      <c r="S22" s="45">
        <v>11</v>
      </c>
      <c r="T22" s="45">
        <v>11</v>
      </c>
      <c r="U22" s="45">
        <v>19</v>
      </c>
      <c r="V22" s="45">
        <v>19</v>
      </c>
      <c r="W22" s="45">
        <v>19</v>
      </c>
      <c r="X22" s="45"/>
      <c r="Y22" s="45"/>
      <c r="Z22" s="45">
        <v>19</v>
      </c>
      <c r="AA22" s="45">
        <v>19</v>
      </c>
      <c r="AB22" s="45">
        <v>19</v>
      </c>
      <c r="AC22" s="45">
        <v>19</v>
      </c>
      <c r="AD22" s="45">
        <v>19</v>
      </c>
      <c r="AE22" s="45">
        <v>26.1</v>
      </c>
      <c r="AF22" s="45">
        <v>26.2</v>
      </c>
      <c r="AG22" s="50">
        <v>25</v>
      </c>
      <c r="AH22" s="47">
        <f t="shared" si="2"/>
        <v>26.2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/>
      <c r="Y23" s="45"/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/>
      <c r="Y24" s="45"/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5</v>
      </c>
      <c r="C25" s="45">
        <v>5</v>
      </c>
      <c r="D25" s="45">
        <v>5</v>
      </c>
      <c r="E25" s="45">
        <v>5</v>
      </c>
      <c r="F25" s="45">
        <v>5</v>
      </c>
      <c r="G25" s="45">
        <v>5</v>
      </c>
      <c r="H25" s="45">
        <v>5</v>
      </c>
      <c r="I25" s="45">
        <v>5</v>
      </c>
      <c r="J25" s="45">
        <v>5</v>
      </c>
      <c r="K25" s="45">
        <v>16.5</v>
      </c>
      <c r="L25" s="45">
        <v>16.5</v>
      </c>
      <c r="M25" s="45">
        <v>16.5</v>
      </c>
      <c r="N25" s="45">
        <v>16.5</v>
      </c>
      <c r="O25" s="45">
        <v>16.5</v>
      </c>
      <c r="P25" s="45">
        <v>16.5</v>
      </c>
      <c r="Q25" s="45">
        <v>16.5</v>
      </c>
      <c r="R25" s="45">
        <v>16.5</v>
      </c>
      <c r="S25" s="45">
        <v>8</v>
      </c>
      <c r="T25" s="45">
        <v>5</v>
      </c>
      <c r="U25" s="45">
        <v>16.5</v>
      </c>
      <c r="V25" s="45">
        <v>16.5</v>
      </c>
      <c r="W25" s="45">
        <v>16.5</v>
      </c>
      <c r="X25" s="45"/>
      <c r="Y25" s="45"/>
      <c r="Z25" s="45">
        <v>16.5</v>
      </c>
      <c r="AA25" s="45">
        <v>16.5</v>
      </c>
      <c r="AB25" s="45">
        <v>16.5</v>
      </c>
      <c r="AC25" s="45">
        <v>16.5</v>
      </c>
      <c r="AD25" s="45">
        <v>16.5</v>
      </c>
      <c r="AE25" s="45">
        <v>0</v>
      </c>
      <c r="AF25" s="45">
        <v>0</v>
      </c>
      <c r="AG25" s="50">
        <v>25</v>
      </c>
      <c r="AH25" s="47">
        <f t="shared" si="2"/>
        <v>16.5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10.3</v>
      </c>
      <c r="C26" s="45">
        <v>10.3</v>
      </c>
      <c r="D26" s="45">
        <v>10.3</v>
      </c>
      <c r="E26" s="45">
        <v>10.3</v>
      </c>
      <c r="F26" s="45">
        <v>10.3</v>
      </c>
      <c r="G26" s="45">
        <v>10.3</v>
      </c>
      <c r="H26" s="45">
        <v>10.3</v>
      </c>
      <c r="I26" s="45">
        <v>10.3</v>
      </c>
      <c r="J26" s="45">
        <v>10.3</v>
      </c>
      <c r="K26" s="45">
        <v>10.3</v>
      </c>
      <c r="L26" s="45">
        <v>10.3</v>
      </c>
      <c r="M26" s="45">
        <v>10.3</v>
      </c>
      <c r="N26" s="45">
        <v>10.3</v>
      </c>
      <c r="O26" s="45">
        <v>10.3</v>
      </c>
      <c r="P26" s="45">
        <v>10.3</v>
      </c>
      <c r="Q26" s="45">
        <v>10.3</v>
      </c>
      <c r="R26" s="45">
        <v>10.3</v>
      </c>
      <c r="S26" s="45">
        <v>10.3</v>
      </c>
      <c r="T26" s="45">
        <v>10.3</v>
      </c>
      <c r="U26" s="45">
        <v>10.3</v>
      </c>
      <c r="V26" s="45">
        <v>10.3</v>
      </c>
      <c r="W26" s="45">
        <v>10.3</v>
      </c>
      <c r="X26" s="45"/>
      <c r="Y26" s="45"/>
      <c r="Z26" s="45">
        <v>10.3</v>
      </c>
      <c r="AA26" s="45">
        <v>10.3</v>
      </c>
      <c r="AB26" s="45">
        <v>10.3</v>
      </c>
      <c r="AC26" s="45">
        <v>10.3</v>
      </c>
      <c r="AD26" s="45">
        <v>10.3</v>
      </c>
      <c r="AE26" s="45">
        <v>9.6999999999999993</v>
      </c>
      <c r="AF26" s="45">
        <v>10.6</v>
      </c>
      <c r="AG26" s="50">
        <v>23.5</v>
      </c>
      <c r="AH26" s="47">
        <f t="shared" si="2"/>
        <v>10.6</v>
      </c>
      <c r="AI26" s="48">
        <f t="shared" si="3"/>
        <v>9.6999999999999993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/>
      <c r="Y27" s="45"/>
      <c r="Z27" s="45">
        <v>3</v>
      </c>
      <c r="AA27" s="45">
        <v>3</v>
      </c>
      <c r="AB27" s="45">
        <v>3</v>
      </c>
      <c r="AC27" s="45">
        <v>3</v>
      </c>
      <c r="AD27" s="45">
        <v>3</v>
      </c>
      <c r="AE27" s="45">
        <v>3</v>
      </c>
      <c r="AF27" s="45">
        <v>3</v>
      </c>
      <c r="AG27" s="50">
        <v>22.2</v>
      </c>
      <c r="AH27" s="47">
        <f t="shared" si="2"/>
        <v>3</v>
      </c>
      <c r="AI27" s="48">
        <f t="shared" si="3"/>
        <v>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/>
      <c r="Y28" s="45"/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0">
        <v>22.1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/>
      <c r="Y29" s="45"/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20</v>
      </c>
      <c r="C30" s="45">
        <v>20</v>
      </c>
      <c r="D30" s="45">
        <v>20</v>
      </c>
      <c r="E30" s="45">
        <v>20</v>
      </c>
      <c r="F30" s="45">
        <v>20</v>
      </c>
      <c r="G30" s="45">
        <v>20</v>
      </c>
      <c r="H30" s="45">
        <v>20</v>
      </c>
      <c r="I30" s="45">
        <v>20</v>
      </c>
      <c r="J30" s="45">
        <v>20</v>
      </c>
      <c r="K30" s="45">
        <v>20</v>
      </c>
      <c r="L30" s="45">
        <v>20</v>
      </c>
      <c r="M30" s="45">
        <v>20</v>
      </c>
      <c r="N30" s="45">
        <v>20</v>
      </c>
      <c r="O30" s="45">
        <v>20</v>
      </c>
      <c r="P30" s="45">
        <v>20</v>
      </c>
      <c r="Q30" s="45">
        <v>20</v>
      </c>
      <c r="R30" s="45">
        <v>20</v>
      </c>
      <c r="S30" s="45">
        <v>20</v>
      </c>
      <c r="T30" s="45">
        <v>20</v>
      </c>
      <c r="U30" s="45">
        <v>20</v>
      </c>
      <c r="V30" s="45">
        <v>20</v>
      </c>
      <c r="W30" s="45">
        <v>20</v>
      </c>
      <c r="X30" s="45"/>
      <c r="Y30" s="45"/>
      <c r="Z30" s="45">
        <v>20</v>
      </c>
      <c r="AA30" s="45">
        <v>20</v>
      </c>
      <c r="AB30" s="45">
        <v>20</v>
      </c>
      <c r="AC30" s="45">
        <v>20</v>
      </c>
      <c r="AD30" s="45">
        <v>20</v>
      </c>
      <c r="AE30" s="45">
        <v>15</v>
      </c>
      <c r="AF30" s="45">
        <v>15</v>
      </c>
      <c r="AG30" s="50">
        <v>22</v>
      </c>
      <c r="AH30" s="47">
        <f t="shared" si="2"/>
        <v>20</v>
      </c>
      <c r="AI30" s="48">
        <f t="shared" si="3"/>
        <v>15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17</v>
      </c>
      <c r="C31" s="45">
        <v>17</v>
      </c>
      <c r="D31" s="45">
        <v>17</v>
      </c>
      <c r="E31" s="45">
        <v>17</v>
      </c>
      <c r="F31" s="45">
        <v>17</v>
      </c>
      <c r="G31" s="45">
        <v>17</v>
      </c>
      <c r="H31" s="45">
        <v>17</v>
      </c>
      <c r="I31" s="45">
        <v>17</v>
      </c>
      <c r="J31" s="45">
        <v>17</v>
      </c>
      <c r="K31" s="45">
        <v>17</v>
      </c>
      <c r="L31" s="45">
        <v>17</v>
      </c>
      <c r="M31" s="45">
        <v>17</v>
      </c>
      <c r="N31" s="45">
        <v>17</v>
      </c>
      <c r="O31" s="45">
        <v>17</v>
      </c>
      <c r="P31" s="45">
        <v>17</v>
      </c>
      <c r="Q31" s="45">
        <v>17</v>
      </c>
      <c r="R31" s="45">
        <v>17</v>
      </c>
      <c r="S31" s="45">
        <v>0</v>
      </c>
      <c r="T31" s="45">
        <v>0</v>
      </c>
      <c r="U31" s="45">
        <v>17</v>
      </c>
      <c r="V31" s="45">
        <v>17</v>
      </c>
      <c r="W31" s="45">
        <v>17</v>
      </c>
      <c r="X31" s="45"/>
      <c r="Y31" s="45"/>
      <c r="Z31" s="45">
        <v>17</v>
      </c>
      <c r="AA31" s="45">
        <v>17</v>
      </c>
      <c r="AB31" s="45">
        <v>10</v>
      </c>
      <c r="AC31" s="45">
        <v>10</v>
      </c>
      <c r="AD31" s="45">
        <v>10</v>
      </c>
      <c r="AE31" s="45">
        <v>10</v>
      </c>
      <c r="AF31" s="45">
        <v>0</v>
      </c>
      <c r="AG31" s="50">
        <v>20</v>
      </c>
      <c r="AH31" s="47">
        <f t="shared" si="2"/>
        <v>17</v>
      </c>
      <c r="AI31" s="48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/>
      <c r="Y32" s="45"/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50">
        <v>18</v>
      </c>
      <c r="AH32" s="47">
        <f t="shared" si="2"/>
        <v>8</v>
      </c>
      <c r="AI32" s="48">
        <f t="shared" si="3"/>
        <v>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/>
      <c r="Y33" s="45"/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/>
      <c r="Y34" s="45"/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2</v>
      </c>
      <c r="C35" s="45">
        <v>2</v>
      </c>
      <c r="D35" s="45">
        <v>2</v>
      </c>
      <c r="E35" s="45">
        <v>2</v>
      </c>
      <c r="F35" s="45">
        <v>2</v>
      </c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>
        <v>2</v>
      </c>
      <c r="Q35" s="45">
        <v>2</v>
      </c>
      <c r="R35" s="45">
        <v>2</v>
      </c>
      <c r="S35" s="45">
        <v>0</v>
      </c>
      <c r="T35" s="45">
        <v>0</v>
      </c>
      <c r="U35" s="45">
        <v>2</v>
      </c>
      <c r="V35" s="45">
        <v>2</v>
      </c>
      <c r="W35" s="45">
        <v>2</v>
      </c>
      <c r="X35" s="45"/>
      <c r="Y35" s="45"/>
      <c r="Z35" s="45">
        <v>2</v>
      </c>
      <c r="AA35" s="45">
        <v>2</v>
      </c>
      <c r="AB35" s="45">
        <v>2</v>
      </c>
      <c r="AC35" s="45">
        <v>2</v>
      </c>
      <c r="AD35" s="45">
        <v>2</v>
      </c>
      <c r="AE35" s="45">
        <v>2</v>
      </c>
      <c r="AF35" s="45">
        <v>2</v>
      </c>
      <c r="AG35" s="50">
        <v>13.6</v>
      </c>
      <c r="AH35" s="47">
        <f t="shared" si="2"/>
        <v>2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3</v>
      </c>
      <c r="C36" s="45">
        <v>3</v>
      </c>
      <c r="D36" s="45">
        <v>3</v>
      </c>
      <c r="E36" s="45">
        <v>3</v>
      </c>
      <c r="F36" s="45">
        <v>3</v>
      </c>
      <c r="G36" s="45">
        <v>3</v>
      </c>
      <c r="H36" s="45">
        <v>3</v>
      </c>
      <c r="I36" s="45">
        <v>3</v>
      </c>
      <c r="J36" s="45">
        <v>3</v>
      </c>
      <c r="K36" s="45">
        <v>3</v>
      </c>
      <c r="L36" s="45">
        <v>3</v>
      </c>
      <c r="M36" s="45">
        <v>3</v>
      </c>
      <c r="N36" s="45">
        <v>3</v>
      </c>
      <c r="O36" s="45">
        <v>3</v>
      </c>
      <c r="P36" s="45">
        <v>3</v>
      </c>
      <c r="Q36" s="45">
        <v>3</v>
      </c>
      <c r="R36" s="45">
        <v>3</v>
      </c>
      <c r="S36" s="45">
        <v>3</v>
      </c>
      <c r="T36" s="45">
        <v>3</v>
      </c>
      <c r="U36" s="45">
        <v>3</v>
      </c>
      <c r="V36" s="45">
        <v>3</v>
      </c>
      <c r="W36" s="45">
        <v>3</v>
      </c>
      <c r="X36" s="45"/>
      <c r="Y36" s="45"/>
      <c r="Z36" s="45">
        <v>3</v>
      </c>
      <c r="AA36" s="45">
        <v>3</v>
      </c>
      <c r="AB36" s="45">
        <v>3</v>
      </c>
      <c r="AC36" s="45">
        <v>3</v>
      </c>
      <c r="AD36" s="45">
        <v>3</v>
      </c>
      <c r="AE36" s="45">
        <v>3</v>
      </c>
      <c r="AF36" s="45">
        <v>3</v>
      </c>
      <c r="AG36" s="50">
        <v>13</v>
      </c>
      <c r="AH36" s="47">
        <f t="shared" si="2"/>
        <v>3</v>
      </c>
      <c r="AI36" s="48">
        <f t="shared" si="3"/>
        <v>3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7.5</v>
      </c>
      <c r="C37" s="45">
        <v>7.5</v>
      </c>
      <c r="D37" s="45">
        <v>7.5</v>
      </c>
      <c r="E37" s="45">
        <v>7.5</v>
      </c>
      <c r="F37" s="45">
        <v>7.5</v>
      </c>
      <c r="G37" s="45">
        <v>7.5</v>
      </c>
      <c r="H37" s="45">
        <v>7.5</v>
      </c>
      <c r="I37" s="45">
        <v>7.5</v>
      </c>
      <c r="J37" s="45">
        <v>7.5</v>
      </c>
      <c r="K37" s="45">
        <v>7.5</v>
      </c>
      <c r="L37" s="45">
        <v>7.5</v>
      </c>
      <c r="M37" s="45">
        <v>7.5</v>
      </c>
      <c r="N37" s="45">
        <v>7.5</v>
      </c>
      <c r="O37" s="45">
        <v>7.5</v>
      </c>
      <c r="P37" s="45">
        <v>7.5</v>
      </c>
      <c r="Q37" s="45">
        <v>7.5</v>
      </c>
      <c r="R37" s="45">
        <v>7.5</v>
      </c>
      <c r="S37" s="45">
        <v>2.2000000000000002</v>
      </c>
      <c r="T37" s="45">
        <v>2.2000000000000002</v>
      </c>
      <c r="U37" s="45">
        <v>7.5</v>
      </c>
      <c r="V37" s="45">
        <v>7.5</v>
      </c>
      <c r="W37" s="45">
        <v>7.5</v>
      </c>
      <c r="X37" s="45"/>
      <c r="Y37" s="45"/>
      <c r="Z37" s="45">
        <v>7.5</v>
      </c>
      <c r="AA37" s="45">
        <v>7.5</v>
      </c>
      <c r="AB37" s="45">
        <v>7.5</v>
      </c>
      <c r="AC37" s="45">
        <v>7.5</v>
      </c>
      <c r="AD37" s="45">
        <v>7.5</v>
      </c>
      <c r="AE37" s="45">
        <v>0</v>
      </c>
      <c r="AF37" s="45">
        <v>0</v>
      </c>
      <c r="AG37" s="50">
        <v>12</v>
      </c>
      <c r="AH37" s="47">
        <f t="shared" si="2"/>
        <v>7.5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4</v>
      </c>
      <c r="C38" s="45">
        <v>4</v>
      </c>
      <c r="D38" s="45">
        <v>4</v>
      </c>
      <c r="E38" s="45">
        <v>4</v>
      </c>
      <c r="F38" s="45">
        <v>4</v>
      </c>
      <c r="G38" s="45">
        <v>4</v>
      </c>
      <c r="H38" s="45">
        <v>4</v>
      </c>
      <c r="I38" s="45">
        <v>4</v>
      </c>
      <c r="J38" s="45">
        <v>4</v>
      </c>
      <c r="K38" s="45">
        <v>4</v>
      </c>
      <c r="L38" s="45">
        <v>4</v>
      </c>
      <c r="M38" s="45">
        <v>4</v>
      </c>
      <c r="N38" s="45">
        <v>4</v>
      </c>
      <c r="O38" s="45">
        <v>4</v>
      </c>
      <c r="P38" s="45">
        <v>4</v>
      </c>
      <c r="Q38" s="45">
        <v>4</v>
      </c>
      <c r="R38" s="45">
        <v>4</v>
      </c>
      <c r="S38" s="45">
        <v>4</v>
      </c>
      <c r="T38" s="45">
        <v>4</v>
      </c>
      <c r="U38" s="45">
        <v>4</v>
      </c>
      <c r="V38" s="45">
        <v>4</v>
      </c>
      <c r="W38" s="45">
        <v>4</v>
      </c>
      <c r="X38" s="45"/>
      <c r="Y38" s="45"/>
      <c r="Z38" s="45">
        <v>4</v>
      </c>
      <c r="AA38" s="45">
        <v>4</v>
      </c>
      <c r="AB38" s="45">
        <v>4</v>
      </c>
      <c r="AC38" s="45">
        <v>4</v>
      </c>
      <c r="AD38" s="45">
        <v>4</v>
      </c>
      <c r="AE38" s="45">
        <v>4</v>
      </c>
      <c r="AF38" s="45">
        <v>4</v>
      </c>
      <c r="AG38" s="50">
        <v>12</v>
      </c>
      <c r="AH38" s="47">
        <f t="shared" si="2"/>
        <v>4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/>
      <c r="Y39" s="45"/>
      <c r="Z39" s="45">
        <v>3</v>
      </c>
      <c r="AA39" s="45">
        <v>3</v>
      </c>
      <c r="AB39" s="45">
        <v>3</v>
      </c>
      <c r="AC39" s="45">
        <v>3</v>
      </c>
      <c r="AD39" s="45">
        <v>3</v>
      </c>
      <c r="AE39" s="45">
        <v>3</v>
      </c>
      <c r="AF39" s="45">
        <v>3</v>
      </c>
      <c r="AG39" s="50">
        <v>12</v>
      </c>
      <c r="AH39" s="47">
        <f t="shared" si="2"/>
        <v>3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/>
      <c r="Y40" s="45"/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52">
        <v>22</v>
      </c>
      <c r="AH40" s="47">
        <f t="shared" si="2"/>
        <v>2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>
        <v>3.6</v>
      </c>
      <c r="Q41" s="45">
        <v>3.6</v>
      </c>
      <c r="R41" s="45">
        <v>3.6</v>
      </c>
      <c r="S41" s="45">
        <v>3.6</v>
      </c>
      <c r="T41" s="45">
        <v>3.6</v>
      </c>
      <c r="U41" s="45">
        <v>3.6</v>
      </c>
      <c r="V41" s="45">
        <v>3.6</v>
      </c>
      <c r="W41" s="45">
        <v>3.6</v>
      </c>
      <c r="X41" s="45"/>
      <c r="Y41" s="45"/>
      <c r="Z41" s="45">
        <v>3.6</v>
      </c>
      <c r="AA41" s="45">
        <v>3.6</v>
      </c>
      <c r="AB41" s="45">
        <v>3.6</v>
      </c>
      <c r="AC41" s="45">
        <v>3.6</v>
      </c>
      <c r="AD41" s="45">
        <v>3.6</v>
      </c>
      <c r="AE41" s="45">
        <v>3.6</v>
      </c>
      <c r="AF41" s="45">
        <v>3.6</v>
      </c>
      <c r="AG41" s="51">
        <v>11.88</v>
      </c>
      <c r="AH41" s="47">
        <f t="shared" si="2"/>
        <v>3.6</v>
      </c>
      <c r="AI41" s="48">
        <f t="shared" si="3"/>
        <v>3.6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/>
      <c r="Y42" s="45"/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3</v>
      </c>
      <c r="C43" s="45">
        <v>3</v>
      </c>
      <c r="D43" s="45">
        <v>3</v>
      </c>
      <c r="E43" s="45">
        <v>3</v>
      </c>
      <c r="F43" s="45">
        <v>3</v>
      </c>
      <c r="G43" s="45">
        <v>3</v>
      </c>
      <c r="H43" s="45">
        <v>3</v>
      </c>
      <c r="I43" s="45">
        <v>3</v>
      </c>
      <c r="J43" s="45">
        <v>3</v>
      </c>
      <c r="K43" s="45">
        <v>3</v>
      </c>
      <c r="L43" s="45">
        <v>3</v>
      </c>
      <c r="M43" s="45">
        <v>3</v>
      </c>
      <c r="N43" s="45">
        <v>3</v>
      </c>
      <c r="O43" s="45">
        <v>3</v>
      </c>
      <c r="P43" s="45">
        <v>3</v>
      </c>
      <c r="Q43" s="45">
        <v>3</v>
      </c>
      <c r="R43" s="45">
        <v>3</v>
      </c>
      <c r="S43" s="45">
        <v>3</v>
      </c>
      <c r="T43" s="45">
        <v>3</v>
      </c>
      <c r="U43" s="45">
        <v>3</v>
      </c>
      <c r="V43" s="45">
        <v>3</v>
      </c>
      <c r="W43" s="45">
        <v>3</v>
      </c>
      <c r="X43" s="45"/>
      <c r="Y43" s="45"/>
      <c r="Z43" s="45">
        <v>3</v>
      </c>
      <c r="AA43" s="45">
        <v>3</v>
      </c>
      <c r="AB43" s="45">
        <v>3</v>
      </c>
      <c r="AC43" s="45">
        <v>3</v>
      </c>
      <c r="AD43" s="45">
        <v>3</v>
      </c>
      <c r="AE43" s="45">
        <v>3</v>
      </c>
      <c r="AF43" s="45">
        <v>3</v>
      </c>
      <c r="AG43" s="54">
        <v>10</v>
      </c>
      <c r="AH43" s="47">
        <f t="shared" si="2"/>
        <v>3</v>
      </c>
      <c r="AI43" s="48">
        <f t="shared" si="3"/>
        <v>3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>
        <v>3</v>
      </c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/>
      <c r="Y44" s="45"/>
      <c r="Z44" s="45">
        <v>3</v>
      </c>
      <c r="AA44" s="45">
        <v>3</v>
      </c>
      <c r="AB44" s="45">
        <v>3</v>
      </c>
      <c r="AC44" s="45">
        <v>3</v>
      </c>
      <c r="AD44" s="45">
        <v>3</v>
      </c>
      <c r="AE44" s="45">
        <v>3</v>
      </c>
      <c r="AF44" s="45">
        <v>3</v>
      </c>
      <c r="AG44" s="54">
        <v>10</v>
      </c>
      <c r="AH44" s="47">
        <f t="shared" si="2"/>
        <v>3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/>
      <c r="Y45" s="45"/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154</v>
      </c>
      <c r="C46" s="56">
        <v>154</v>
      </c>
      <c r="D46" s="56">
        <v>154</v>
      </c>
      <c r="E46" s="56">
        <v>154</v>
      </c>
      <c r="F46" s="56">
        <v>154</v>
      </c>
      <c r="G46" s="56">
        <v>154</v>
      </c>
      <c r="H46" s="56">
        <v>154</v>
      </c>
      <c r="I46" s="56">
        <v>154</v>
      </c>
      <c r="J46" s="56">
        <v>154</v>
      </c>
      <c r="K46" s="56">
        <v>154</v>
      </c>
      <c r="L46" s="56">
        <v>154</v>
      </c>
      <c r="M46" s="56">
        <v>154</v>
      </c>
      <c r="N46" s="56">
        <v>154</v>
      </c>
      <c r="O46" s="56">
        <v>154</v>
      </c>
      <c r="P46" s="56">
        <v>154</v>
      </c>
      <c r="Q46" s="56">
        <v>154</v>
      </c>
      <c r="R46" s="56">
        <v>154</v>
      </c>
      <c r="S46" s="56">
        <v>154</v>
      </c>
      <c r="T46" s="56">
        <v>154</v>
      </c>
      <c r="U46" s="56">
        <v>154</v>
      </c>
      <c r="V46" s="56">
        <v>154</v>
      </c>
      <c r="W46" s="56">
        <v>154</v>
      </c>
      <c r="X46" s="56"/>
      <c r="Y46" s="56"/>
      <c r="Z46" s="56">
        <v>154</v>
      </c>
      <c r="AA46" s="56">
        <v>154</v>
      </c>
      <c r="AB46" s="56">
        <v>154</v>
      </c>
      <c r="AC46" s="56">
        <v>154</v>
      </c>
      <c r="AD46" s="56">
        <v>154</v>
      </c>
      <c r="AE46" s="56">
        <v>154</v>
      </c>
      <c r="AF46" s="56">
        <v>154</v>
      </c>
      <c r="AG46" s="54">
        <v>85</v>
      </c>
      <c r="AH46" s="47">
        <f t="shared" si="2"/>
        <v>154</v>
      </c>
      <c r="AI46" s="48">
        <f t="shared" si="3"/>
        <v>154</v>
      </c>
      <c r="AK46" s="49"/>
    </row>
    <row r="47" spans="1:88" ht="15.75" thickBot="1" x14ac:dyDescent="0.3">
      <c r="A47" s="57" t="s">
        <v>55</v>
      </c>
      <c r="B47" s="56"/>
      <c r="C47" s="58"/>
      <c r="D47" s="58"/>
      <c r="E47" s="58"/>
      <c r="F47" s="58"/>
      <c r="G47" s="58"/>
      <c r="H47" s="58"/>
      <c r="I47" s="58"/>
      <c r="J47" s="58">
        <v>62</v>
      </c>
      <c r="K47" s="58">
        <v>62</v>
      </c>
      <c r="L47" s="58">
        <v>62</v>
      </c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8"/>
      <c r="AA47" s="58"/>
      <c r="AB47" s="56"/>
      <c r="AC47" s="56"/>
      <c r="AD47" s="56"/>
      <c r="AE47" s="56"/>
      <c r="AF47" s="56"/>
      <c r="AG47" s="54">
        <v>240</v>
      </c>
      <c r="AH47" s="47">
        <f t="shared" si="2"/>
        <v>62</v>
      </c>
      <c r="AI47" s="48">
        <f t="shared" si="3"/>
        <v>62</v>
      </c>
      <c r="AK47" s="49"/>
    </row>
    <row r="48" spans="1:88" ht="15.75" thickBot="1" x14ac:dyDescent="0.3">
      <c r="A48" s="59" t="s">
        <v>56</v>
      </c>
      <c r="B48" s="60">
        <v>560.5</v>
      </c>
      <c r="C48" s="60">
        <f t="shared" ref="C48:AE48" si="4">SUM(C11:C46)</f>
        <v>525</v>
      </c>
      <c r="D48" s="60">
        <f t="shared" si="4"/>
        <v>526</v>
      </c>
      <c r="E48" s="60">
        <f t="shared" si="4"/>
        <v>526</v>
      </c>
      <c r="F48" s="60">
        <f>SUM(F11:F46)</f>
        <v>526</v>
      </c>
      <c r="G48" s="60">
        <f t="shared" si="4"/>
        <v>526</v>
      </c>
      <c r="H48" s="60">
        <f t="shared" si="4"/>
        <v>526</v>
      </c>
      <c r="I48" s="60">
        <f t="shared" si="4"/>
        <v>526</v>
      </c>
      <c r="J48" s="60">
        <f t="shared" si="4"/>
        <v>526</v>
      </c>
      <c r="K48" s="60">
        <f t="shared" si="4"/>
        <v>551.90000000000009</v>
      </c>
      <c r="L48" s="60">
        <f t="shared" si="4"/>
        <v>551.90000000000009</v>
      </c>
      <c r="M48" s="60">
        <f t="shared" si="4"/>
        <v>551.90000000000009</v>
      </c>
      <c r="N48" s="60">
        <f t="shared" si="4"/>
        <v>551.90000000000009</v>
      </c>
      <c r="O48" s="60">
        <f t="shared" si="4"/>
        <v>551.90000000000009</v>
      </c>
      <c r="P48" s="60">
        <f t="shared" si="4"/>
        <v>551.90000000000009</v>
      </c>
      <c r="Q48" s="60">
        <f t="shared" si="4"/>
        <v>551.90000000000009</v>
      </c>
      <c r="R48" s="60">
        <f t="shared" si="4"/>
        <v>551.90000000000009</v>
      </c>
      <c r="S48" s="60">
        <f t="shared" si="4"/>
        <v>484.70000000000005</v>
      </c>
      <c r="T48" s="60">
        <f t="shared" si="4"/>
        <v>472.70000000000005</v>
      </c>
      <c r="U48" s="60">
        <f t="shared" si="4"/>
        <v>551.90000000000009</v>
      </c>
      <c r="V48" s="60">
        <f>SUM(V11:V46)</f>
        <v>551.90000000000009</v>
      </c>
      <c r="W48" s="60">
        <f>SUM(W11:W46)</f>
        <v>551.90000000000009</v>
      </c>
      <c r="X48" s="60">
        <f t="shared" si="4"/>
        <v>0</v>
      </c>
      <c r="Y48" s="60">
        <f t="shared" si="4"/>
        <v>0</v>
      </c>
      <c r="Z48" s="60">
        <f>SUM(Z11:Z46)</f>
        <v>551.90000000000009</v>
      </c>
      <c r="AA48" s="60">
        <f>SUM(AA11:AA46)</f>
        <v>551.90000000000009</v>
      </c>
      <c r="AB48" s="60">
        <f t="shared" si="4"/>
        <v>544.90000000000009</v>
      </c>
      <c r="AC48" s="60">
        <f t="shared" si="4"/>
        <v>544.90000000000009</v>
      </c>
      <c r="AD48" s="60">
        <f t="shared" si="4"/>
        <v>544.90000000000009</v>
      </c>
      <c r="AE48" s="60">
        <f t="shared" si="4"/>
        <v>525.1</v>
      </c>
      <c r="AF48" s="60">
        <f>SUM(AF11:AF46)</f>
        <v>500.8</v>
      </c>
      <c r="AG48" s="61">
        <f>SUM(AG12:AG46)</f>
        <v>875.68</v>
      </c>
      <c r="AH48" s="47">
        <f t="shared" si="2"/>
        <v>560.5</v>
      </c>
      <c r="AI48" s="48">
        <f t="shared" si="3"/>
        <v>0</v>
      </c>
      <c r="AK48" s="49"/>
    </row>
    <row r="49" spans="1:41" x14ac:dyDescent="0.25">
      <c r="A49" s="62" t="s">
        <v>57</v>
      </c>
      <c r="B49" s="45">
        <v>220</v>
      </c>
      <c r="C49" s="45">
        <v>60</v>
      </c>
      <c r="D49" s="45">
        <v>15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50</v>
      </c>
      <c r="O49" s="45">
        <v>80</v>
      </c>
      <c r="P49" s="45">
        <v>130</v>
      </c>
      <c r="Q49" s="45">
        <v>130</v>
      </c>
      <c r="R49" s="45">
        <v>110</v>
      </c>
      <c r="S49" s="45">
        <v>130</v>
      </c>
      <c r="T49" s="45">
        <v>195</v>
      </c>
      <c r="U49" s="45">
        <v>110</v>
      </c>
      <c r="V49" s="45">
        <v>135</v>
      </c>
      <c r="W49" s="45">
        <v>40</v>
      </c>
      <c r="X49" s="45"/>
      <c r="Y49" s="45"/>
      <c r="Z49" s="45">
        <v>115</v>
      </c>
      <c r="AA49" s="45">
        <v>155</v>
      </c>
      <c r="AB49" s="45">
        <v>115</v>
      </c>
      <c r="AC49" s="45">
        <v>115</v>
      </c>
      <c r="AD49" s="45">
        <v>115</v>
      </c>
      <c r="AE49" s="45">
        <v>120</v>
      </c>
      <c r="AF49" s="45">
        <v>130</v>
      </c>
      <c r="AG49" s="51">
        <v>456</v>
      </c>
      <c r="AH49" s="47">
        <f t="shared" si="2"/>
        <v>220</v>
      </c>
      <c r="AI49" s="48">
        <f t="shared" si="3"/>
        <v>0</v>
      </c>
      <c r="AK49" s="49"/>
    </row>
    <row r="50" spans="1:41" x14ac:dyDescent="0.25">
      <c r="A50" s="64" t="s">
        <v>58</v>
      </c>
      <c r="B50" s="65">
        <v>29</v>
      </c>
      <c r="C50" s="65">
        <v>29</v>
      </c>
      <c r="D50" s="65">
        <v>29</v>
      </c>
      <c r="E50" s="65">
        <v>29</v>
      </c>
      <c r="F50" s="65">
        <v>29</v>
      </c>
      <c r="G50" s="65">
        <v>29</v>
      </c>
      <c r="H50" s="65">
        <v>29</v>
      </c>
      <c r="I50" s="65">
        <v>29</v>
      </c>
      <c r="J50" s="65">
        <v>29</v>
      </c>
      <c r="K50" s="65">
        <v>29</v>
      </c>
      <c r="L50" s="65">
        <v>29</v>
      </c>
      <c r="M50" s="65">
        <v>29</v>
      </c>
      <c r="N50" s="65">
        <v>29</v>
      </c>
      <c r="O50" s="65">
        <v>29</v>
      </c>
      <c r="P50" s="65">
        <v>29</v>
      </c>
      <c r="Q50" s="65">
        <v>29</v>
      </c>
      <c r="R50" s="65">
        <v>29</v>
      </c>
      <c r="S50" s="65">
        <v>29</v>
      </c>
      <c r="T50" s="65">
        <v>29</v>
      </c>
      <c r="U50" s="65">
        <v>29</v>
      </c>
      <c r="V50" s="65">
        <v>29</v>
      </c>
      <c r="W50" s="65">
        <v>29</v>
      </c>
      <c r="X50" s="65"/>
      <c r="Y50" s="65"/>
      <c r="Z50" s="65">
        <v>29</v>
      </c>
      <c r="AA50" s="65">
        <v>29</v>
      </c>
      <c r="AB50" s="65">
        <v>29</v>
      </c>
      <c r="AC50" s="65">
        <v>29</v>
      </c>
      <c r="AD50" s="65">
        <v>29</v>
      </c>
      <c r="AE50" s="65">
        <v>29</v>
      </c>
      <c r="AF50" s="65">
        <v>29</v>
      </c>
      <c r="AG50" s="54">
        <v>60</v>
      </c>
      <c r="AH50" s="47">
        <f t="shared" si="2"/>
        <v>29</v>
      </c>
      <c r="AI50" s="48">
        <f t="shared" si="3"/>
        <v>29</v>
      </c>
      <c r="AK50" s="49"/>
    </row>
    <row r="51" spans="1:41" ht="15.75" thickBot="1" x14ac:dyDescent="0.3">
      <c r="A51" s="66" t="s">
        <v>59</v>
      </c>
      <c r="B51" s="67">
        <v>20</v>
      </c>
      <c r="C51" s="67">
        <v>20</v>
      </c>
      <c r="D51" s="67">
        <v>20</v>
      </c>
      <c r="E51" s="67">
        <v>20</v>
      </c>
      <c r="F51" s="67">
        <v>20</v>
      </c>
      <c r="G51" s="67">
        <v>20</v>
      </c>
      <c r="H51" s="67">
        <v>20</v>
      </c>
      <c r="I51" s="67">
        <v>20</v>
      </c>
      <c r="J51" s="67">
        <v>20</v>
      </c>
      <c r="K51" s="67">
        <v>20</v>
      </c>
      <c r="L51" s="67">
        <v>20</v>
      </c>
      <c r="M51" s="67">
        <v>20</v>
      </c>
      <c r="N51" s="67">
        <v>20</v>
      </c>
      <c r="O51" s="67">
        <v>20</v>
      </c>
      <c r="P51" s="67">
        <v>20</v>
      </c>
      <c r="Q51" s="67">
        <v>20</v>
      </c>
      <c r="R51" s="67">
        <v>20</v>
      </c>
      <c r="S51" s="67">
        <v>19.600000000000001</v>
      </c>
      <c r="T51" s="67">
        <v>19.600000000000001</v>
      </c>
      <c r="U51" s="67">
        <v>19.600000000000001</v>
      </c>
      <c r="V51" s="67">
        <v>19.600000000000001</v>
      </c>
      <c r="W51" s="67">
        <v>19.600000000000001</v>
      </c>
      <c r="X51" s="67"/>
      <c r="Y51" s="67"/>
      <c r="Z51" s="67">
        <v>19.600000000000001</v>
      </c>
      <c r="AA51" s="67">
        <v>19.600000000000001</v>
      </c>
      <c r="AB51" s="67">
        <v>19.600000000000001</v>
      </c>
      <c r="AC51" s="67">
        <v>19.600000000000001</v>
      </c>
      <c r="AD51" s="67">
        <v>19.600000000000001</v>
      </c>
      <c r="AE51" s="67">
        <v>22</v>
      </c>
      <c r="AF51" s="67">
        <v>22</v>
      </c>
      <c r="AG51" s="68">
        <v>22.1</v>
      </c>
      <c r="AH51" s="47">
        <f t="shared" si="2"/>
        <v>22</v>
      </c>
      <c r="AI51" s="48">
        <f t="shared" si="3"/>
        <v>19.600000000000001</v>
      </c>
      <c r="AK51" s="49"/>
    </row>
    <row r="52" spans="1:41" ht="15.75" thickBot="1" x14ac:dyDescent="0.3">
      <c r="A52" s="69" t="s">
        <v>60</v>
      </c>
      <c r="B52" s="60">
        <v>249</v>
      </c>
      <c r="C52" s="60">
        <f t="shared" ref="C52:AG52" si="5">SUM(C49:C51)</f>
        <v>109</v>
      </c>
      <c r="D52" s="60">
        <f t="shared" si="5"/>
        <v>64</v>
      </c>
      <c r="E52" s="60">
        <f t="shared" si="5"/>
        <v>49</v>
      </c>
      <c r="F52" s="60">
        <f>SUM(F49:F51)</f>
        <v>49</v>
      </c>
      <c r="G52" s="60">
        <f t="shared" si="5"/>
        <v>49</v>
      </c>
      <c r="H52" s="60">
        <f t="shared" si="5"/>
        <v>49</v>
      </c>
      <c r="I52" s="60">
        <f t="shared" si="5"/>
        <v>49</v>
      </c>
      <c r="J52" s="60">
        <f t="shared" si="5"/>
        <v>49</v>
      </c>
      <c r="K52" s="60">
        <f t="shared" si="5"/>
        <v>49</v>
      </c>
      <c r="L52" s="60">
        <f t="shared" si="5"/>
        <v>49</v>
      </c>
      <c r="M52" s="60">
        <f t="shared" si="5"/>
        <v>49</v>
      </c>
      <c r="N52" s="60">
        <f t="shared" si="5"/>
        <v>99</v>
      </c>
      <c r="O52" s="60">
        <f t="shared" si="5"/>
        <v>129</v>
      </c>
      <c r="P52" s="60">
        <f t="shared" si="5"/>
        <v>179</v>
      </c>
      <c r="Q52" s="60">
        <f t="shared" si="5"/>
        <v>179</v>
      </c>
      <c r="R52" s="60">
        <f t="shared" si="5"/>
        <v>159</v>
      </c>
      <c r="S52" s="60">
        <f t="shared" si="5"/>
        <v>178.6</v>
      </c>
      <c r="T52" s="60">
        <f t="shared" si="5"/>
        <v>243.6</v>
      </c>
      <c r="U52" s="60">
        <f t="shared" si="5"/>
        <v>158.6</v>
      </c>
      <c r="V52" s="60">
        <f>SUM(V49:V51)</f>
        <v>183.6</v>
      </c>
      <c r="W52" s="60">
        <f>SUM(W49:W51)</f>
        <v>88.6</v>
      </c>
      <c r="X52" s="60">
        <f t="shared" si="5"/>
        <v>0</v>
      </c>
      <c r="Y52" s="60">
        <f t="shared" si="5"/>
        <v>0</v>
      </c>
      <c r="Z52" s="60">
        <f>SUM(Z49:Z51)</f>
        <v>163.6</v>
      </c>
      <c r="AA52" s="60">
        <f>SUM(AA49:AA51)</f>
        <v>203.6</v>
      </c>
      <c r="AB52" s="60">
        <f t="shared" si="5"/>
        <v>163.6</v>
      </c>
      <c r="AC52" s="60">
        <f t="shared" si="5"/>
        <v>163.6</v>
      </c>
      <c r="AD52" s="60">
        <f t="shared" si="5"/>
        <v>163.6</v>
      </c>
      <c r="AE52" s="60">
        <f t="shared" si="5"/>
        <v>171</v>
      </c>
      <c r="AF52" s="60">
        <f>SUM(AF49:AF51)</f>
        <v>181</v>
      </c>
      <c r="AG52" s="61">
        <f t="shared" si="5"/>
        <v>538.1</v>
      </c>
      <c r="AH52" s="47">
        <f t="shared" si="2"/>
        <v>249</v>
      </c>
      <c r="AI52" s="48">
        <f t="shared" si="3"/>
        <v>0</v>
      </c>
      <c r="AK52" s="49"/>
    </row>
    <row r="53" spans="1:41" x14ac:dyDescent="0.25">
      <c r="A53" s="44" t="s">
        <v>61</v>
      </c>
      <c r="B53" s="45">
        <v>100</v>
      </c>
      <c r="C53" s="45">
        <v>100</v>
      </c>
      <c r="D53" s="45">
        <v>80</v>
      </c>
      <c r="E53" s="45">
        <v>81.5</v>
      </c>
      <c r="F53" s="45">
        <v>60</v>
      </c>
      <c r="G53" s="45">
        <v>60</v>
      </c>
      <c r="H53" s="45">
        <v>60</v>
      </c>
      <c r="I53" s="45">
        <v>61</v>
      </c>
      <c r="J53" s="45">
        <v>61</v>
      </c>
      <c r="K53" s="45">
        <v>61</v>
      </c>
      <c r="L53" s="45">
        <v>61.3</v>
      </c>
      <c r="M53" s="45">
        <v>61.3</v>
      </c>
      <c r="N53" s="45">
        <v>101</v>
      </c>
      <c r="O53" s="45">
        <v>61</v>
      </c>
      <c r="P53" s="45">
        <v>91.2</v>
      </c>
      <c r="Q53" s="45">
        <v>122.2</v>
      </c>
      <c r="R53" s="45">
        <v>132</v>
      </c>
      <c r="S53" s="45">
        <v>145.69999999999999</v>
      </c>
      <c r="T53" s="45">
        <v>145.6</v>
      </c>
      <c r="U53" s="45">
        <v>116</v>
      </c>
      <c r="V53" s="45">
        <v>116</v>
      </c>
      <c r="W53" s="45">
        <v>116</v>
      </c>
      <c r="X53" s="45"/>
      <c r="Y53" s="45"/>
      <c r="Z53" s="45">
        <v>146.4</v>
      </c>
      <c r="AA53" s="45">
        <v>146.4</v>
      </c>
      <c r="AB53" s="45">
        <v>146.4</v>
      </c>
      <c r="AC53" s="45">
        <v>146.4</v>
      </c>
      <c r="AD53" s="45">
        <v>146.4</v>
      </c>
      <c r="AE53" s="45">
        <v>144.69999999999999</v>
      </c>
      <c r="AF53" s="45">
        <v>144.19999999999999</v>
      </c>
      <c r="AG53" s="51">
        <v>144</v>
      </c>
      <c r="AH53" s="47">
        <f t="shared" si="2"/>
        <v>146.4</v>
      </c>
      <c r="AI53" s="48">
        <f t="shared" si="3"/>
        <v>60</v>
      </c>
      <c r="AK53" s="49"/>
    </row>
    <row r="54" spans="1:41" x14ac:dyDescent="0.25">
      <c r="A54" s="53" t="s">
        <v>62</v>
      </c>
      <c r="B54" s="65">
        <v>64</v>
      </c>
      <c r="C54" s="65">
        <v>64</v>
      </c>
      <c r="D54" s="65">
        <v>65</v>
      </c>
      <c r="E54" s="65">
        <v>65</v>
      </c>
      <c r="F54" s="65">
        <v>65</v>
      </c>
      <c r="G54" s="65">
        <v>65</v>
      </c>
      <c r="H54" s="65">
        <v>70</v>
      </c>
      <c r="I54" s="65">
        <v>70</v>
      </c>
      <c r="J54" s="65">
        <v>70</v>
      </c>
      <c r="K54" s="65">
        <v>60</v>
      </c>
      <c r="L54" s="65">
        <v>61.4</v>
      </c>
      <c r="M54" s="65">
        <v>61.4</v>
      </c>
      <c r="N54" s="65">
        <v>65</v>
      </c>
      <c r="O54" s="65">
        <v>50</v>
      </c>
      <c r="P54" s="65">
        <v>44.3</v>
      </c>
      <c r="Q54" s="65">
        <v>70.5</v>
      </c>
      <c r="R54" s="65">
        <v>60.4</v>
      </c>
      <c r="S54" s="45">
        <v>46.6</v>
      </c>
      <c r="T54" s="45">
        <v>46.1</v>
      </c>
      <c r="U54" s="45">
        <v>69.400000000000006</v>
      </c>
      <c r="V54" s="45">
        <v>69.400000000000006</v>
      </c>
      <c r="W54" s="45">
        <v>69.400000000000006</v>
      </c>
      <c r="X54" s="45"/>
      <c r="Y54" s="45"/>
      <c r="Z54" s="45">
        <v>48.4</v>
      </c>
      <c r="AA54" s="45">
        <v>69.3</v>
      </c>
      <c r="AB54" s="45">
        <v>60</v>
      </c>
      <c r="AC54" s="45">
        <v>60</v>
      </c>
      <c r="AD54" s="45">
        <v>49.5</v>
      </c>
      <c r="AE54" s="65">
        <v>49.3</v>
      </c>
      <c r="AF54" s="65">
        <v>50.5</v>
      </c>
      <c r="AG54" s="54">
        <v>70</v>
      </c>
      <c r="AH54" s="47">
        <f t="shared" si="2"/>
        <v>70.5</v>
      </c>
      <c r="AI54" s="48">
        <f t="shared" si="3"/>
        <v>44.3</v>
      </c>
      <c r="AK54" s="49"/>
    </row>
    <row r="55" spans="1:41" x14ac:dyDescent="0.25">
      <c r="A55" s="53" t="s">
        <v>63</v>
      </c>
      <c r="B55" s="65">
        <v>70</v>
      </c>
      <c r="C55" s="65">
        <v>70</v>
      </c>
      <c r="D55" s="65">
        <v>70</v>
      </c>
      <c r="E55" s="65">
        <v>70</v>
      </c>
      <c r="F55" s="65">
        <v>59</v>
      </c>
      <c r="G55" s="65">
        <v>59</v>
      </c>
      <c r="H55" s="65">
        <v>70</v>
      </c>
      <c r="I55" s="65">
        <v>70</v>
      </c>
      <c r="J55" s="65">
        <v>70</v>
      </c>
      <c r="K55" s="65">
        <v>62</v>
      </c>
      <c r="L55" s="65">
        <v>61</v>
      </c>
      <c r="M55" s="65">
        <v>68</v>
      </c>
      <c r="N55" s="65">
        <v>68</v>
      </c>
      <c r="O55" s="65">
        <v>60</v>
      </c>
      <c r="P55" s="65">
        <v>69.099999999999994</v>
      </c>
      <c r="Q55" s="65">
        <v>70.3</v>
      </c>
      <c r="R55" s="65">
        <v>69</v>
      </c>
      <c r="S55" s="45">
        <v>55.7</v>
      </c>
      <c r="T55" s="45">
        <v>61.1</v>
      </c>
      <c r="U55" s="45">
        <v>69.7</v>
      </c>
      <c r="V55" s="45">
        <v>69.7</v>
      </c>
      <c r="W55" s="45">
        <v>69.7</v>
      </c>
      <c r="X55" s="45"/>
      <c r="Y55" s="45"/>
      <c r="Z55" s="45">
        <v>55.9</v>
      </c>
      <c r="AA55" s="45">
        <v>68.8</v>
      </c>
      <c r="AB55" s="45">
        <v>63.2</v>
      </c>
      <c r="AC55" s="45">
        <v>63.2</v>
      </c>
      <c r="AD55" s="45">
        <v>69.5</v>
      </c>
      <c r="AE55" s="65">
        <v>63.7</v>
      </c>
      <c r="AF55" s="65">
        <v>53.7</v>
      </c>
      <c r="AG55" s="54">
        <v>69</v>
      </c>
      <c r="AH55" s="47">
        <f t="shared" si="2"/>
        <v>70.3</v>
      </c>
      <c r="AI55" s="48">
        <f t="shared" si="3"/>
        <v>53.7</v>
      </c>
      <c r="AK55" s="49"/>
    </row>
    <row r="56" spans="1:41" x14ac:dyDescent="0.25">
      <c r="A56" s="53" t="s">
        <v>64</v>
      </c>
      <c r="B56" s="65">
        <v>20</v>
      </c>
      <c r="C56" s="65">
        <v>40</v>
      </c>
      <c r="D56" s="65">
        <v>50</v>
      </c>
      <c r="E56" s="65">
        <v>50</v>
      </c>
      <c r="F56" s="65">
        <v>50</v>
      </c>
      <c r="G56" s="65">
        <v>50</v>
      </c>
      <c r="H56" s="65">
        <v>50</v>
      </c>
      <c r="I56" s="65">
        <v>50</v>
      </c>
      <c r="J56" s="65">
        <v>50</v>
      </c>
      <c r="K56" s="65">
        <v>60</v>
      </c>
      <c r="L56" s="65">
        <v>60</v>
      </c>
      <c r="M56" s="65">
        <v>60</v>
      </c>
      <c r="N56" s="65">
        <v>60</v>
      </c>
      <c r="O56" s="65">
        <v>60</v>
      </c>
      <c r="P56" s="65">
        <v>62</v>
      </c>
      <c r="Q56" s="65">
        <v>62</v>
      </c>
      <c r="R56" s="65">
        <v>61</v>
      </c>
      <c r="S56" s="45">
        <v>61.4</v>
      </c>
      <c r="T56" s="45">
        <v>61.4</v>
      </c>
      <c r="U56" s="45">
        <v>61.4</v>
      </c>
      <c r="V56" s="45">
        <v>61.4</v>
      </c>
      <c r="W56" s="45">
        <v>61.4</v>
      </c>
      <c r="X56" s="45"/>
      <c r="Y56" s="45"/>
      <c r="Z56" s="45">
        <v>40.200000000000003</v>
      </c>
      <c r="AA56" s="45">
        <v>40.1</v>
      </c>
      <c r="AB56" s="45">
        <v>41.8</v>
      </c>
      <c r="AC56" s="45">
        <v>41.8</v>
      </c>
      <c r="AD56" s="45">
        <v>40</v>
      </c>
      <c r="AE56" s="65">
        <v>41.3</v>
      </c>
      <c r="AF56" s="65">
        <v>40.1</v>
      </c>
      <c r="AG56" s="54">
        <v>60</v>
      </c>
      <c r="AH56" s="47">
        <f t="shared" si="2"/>
        <v>62</v>
      </c>
      <c r="AI56" s="48">
        <f t="shared" si="3"/>
        <v>20</v>
      </c>
      <c r="AK56" s="49"/>
    </row>
    <row r="57" spans="1:41" x14ac:dyDescent="0.25">
      <c r="A57" s="53" t="s">
        <v>65</v>
      </c>
      <c r="B57" s="65">
        <v>0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12</v>
      </c>
      <c r="I57" s="65">
        <v>12</v>
      </c>
      <c r="J57" s="65">
        <v>12</v>
      </c>
      <c r="K57" s="65">
        <v>12</v>
      </c>
      <c r="L57" s="65">
        <v>12</v>
      </c>
      <c r="M57" s="65">
        <v>12</v>
      </c>
      <c r="N57" s="65">
        <v>15</v>
      </c>
      <c r="O57" s="65">
        <v>15</v>
      </c>
      <c r="P57" s="65">
        <v>15</v>
      </c>
      <c r="Q57" s="65">
        <v>10</v>
      </c>
      <c r="R57" s="65">
        <v>10</v>
      </c>
      <c r="S57" s="45">
        <v>10</v>
      </c>
      <c r="T57" s="45">
        <v>10</v>
      </c>
      <c r="U57" s="45">
        <v>15</v>
      </c>
      <c r="V57" s="45">
        <v>15</v>
      </c>
      <c r="W57" s="45">
        <v>15</v>
      </c>
      <c r="X57" s="45"/>
      <c r="Y57" s="45"/>
      <c r="Z57" s="45">
        <v>15</v>
      </c>
      <c r="AA57" s="45">
        <v>15</v>
      </c>
      <c r="AB57" s="45">
        <v>22</v>
      </c>
      <c r="AC57" s="45">
        <v>15</v>
      </c>
      <c r="AD57" s="45">
        <v>15</v>
      </c>
      <c r="AE57" s="65">
        <v>15</v>
      </c>
      <c r="AF57" s="65">
        <v>15</v>
      </c>
      <c r="AG57" s="54">
        <v>30</v>
      </c>
      <c r="AH57" s="47">
        <f t="shared" si="2"/>
        <v>22</v>
      </c>
      <c r="AI57" s="48">
        <f t="shared" si="3"/>
        <v>0</v>
      </c>
      <c r="AK57" s="49"/>
    </row>
    <row r="58" spans="1:41" x14ac:dyDescent="0.25">
      <c r="A58" s="53" t="s">
        <v>66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8.8000000000000007</v>
      </c>
      <c r="N58" s="65">
        <v>12.2</v>
      </c>
      <c r="O58" s="65">
        <v>15.8</v>
      </c>
      <c r="P58" s="65">
        <v>17.100000000000001</v>
      </c>
      <c r="Q58" s="65">
        <v>17.399999999999999</v>
      </c>
      <c r="R58" s="65">
        <v>17.399999999999999</v>
      </c>
      <c r="S58" s="65">
        <v>17.399999999999999</v>
      </c>
      <c r="T58" s="65">
        <v>17.399999999999999</v>
      </c>
      <c r="U58" s="65">
        <v>17.399999999999999</v>
      </c>
      <c r="V58" s="65">
        <v>17.399999999999999</v>
      </c>
      <c r="W58" s="65">
        <v>17.399999999999999</v>
      </c>
      <c r="X58" s="45"/>
      <c r="Y58" s="45"/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17.399999999999999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15</v>
      </c>
      <c r="C59" s="65">
        <v>15</v>
      </c>
      <c r="D59" s="65">
        <v>15</v>
      </c>
      <c r="E59" s="65">
        <v>15</v>
      </c>
      <c r="F59" s="65">
        <v>15</v>
      </c>
      <c r="G59" s="65">
        <v>15</v>
      </c>
      <c r="H59" s="65">
        <v>15</v>
      </c>
      <c r="I59" s="65">
        <v>15</v>
      </c>
      <c r="J59" s="65">
        <v>15</v>
      </c>
      <c r="K59" s="65">
        <v>15</v>
      </c>
      <c r="L59" s="65">
        <v>15</v>
      </c>
      <c r="M59" s="65">
        <v>15</v>
      </c>
      <c r="N59" s="65">
        <v>15</v>
      </c>
      <c r="O59" s="65">
        <v>10</v>
      </c>
      <c r="P59" s="65">
        <v>10</v>
      </c>
      <c r="Q59" s="65">
        <v>15</v>
      </c>
      <c r="R59" s="65">
        <v>15</v>
      </c>
      <c r="S59" s="65">
        <v>15</v>
      </c>
      <c r="T59" s="65">
        <v>15</v>
      </c>
      <c r="U59" s="65">
        <v>15</v>
      </c>
      <c r="V59" s="65">
        <v>15</v>
      </c>
      <c r="W59" s="65">
        <v>15</v>
      </c>
      <c r="X59" s="65"/>
      <c r="Y59" s="65"/>
      <c r="Z59" s="65">
        <v>15</v>
      </c>
      <c r="AA59" s="65">
        <v>15</v>
      </c>
      <c r="AB59" s="65">
        <v>15</v>
      </c>
      <c r="AC59" s="65">
        <v>15</v>
      </c>
      <c r="AD59" s="65">
        <v>15</v>
      </c>
      <c r="AE59" s="65">
        <v>15</v>
      </c>
      <c r="AF59" s="65">
        <v>15</v>
      </c>
      <c r="AG59" s="54">
        <v>24</v>
      </c>
      <c r="AH59" s="47">
        <f t="shared" si="2"/>
        <v>15</v>
      </c>
      <c r="AI59" s="48">
        <f t="shared" si="3"/>
        <v>10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/>
      <c r="Y60" s="65"/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13.1</v>
      </c>
      <c r="C61" s="65">
        <v>13.1</v>
      </c>
      <c r="D61" s="65">
        <v>13.1</v>
      </c>
      <c r="E61" s="65">
        <v>13.1</v>
      </c>
      <c r="F61" s="65">
        <v>13.1</v>
      </c>
      <c r="G61" s="65">
        <v>13.1</v>
      </c>
      <c r="H61" s="65">
        <v>13.1</v>
      </c>
      <c r="I61" s="65">
        <v>13.1</v>
      </c>
      <c r="J61" s="65">
        <v>13.1</v>
      </c>
      <c r="K61" s="65">
        <v>13.1</v>
      </c>
      <c r="L61" s="65">
        <v>13.1</v>
      </c>
      <c r="M61" s="65">
        <v>13.1</v>
      </c>
      <c r="N61" s="65">
        <v>13.1</v>
      </c>
      <c r="O61" s="65">
        <v>13.1</v>
      </c>
      <c r="P61" s="65">
        <v>13.1</v>
      </c>
      <c r="Q61" s="65">
        <v>13.1</v>
      </c>
      <c r="R61" s="65">
        <v>13.1</v>
      </c>
      <c r="S61" s="65">
        <v>13.1</v>
      </c>
      <c r="T61" s="65">
        <v>13.1</v>
      </c>
      <c r="U61" s="65">
        <v>13.1</v>
      </c>
      <c r="V61" s="65">
        <v>13.1</v>
      </c>
      <c r="W61" s="65">
        <v>13.1</v>
      </c>
      <c r="X61" s="65"/>
      <c r="Y61" s="65"/>
      <c r="Z61" s="65">
        <v>13.1</v>
      </c>
      <c r="AA61" s="65">
        <v>13.1</v>
      </c>
      <c r="AB61" s="65">
        <v>13.1</v>
      </c>
      <c r="AC61" s="65">
        <v>13.1</v>
      </c>
      <c r="AD61" s="65">
        <v>13.1</v>
      </c>
      <c r="AE61" s="65">
        <v>11.8</v>
      </c>
      <c r="AF61" s="65">
        <v>14.9</v>
      </c>
      <c r="AG61" s="54">
        <v>14.1</v>
      </c>
      <c r="AH61" s="47">
        <f t="shared" si="2"/>
        <v>14.9</v>
      </c>
      <c r="AI61" s="48">
        <f t="shared" si="3"/>
        <v>11.8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13</v>
      </c>
      <c r="C62" s="65">
        <v>13</v>
      </c>
      <c r="D62" s="65">
        <v>13</v>
      </c>
      <c r="E62" s="65">
        <v>13</v>
      </c>
      <c r="F62" s="65">
        <v>13</v>
      </c>
      <c r="G62" s="65">
        <v>13</v>
      </c>
      <c r="H62" s="65">
        <v>13</v>
      </c>
      <c r="I62" s="65">
        <v>13</v>
      </c>
      <c r="J62" s="65">
        <v>13</v>
      </c>
      <c r="K62" s="65">
        <v>13</v>
      </c>
      <c r="L62" s="65">
        <v>13</v>
      </c>
      <c r="M62" s="65">
        <v>13</v>
      </c>
      <c r="N62" s="65">
        <v>13</v>
      </c>
      <c r="O62" s="65">
        <v>13</v>
      </c>
      <c r="P62" s="65">
        <v>13</v>
      </c>
      <c r="Q62" s="65">
        <v>13</v>
      </c>
      <c r="R62" s="65">
        <v>13</v>
      </c>
      <c r="S62" s="65">
        <v>13</v>
      </c>
      <c r="T62" s="65">
        <v>13</v>
      </c>
      <c r="U62" s="65">
        <v>13</v>
      </c>
      <c r="V62" s="65">
        <v>13</v>
      </c>
      <c r="W62" s="65">
        <v>13</v>
      </c>
      <c r="X62" s="65"/>
      <c r="Y62" s="65"/>
      <c r="Z62" s="65">
        <v>13</v>
      </c>
      <c r="AA62" s="65">
        <v>13</v>
      </c>
      <c r="AB62" s="65">
        <v>13</v>
      </c>
      <c r="AC62" s="65">
        <v>13</v>
      </c>
      <c r="AD62" s="65">
        <v>13</v>
      </c>
      <c r="AE62" s="65">
        <v>13</v>
      </c>
      <c r="AF62" s="65">
        <v>13</v>
      </c>
      <c r="AG62" s="54">
        <v>14</v>
      </c>
      <c r="AH62" s="47">
        <f t="shared" si="2"/>
        <v>13</v>
      </c>
      <c r="AI62" s="48">
        <f t="shared" si="3"/>
        <v>13</v>
      </c>
      <c r="AK62" s="49"/>
    </row>
    <row r="63" spans="1:41" x14ac:dyDescent="0.25">
      <c r="A63" s="53" t="s">
        <v>71</v>
      </c>
      <c r="B63" s="65">
        <v>4.5999999999999996</v>
      </c>
      <c r="C63" s="65">
        <v>4.5999999999999996</v>
      </c>
      <c r="D63" s="65">
        <v>4.5999999999999996</v>
      </c>
      <c r="E63" s="65">
        <v>4.5999999999999996</v>
      </c>
      <c r="F63" s="65">
        <v>4.5999999999999996</v>
      </c>
      <c r="G63" s="65">
        <v>4.5999999999999996</v>
      </c>
      <c r="H63" s="65">
        <v>4.5999999999999996</v>
      </c>
      <c r="I63" s="65">
        <v>4.5999999999999996</v>
      </c>
      <c r="J63" s="65">
        <v>4.5999999999999996</v>
      </c>
      <c r="K63" s="65">
        <v>4.5999999999999996</v>
      </c>
      <c r="L63" s="65">
        <v>4.5999999999999996</v>
      </c>
      <c r="M63" s="65">
        <v>4.5999999999999996</v>
      </c>
      <c r="N63" s="65">
        <v>4.5999999999999996</v>
      </c>
      <c r="O63" s="65">
        <v>4.5999999999999996</v>
      </c>
      <c r="P63" s="65">
        <v>4.5999999999999996</v>
      </c>
      <c r="Q63" s="65">
        <v>4.5999999999999996</v>
      </c>
      <c r="R63" s="65">
        <v>4.5999999999999996</v>
      </c>
      <c r="S63" s="65">
        <v>4.5999999999999996</v>
      </c>
      <c r="T63" s="65">
        <v>4.5999999999999996</v>
      </c>
      <c r="U63" s="65">
        <v>4.5999999999999996</v>
      </c>
      <c r="V63" s="65">
        <v>4.5999999999999996</v>
      </c>
      <c r="W63" s="65">
        <v>4.5999999999999996</v>
      </c>
      <c r="X63" s="65"/>
      <c r="Y63" s="65"/>
      <c r="Z63" s="65">
        <v>4.5999999999999996</v>
      </c>
      <c r="AA63" s="65">
        <v>4.5999999999999996</v>
      </c>
      <c r="AB63" s="65">
        <v>4.5999999999999996</v>
      </c>
      <c r="AC63" s="65">
        <v>4.5999999999999996</v>
      </c>
      <c r="AD63" s="65">
        <v>4.5999999999999996</v>
      </c>
      <c r="AE63" s="65">
        <v>2.9</v>
      </c>
      <c r="AF63" s="65">
        <v>2.9</v>
      </c>
      <c r="AG63" s="54">
        <v>10.050000000000001</v>
      </c>
      <c r="AH63" s="47">
        <f t="shared" si="2"/>
        <v>4.5999999999999996</v>
      </c>
      <c r="AI63" s="48">
        <f t="shared" si="3"/>
        <v>2.9</v>
      </c>
      <c r="AK63" s="49"/>
    </row>
    <row r="64" spans="1:41" x14ac:dyDescent="0.25">
      <c r="A64" s="53" t="s">
        <v>72</v>
      </c>
      <c r="B64" s="65">
        <v>2</v>
      </c>
      <c r="C64" s="65">
        <v>2</v>
      </c>
      <c r="D64" s="65">
        <v>2</v>
      </c>
      <c r="E64" s="65">
        <v>2</v>
      </c>
      <c r="F64" s="65">
        <v>2</v>
      </c>
      <c r="G64" s="65">
        <v>2</v>
      </c>
      <c r="H64" s="65">
        <v>2</v>
      </c>
      <c r="I64" s="65">
        <v>2</v>
      </c>
      <c r="J64" s="65">
        <v>2</v>
      </c>
      <c r="K64" s="65">
        <v>2</v>
      </c>
      <c r="L64" s="65">
        <v>2</v>
      </c>
      <c r="M64" s="65">
        <v>2</v>
      </c>
      <c r="N64" s="65">
        <v>2</v>
      </c>
      <c r="O64" s="65">
        <v>2</v>
      </c>
      <c r="P64" s="65">
        <v>2</v>
      </c>
      <c r="Q64" s="65">
        <v>2</v>
      </c>
      <c r="R64" s="65">
        <v>2</v>
      </c>
      <c r="S64" s="65">
        <v>2</v>
      </c>
      <c r="T64" s="65">
        <v>2</v>
      </c>
      <c r="U64" s="65">
        <v>2</v>
      </c>
      <c r="V64" s="65">
        <v>2</v>
      </c>
      <c r="W64" s="65">
        <v>2</v>
      </c>
      <c r="X64" s="65"/>
      <c r="Y64" s="65"/>
      <c r="Z64" s="65">
        <v>2</v>
      </c>
      <c r="AA64" s="65">
        <v>2</v>
      </c>
      <c r="AB64" s="65">
        <v>2</v>
      </c>
      <c r="AC64" s="65">
        <v>2</v>
      </c>
      <c r="AD64" s="65">
        <v>2</v>
      </c>
      <c r="AE64" s="65">
        <v>2</v>
      </c>
      <c r="AF64" s="65">
        <v>2</v>
      </c>
      <c r="AG64" s="54">
        <v>6.2</v>
      </c>
      <c r="AH64" s="47">
        <f t="shared" si="2"/>
        <v>2</v>
      </c>
      <c r="AI64" s="48">
        <f t="shared" si="3"/>
        <v>2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v>344.24000000000007</v>
      </c>
      <c r="C66" s="60">
        <f t="shared" ref="C66:AG66" si="6">SUM(C53:C65)</f>
        <v>325.24000000000007</v>
      </c>
      <c r="D66" s="60">
        <f t="shared" si="6"/>
        <v>316.24000000000007</v>
      </c>
      <c r="E66" s="60">
        <f t="shared" si="6"/>
        <v>317.74000000000007</v>
      </c>
      <c r="F66" s="60">
        <f>SUM(F53:F65)</f>
        <v>285.24000000000007</v>
      </c>
      <c r="G66" s="60">
        <f t="shared" si="6"/>
        <v>285.24000000000007</v>
      </c>
      <c r="H66" s="60">
        <f t="shared" si="6"/>
        <v>313.24000000000007</v>
      </c>
      <c r="I66" s="60">
        <f t="shared" si="6"/>
        <v>314.24000000000007</v>
      </c>
      <c r="J66" s="60">
        <f t="shared" si="6"/>
        <v>314.24000000000007</v>
      </c>
      <c r="K66" s="60">
        <f t="shared" si="6"/>
        <v>306.24000000000007</v>
      </c>
      <c r="L66" s="60">
        <f t="shared" si="6"/>
        <v>306.94000000000005</v>
      </c>
      <c r="M66" s="60">
        <f t="shared" si="6"/>
        <v>322.74000000000007</v>
      </c>
      <c r="N66" s="60">
        <f t="shared" si="6"/>
        <v>372.44000000000005</v>
      </c>
      <c r="O66" s="60">
        <f t="shared" si="6"/>
        <v>308.04000000000008</v>
      </c>
      <c r="P66" s="60">
        <f t="shared" si="6"/>
        <v>344.94000000000011</v>
      </c>
      <c r="Q66" s="60">
        <f t="shared" si="6"/>
        <v>403.64000000000004</v>
      </c>
      <c r="R66" s="60">
        <f t="shared" si="6"/>
        <v>401.04</v>
      </c>
      <c r="S66" s="60">
        <f t="shared" si="6"/>
        <v>388.04</v>
      </c>
      <c r="T66" s="60">
        <f t="shared" si="6"/>
        <v>392.84000000000003</v>
      </c>
      <c r="U66" s="60">
        <f t="shared" si="6"/>
        <v>400.14000000000004</v>
      </c>
      <c r="V66" s="60">
        <f>SUM(V53:V65)</f>
        <v>400.14000000000004</v>
      </c>
      <c r="W66" s="60">
        <f>SUM(W53:W65)</f>
        <v>400.14000000000004</v>
      </c>
      <c r="X66" s="60">
        <f t="shared" si="6"/>
        <v>3.54</v>
      </c>
      <c r="Y66" s="60">
        <f t="shared" si="6"/>
        <v>3.54</v>
      </c>
      <c r="Z66" s="60">
        <f>SUM(Z53:Z65)</f>
        <v>357.1400000000001</v>
      </c>
      <c r="AA66" s="60">
        <f>SUM(AA53:AA65)</f>
        <v>390.84000000000009</v>
      </c>
      <c r="AB66" s="60">
        <f t="shared" si="6"/>
        <v>384.6400000000001</v>
      </c>
      <c r="AC66" s="60">
        <f t="shared" si="6"/>
        <v>377.6400000000001</v>
      </c>
      <c r="AD66" s="60">
        <f t="shared" si="6"/>
        <v>371.64000000000004</v>
      </c>
      <c r="AE66" s="60">
        <f t="shared" si="6"/>
        <v>362.24</v>
      </c>
      <c r="AF66" s="60">
        <f>SUM(AF53:AF65)</f>
        <v>354.84</v>
      </c>
      <c r="AG66" s="61">
        <f t="shared" si="6"/>
        <v>489.91</v>
      </c>
      <c r="AH66" s="47">
        <f t="shared" si="2"/>
        <v>403.64000000000004</v>
      </c>
      <c r="AI66" s="48">
        <f t="shared" si="3"/>
        <v>3.54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14</v>
      </c>
      <c r="T67" s="45">
        <v>14</v>
      </c>
      <c r="U67" s="45">
        <v>0</v>
      </c>
      <c r="V67" s="45">
        <v>0</v>
      </c>
      <c r="W67" s="45">
        <v>0</v>
      </c>
      <c r="X67" s="45"/>
      <c r="Y67" s="45"/>
      <c r="Z67" s="45">
        <v>30</v>
      </c>
      <c r="AA67" s="45">
        <v>30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30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14.3</v>
      </c>
      <c r="T68" s="65">
        <v>14.3</v>
      </c>
      <c r="U68" s="65">
        <v>0</v>
      </c>
      <c r="V68" s="65">
        <v>0</v>
      </c>
      <c r="W68" s="65">
        <v>0</v>
      </c>
      <c r="X68" s="65"/>
      <c r="Y68" s="65"/>
      <c r="Z68" s="65">
        <v>14.7</v>
      </c>
      <c r="AA68" s="65">
        <v>14.7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14.7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0</v>
      </c>
      <c r="Q69" s="67">
        <v>0</v>
      </c>
      <c r="R69" s="67">
        <v>0</v>
      </c>
      <c r="S69" s="67">
        <v>5.2</v>
      </c>
      <c r="T69" s="67">
        <v>5.2</v>
      </c>
      <c r="U69" s="67">
        <v>0</v>
      </c>
      <c r="V69" s="67">
        <v>0</v>
      </c>
      <c r="W69" s="67">
        <v>0</v>
      </c>
      <c r="X69" s="67"/>
      <c r="Y69" s="67"/>
      <c r="Z69" s="67">
        <v>5.4</v>
      </c>
      <c r="AA69" s="67">
        <v>5.4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5.4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E70" si="7">M67+M68+M69</f>
        <v>0</v>
      </c>
      <c r="N70" s="60">
        <f t="shared" si="7"/>
        <v>0</v>
      </c>
      <c r="O70" s="60">
        <f t="shared" si="7"/>
        <v>0</v>
      </c>
      <c r="P70" s="60">
        <f t="shared" si="7"/>
        <v>0</v>
      </c>
      <c r="Q70" s="60">
        <f t="shared" si="7"/>
        <v>0</v>
      </c>
      <c r="R70" s="60">
        <f t="shared" si="7"/>
        <v>0</v>
      </c>
      <c r="S70" s="60">
        <f t="shared" si="7"/>
        <v>33.5</v>
      </c>
      <c r="T70" s="60">
        <f t="shared" si="7"/>
        <v>33.5</v>
      </c>
      <c r="U70" s="60">
        <f t="shared" si="7"/>
        <v>0</v>
      </c>
      <c r="V70" s="60">
        <f>V67+V68+V69</f>
        <v>0</v>
      </c>
      <c r="W70" s="60">
        <f>W67+W68+W69</f>
        <v>0</v>
      </c>
      <c r="X70" s="60">
        <f t="shared" si="7"/>
        <v>0</v>
      </c>
      <c r="Y70" s="60">
        <f t="shared" si="7"/>
        <v>0</v>
      </c>
      <c r="Z70" s="60">
        <f>SUM(Z67:Z69)</f>
        <v>50.1</v>
      </c>
      <c r="AA70" s="60">
        <f>SUM(AA67:AA69)</f>
        <v>50.1</v>
      </c>
      <c r="AB70" s="60">
        <f t="shared" si="7"/>
        <v>0</v>
      </c>
      <c r="AC70" s="60">
        <f t="shared" si="7"/>
        <v>0</v>
      </c>
      <c r="AD70" s="60">
        <f t="shared" si="7"/>
        <v>0</v>
      </c>
      <c r="AE70" s="60">
        <f t="shared" si="7"/>
        <v>0</v>
      </c>
      <c r="AF70" s="60">
        <f>AF67+AF68+AF69</f>
        <v>0</v>
      </c>
      <c r="AG70" s="61">
        <f>SUM(AG67:AG69)</f>
        <v>106</v>
      </c>
      <c r="AH70" s="47">
        <f t="shared" si="2"/>
        <v>50.1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65</v>
      </c>
      <c r="C71" s="45">
        <v>65</v>
      </c>
      <c r="D71" s="45">
        <v>64</v>
      </c>
      <c r="E71" s="45">
        <v>58</v>
      </c>
      <c r="F71" s="45">
        <v>58</v>
      </c>
      <c r="G71" s="45">
        <v>40</v>
      </c>
      <c r="H71" s="45">
        <v>40</v>
      </c>
      <c r="I71" s="45">
        <v>50</v>
      </c>
      <c r="J71" s="45">
        <v>50</v>
      </c>
      <c r="K71" s="45">
        <v>50</v>
      </c>
      <c r="L71" s="45">
        <v>50</v>
      </c>
      <c r="M71" s="45">
        <v>50</v>
      </c>
      <c r="N71" s="45">
        <v>55</v>
      </c>
      <c r="O71" s="45">
        <v>55</v>
      </c>
      <c r="P71" s="45">
        <v>62</v>
      </c>
      <c r="Q71" s="45">
        <v>35</v>
      </c>
      <c r="R71" s="45">
        <v>35</v>
      </c>
      <c r="S71" s="45">
        <v>35</v>
      </c>
      <c r="T71" s="45">
        <v>33</v>
      </c>
      <c r="U71" s="45">
        <v>30</v>
      </c>
      <c r="V71" s="45">
        <v>30</v>
      </c>
      <c r="W71" s="45">
        <v>30</v>
      </c>
      <c r="X71" s="45"/>
      <c r="Y71" s="45"/>
      <c r="Z71" s="45">
        <v>46</v>
      </c>
      <c r="AA71" s="45">
        <v>46</v>
      </c>
      <c r="AB71" s="45">
        <v>12</v>
      </c>
      <c r="AC71" s="45">
        <v>15</v>
      </c>
      <c r="AD71" s="45">
        <v>15</v>
      </c>
      <c r="AE71" s="45">
        <v>55</v>
      </c>
      <c r="AF71" s="45">
        <v>65</v>
      </c>
      <c r="AG71" s="51"/>
      <c r="AH71" s="47">
        <f t="shared" si="2"/>
        <v>65</v>
      </c>
      <c r="AI71" s="48">
        <f t="shared" si="3"/>
        <v>12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/>
      <c r="Y72" s="65"/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30</v>
      </c>
      <c r="C73" s="65">
        <v>180</v>
      </c>
      <c r="D73" s="65">
        <v>162</v>
      </c>
      <c r="E73" s="65">
        <v>178</v>
      </c>
      <c r="F73" s="65">
        <v>178</v>
      </c>
      <c r="G73" s="65">
        <v>178</v>
      </c>
      <c r="H73" s="65">
        <v>173</v>
      </c>
      <c r="I73" s="65">
        <v>152</v>
      </c>
      <c r="J73" s="65">
        <v>154</v>
      </c>
      <c r="K73" s="65">
        <v>121</v>
      </c>
      <c r="L73" s="65">
        <v>159</v>
      </c>
      <c r="M73" s="65">
        <v>149</v>
      </c>
      <c r="N73" s="65">
        <v>149</v>
      </c>
      <c r="O73" s="65">
        <v>160</v>
      </c>
      <c r="P73" s="65">
        <v>135</v>
      </c>
      <c r="Q73" s="65">
        <v>125</v>
      </c>
      <c r="R73" s="65">
        <v>134</v>
      </c>
      <c r="S73" s="65">
        <v>154.4</v>
      </c>
      <c r="T73" s="65">
        <v>153.69999999999999</v>
      </c>
      <c r="U73" s="65">
        <v>155</v>
      </c>
      <c r="V73" s="65">
        <v>155</v>
      </c>
      <c r="W73" s="65">
        <v>155</v>
      </c>
      <c r="X73" s="65"/>
      <c r="Y73" s="65"/>
      <c r="Z73" s="65">
        <v>200</v>
      </c>
      <c r="AA73" s="65">
        <v>151</v>
      </c>
      <c r="AB73" s="65">
        <v>161</v>
      </c>
      <c r="AC73" s="65">
        <v>138</v>
      </c>
      <c r="AD73" s="65">
        <v>169</v>
      </c>
      <c r="AE73" s="65">
        <v>148</v>
      </c>
      <c r="AF73" s="65">
        <v>137</v>
      </c>
      <c r="AG73" s="75"/>
      <c r="AH73" s="47">
        <f t="shared" si="2"/>
        <v>200</v>
      </c>
      <c r="AI73" s="48">
        <f t="shared" si="3"/>
        <v>30</v>
      </c>
      <c r="AK73" s="49"/>
    </row>
    <row r="74" spans="1:40" x14ac:dyDescent="0.25">
      <c r="A74" s="53" t="s">
        <v>82</v>
      </c>
      <c r="B74" s="65">
        <v>8</v>
      </c>
      <c r="C74" s="65">
        <v>8</v>
      </c>
      <c r="D74" s="65">
        <v>32</v>
      </c>
      <c r="E74" s="65">
        <v>37</v>
      </c>
      <c r="F74" s="65">
        <v>37</v>
      </c>
      <c r="G74" s="65">
        <v>37</v>
      </c>
      <c r="H74" s="65">
        <v>59.4</v>
      </c>
      <c r="I74" s="65">
        <v>52</v>
      </c>
      <c r="J74" s="65">
        <v>55</v>
      </c>
      <c r="K74" s="65">
        <v>53.6</v>
      </c>
      <c r="L74" s="65">
        <v>46</v>
      </c>
      <c r="M74" s="65">
        <v>47.3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76">
        <v>42.9</v>
      </c>
      <c r="T74" s="76">
        <v>58.2</v>
      </c>
      <c r="U74" s="76">
        <v>0</v>
      </c>
      <c r="V74" s="76">
        <v>0</v>
      </c>
      <c r="W74" s="76">
        <v>0</v>
      </c>
      <c r="X74" s="76"/>
      <c r="Y74" s="65"/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65">
        <v>0</v>
      </c>
      <c r="AF74" s="65">
        <v>0</v>
      </c>
      <c r="AG74" s="75"/>
      <c r="AH74" s="47">
        <f t="shared" si="2"/>
        <v>59.4</v>
      </c>
      <c r="AI74" s="48">
        <f t="shared" si="3"/>
        <v>0</v>
      </c>
      <c r="AK74" s="49"/>
    </row>
    <row r="75" spans="1:40" x14ac:dyDescent="0.25">
      <c r="A75" s="53" t="s">
        <v>83</v>
      </c>
      <c r="B75" s="45">
        <v>0</v>
      </c>
      <c r="C75" s="45">
        <v>0</v>
      </c>
      <c r="D75" s="45">
        <v>25</v>
      </c>
      <c r="E75" s="45">
        <v>29</v>
      </c>
      <c r="F75" s="45">
        <v>29</v>
      </c>
      <c r="G75" s="45">
        <v>29</v>
      </c>
      <c r="H75" s="45">
        <v>27</v>
      </c>
      <c r="I75" s="45">
        <v>26.5</v>
      </c>
      <c r="J75" s="45">
        <v>26</v>
      </c>
      <c r="K75" s="45">
        <v>25.7</v>
      </c>
      <c r="L75" s="45">
        <v>26</v>
      </c>
      <c r="M75" s="45">
        <v>24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>
        <v>23.6</v>
      </c>
      <c r="T75" s="45">
        <v>19.2</v>
      </c>
      <c r="U75" s="45">
        <v>20.9</v>
      </c>
      <c r="V75" s="45">
        <v>20.9</v>
      </c>
      <c r="W75" s="45">
        <v>20.9</v>
      </c>
      <c r="X75" s="45"/>
      <c r="Y75" s="45"/>
      <c r="Z75" s="45">
        <v>20.2</v>
      </c>
      <c r="AA75" s="45">
        <v>19.5</v>
      </c>
      <c r="AB75" s="45">
        <v>20.9</v>
      </c>
      <c r="AC75" s="45">
        <v>21</v>
      </c>
      <c r="AD75" s="45">
        <v>21</v>
      </c>
      <c r="AE75" s="45">
        <v>21.6</v>
      </c>
      <c r="AF75" s="45">
        <v>0</v>
      </c>
      <c r="AG75" s="75"/>
      <c r="AH75" s="47">
        <f t="shared" ref="AH75:AH117" si="8">MAX(B75:AF75)</f>
        <v>29</v>
      </c>
      <c r="AI75" s="48">
        <f t="shared" ref="AI75:AI117" si="9">MIN(B75:AF75)</f>
        <v>0</v>
      </c>
      <c r="AK75" s="49"/>
    </row>
    <row r="76" spans="1:40" x14ac:dyDescent="0.25">
      <c r="A76" s="53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/>
      <c r="Y76" s="77"/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/>
      <c r="AH76" s="47">
        <f t="shared" si="8"/>
        <v>0</v>
      </c>
      <c r="AI76" s="48">
        <f t="shared" si="9"/>
        <v>0</v>
      </c>
      <c r="AK76" s="49"/>
    </row>
    <row r="77" spans="1:40" ht="15.75" thickBot="1" x14ac:dyDescent="0.3">
      <c r="A77" s="53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/>
      <c r="Y77" s="77"/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8"/>
        <v>0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/>
      <c r="Y78" s="77"/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8"/>
        <v>0</v>
      </c>
      <c r="AI78" s="48">
        <f t="shared" si="9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/>
      <c r="Y79" s="77"/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/>
      <c r="Y80" s="77"/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8"/>
        <v>0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v>93</v>
      </c>
      <c r="C82" s="60">
        <f t="shared" ref="C82:AF82" si="10">SUMIF(C71:C81,"&gt;0")</f>
        <v>253</v>
      </c>
      <c r="D82" s="60">
        <f t="shared" si="10"/>
        <v>283</v>
      </c>
      <c r="E82" s="60">
        <f t="shared" si="10"/>
        <v>302</v>
      </c>
      <c r="F82" s="60">
        <f t="shared" si="10"/>
        <v>302</v>
      </c>
      <c r="G82" s="60">
        <f t="shared" si="10"/>
        <v>284</v>
      </c>
      <c r="H82" s="60">
        <f t="shared" si="10"/>
        <v>299.39999999999998</v>
      </c>
      <c r="I82" s="60">
        <f t="shared" si="10"/>
        <v>280.5</v>
      </c>
      <c r="J82" s="60">
        <f t="shared" si="10"/>
        <v>285</v>
      </c>
      <c r="K82" s="60">
        <f t="shared" si="10"/>
        <v>250.29999999999998</v>
      </c>
      <c r="L82" s="60">
        <f t="shared" si="10"/>
        <v>281</v>
      </c>
      <c r="M82" s="60">
        <f t="shared" si="10"/>
        <v>270.3</v>
      </c>
      <c r="N82" s="60">
        <f t="shared" si="10"/>
        <v>204</v>
      </c>
      <c r="O82" s="60">
        <f t="shared" si="10"/>
        <v>215</v>
      </c>
      <c r="P82" s="60">
        <f t="shared" si="10"/>
        <v>197</v>
      </c>
      <c r="Q82" s="60">
        <f t="shared" si="10"/>
        <v>160</v>
      </c>
      <c r="R82" s="60">
        <f t="shared" si="10"/>
        <v>169</v>
      </c>
      <c r="S82" s="60">
        <f t="shared" si="10"/>
        <v>255.9</v>
      </c>
      <c r="T82" s="60">
        <f t="shared" si="10"/>
        <v>264.09999999999997</v>
      </c>
      <c r="U82" s="60">
        <f t="shared" si="10"/>
        <v>205.9</v>
      </c>
      <c r="V82" s="60">
        <f>SUMIF(V71:V81,"&gt;0")</f>
        <v>205.9</v>
      </c>
      <c r="W82" s="60">
        <f>SUMIF(W71:W81,"&gt;0")</f>
        <v>205.9</v>
      </c>
      <c r="X82" s="60">
        <f t="shared" si="10"/>
        <v>0</v>
      </c>
      <c r="Y82" s="60">
        <f t="shared" si="10"/>
        <v>0</v>
      </c>
      <c r="Z82" s="60">
        <f t="shared" si="10"/>
        <v>266.2</v>
      </c>
      <c r="AA82" s="60">
        <f t="shared" si="10"/>
        <v>216.5</v>
      </c>
      <c r="AB82" s="60">
        <f t="shared" si="10"/>
        <v>193.9</v>
      </c>
      <c r="AC82" s="60">
        <f t="shared" si="10"/>
        <v>174</v>
      </c>
      <c r="AD82" s="60">
        <f t="shared" si="10"/>
        <v>205</v>
      </c>
      <c r="AE82" s="60">
        <f t="shared" si="10"/>
        <v>224.6</v>
      </c>
      <c r="AF82" s="60">
        <f t="shared" si="10"/>
        <v>202</v>
      </c>
      <c r="AG82" s="88">
        <f>SUM(AG71:AG81)</f>
        <v>0</v>
      </c>
      <c r="AH82" s="47">
        <f t="shared" si="8"/>
        <v>302</v>
      </c>
      <c r="AI82" s="48">
        <f t="shared" si="9"/>
        <v>0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>
        <f>SUM(Z83:Z85)</f>
        <v>0</v>
      </c>
      <c r="AA86" s="60">
        <f>SUM(AA83:AA85)</f>
        <v>0</v>
      </c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v>1246.74</v>
      </c>
      <c r="C87" s="95">
        <f t="shared" ref="C87:AG87" si="11">C48+C52+C70+C66+C82+C86</f>
        <v>1212.24</v>
      </c>
      <c r="D87" s="95">
        <f t="shared" si="11"/>
        <v>1189.24</v>
      </c>
      <c r="E87" s="95">
        <f t="shared" si="11"/>
        <v>1194.74</v>
      </c>
      <c r="F87" s="95">
        <f t="shared" si="11"/>
        <v>1162.24</v>
      </c>
      <c r="G87" s="95">
        <f t="shared" si="11"/>
        <v>1144.24</v>
      </c>
      <c r="H87" s="95">
        <f t="shared" si="11"/>
        <v>1187.6399999999999</v>
      </c>
      <c r="I87" s="95">
        <f t="shared" si="11"/>
        <v>1169.74</v>
      </c>
      <c r="J87" s="95">
        <f t="shared" si="11"/>
        <v>1174.24</v>
      </c>
      <c r="K87" s="95">
        <f t="shared" si="11"/>
        <v>1157.44</v>
      </c>
      <c r="L87" s="95">
        <f t="shared" si="11"/>
        <v>1188.8400000000001</v>
      </c>
      <c r="M87" s="95">
        <f t="shared" si="11"/>
        <v>1193.94</v>
      </c>
      <c r="N87" s="95">
        <f t="shared" si="11"/>
        <v>1227.3400000000001</v>
      </c>
      <c r="O87" s="95">
        <f t="shared" si="11"/>
        <v>1203.94</v>
      </c>
      <c r="P87" s="95">
        <f t="shared" si="11"/>
        <v>1272.8400000000001</v>
      </c>
      <c r="Q87" s="95">
        <f t="shared" si="11"/>
        <v>1294.5400000000002</v>
      </c>
      <c r="R87" s="95">
        <f t="shared" si="11"/>
        <v>1280.94</v>
      </c>
      <c r="S87" s="95">
        <f t="shared" si="11"/>
        <v>1340.7400000000002</v>
      </c>
      <c r="T87" s="95">
        <f t="shared" si="11"/>
        <v>1406.74</v>
      </c>
      <c r="U87" s="95">
        <f t="shared" si="11"/>
        <v>1316.5400000000002</v>
      </c>
      <c r="V87" s="95">
        <f>V48+V52+V70+V66+V82+V86</f>
        <v>1341.5400000000002</v>
      </c>
      <c r="W87" s="95">
        <f>W48+W52+W70+W66+W82+W86</f>
        <v>1246.5400000000002</v>
      </c>
      <c r="X87" s="95">
        <f t="shared" si="11"/>
        <v>3.54</v>
      </c>
      <c r="Y87" s="95">
        <f t="shared" si="11"/>
        <v>3.54</v>
      </c>
      <c r="Z87" s="95">
        <f>SUM(Z48,Z52,Z66,Z70,Z82,Z86)</f>
        <v>1388.9400000000003</v>
      </c>
      <c r="AA87" s="95">
        <f>SUM(AA48,AA52,AA66,AA70,AA82,AA86)</f>
        <v>1412.94</v>
      </c>
      <c r="AB87" s="95">
        <f t="shared" si="11"/>
        <v>1287.0400000000004</v>
      </c>
      <c r="AC87" s="95">
        <f t="shared" si="11"/>
        <v>1260.1400000000003</v>
      </c>
      <c r="AD87" s="95">
        <f t="shared" si="11"/>
        <v>1285.1400000000001</v>
      </c>
      <c r="AE87" s="95">
        <f t="shared" si="11"/>
        <v>1282.94</v>
      </c>
      <c r="AF87" s="95">
        <f t="shared" si="11"/>
        <v>1238.6399999999999</v>
      </c>
      <c r="AG87" s="61">
        <f t="shared" si="11"/>
        <v>2065.09</v>
      </c>
      <c r="AH87" s="47">
        <f>MAX(B87:AF87)</f>
        <v>1412.94</v>
      </c>
      <c r="AI87" s="48">
        <f>MIN(B87:AF87)</f>
        <v>3.54</v>
      </c>
    </row>
    <row r="88" spans="1:40" ht="15.75" thickBot="1" x14ac:dyDescent="0.3">
      <c r="A88" s="96" t="s">
        <v>99</v>
      </c>
      <c r="B88" s="97">
        <v>70</v>
      </c>
      <c r="C88" s="97">
        <v>70</v>
      </c>
      <c r="D88" s="97">
        <v>50</v>
      </c>
      <c r="E88" s="97">
        <v>50</v>
      </c>
      <c r="F88" s="97">
        <v>50</v>
      </c>
      <c r="G88" s="97">
        <v>50</v>
      </c>
      <c r="H88" s="97">
        <v>50</v>
      </c>
      <c r="I88" s="97">
        <v>50</v>
      </c>
      <c r="J88" s="97">
        <v>50</v>
      </c>
      <c r="K88" s="97">
        <v>50</v>
      </c>
      <c r="L88" s="97">
        <v>50</v>
      </c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>
        <v>50</v>
      </c>
      <c r="AC88" s="97">
        <v>50</v>
      </c>
      <c r="AD88" s="97">
        <v>50</v>
      </c>
      <c r="AE88" s="97"/>
      <c r="AF88" s="97"/>
      <c r="AG88" s="88"/>
      <c r="AH88" s="47">
        <f t="shared" si="8"/>
        <v>70</v>
      </c>
      <c r="AI88" s="48">
        <f t="shared" si="9"/>
        <v>50</v>
      </c>
    </row>
    <row r="89" spans="1:40" ht="15.75" thickBot="1" x14ac:dyDescent="0.3">
      <c r="A89" s="74" t="s">
        <v>100</v>
      </c>
      <c r="B89" s="95">
        <v>1346.74</v>
      </c>
      <c r="C89" s="95">
        <f t="shared" ref="C89:AF89" si="12">C87+C88</f>
        <v>1282.24</v>
      </c>
      <c r="D89" s="95">
        <f t="shared" si="12"/>
        <v>1239.24</v>
      </c>
      <c r="E89" s="95">
        <f t="shared" si="12"/>
        <v>1244.74</v>
      </c>
      <c r="F89" s="95">
        <f t="shared" si="12"/>
        <v>1212.24</v>
      </c>
      <c r="G89" s="95">
        <f t="shared" si="12"/>
        <v>1194.24</v>
      </c>
      <c r="H89" s="95">
        <f t="shared" si="12"/>
        <v>1237.6399999999999</v>
      </c>
      <c r="I89" s="95">
        <f t="shared" si="12"/>
        <v>1219.74</v>
      </c>
      <c r="J89" s="95">
        <f t="shared" si="12"/>
        <v>1224.24</v>
      </c>
      <c r="K89" s="95">
        <f t="shared" si="12"/>
        <v>1207.44</v>
      </c>
      <c r="L89" s="95">
        <f t="shared" si="12"/>
        <v>1238.8400000000001</v>
      </c>
      <c r="M89" s="95">
        <f t="shared" si="12"/>
        <v>1193.94</v>
      </c>
      <c r="N89" s="95">
        <f t="shared" si="12"/>
        <v>1227.3400000000001</v>
      </c>
      <c r="O89" s="95">
        <f t="shared" si="12"/>
        <v>1203.94</v>
      </c>
      <c r="P89" s="95">
        <f t="shared" si="12"/>
        <v>1272.8400000000001</v>
      </c>
      <c r="Q89" s="95">
        <f t="shared" si="12"/>
        <v>1294.5400000000002</v>
      </c>
      <c r="R89" s="95">
        <f t="shared" si="12"/>
        <v>1280.94</v>
      </c>
      <c r="S89" s="95">
        <f t="shared" si="12"/>
        <v>1340.7400000000002</v>
      </c>
      <c r="T89" s="95">
        <f t="shared" si="12"/>
        <v>1406.74</v>
      </c>
      <c r="U89" s="95">
        <f t="shared" si="12"/>
        <v>1316.5400000000002</v>
      </c>
      <c r="V89" s="95">
        <f>V87+V88</f>
        <v>1341.5400000000002</v>
      </c>
      <c r="W89" s="95">
        <f>W87+W88</f>
        <v>1246.5400000000002</v>
      </c>
      <c r="X89" s="95">
        <f t="shared" si="12"/>
        <v>3.54</v>
      </c>
      <c r="Y89" s="95">
        <f t="shared" si="12"/>
        <v>3.54</v>
      </c>
      <c r="Z89" s="95">
        <f>SUM(Z87+Z88)</f>
        <v>1388.9400000000003</v>
      </c>
      <c r="AA89" s="95">
        <f>SUM(AA87+AA88)</f>
        <v>1412.94</v>
      </c>
      <c r="AB89" s="95">
        <f t="shared" si="12"/>
        <v>1337.0400000000004</v>
      </c>
      <c r="AC89" s="95">
        <f t="shared" si="12"/>
        <v>1310.1400000000003</v>
      </c>
      <c r="AD89" s="95">
        <f t="shared" si="12"/>
        <v>1335.14</v>
      </c>
      <c r="AE89" s="95">
        <f t="shared" si="12"/>
        <v>1282.94</v>
      </c>
      <c r="AF89" s="95">
        <f t="shared" si="12"/>
        <v>1238.6399999999999</v>
      </c>
      <c r="AG89" s="88">
        <f>AG86+AG82+AG70+AG66+AG48+AG88</f>
        <v>1526.99</v>
      </c>
      <c r="AH89" s="47">
        <f t="shared" si="8"/>
        <v>1412.94</v>
      </c>
      <c r="AI89" s="48">
        <f t="shared" si="9"/>
        <v>3.54</v>
      </c>
    </row>
    <row r="90" spans="1:40" ht="15.75" thickBot="1" x14ac:dyDescent="0.3">
      <c r="A90" s="74" t="s">
        <v>101</v>
      </c>
      <c r="B90" s="95">
        <v>1346.74</v>
      </c>
      <c r="C90" s="95">
        <f t="shared" ref="C90:AF90" si="13">C89-C97</f>
        <v>1282.24</v>
      </c>
      <c r="D90" s="95">
        <f t="shared" si="13"/>
        <v>1239.24</v>
      </c>
      <c r="E90" s="95">
        <f t="shared" si="13"/>
        <v>1244.74</v>
      </c>
      <c r="F90" s="95">
        <f t="shared" si="13"/>
        <v>1212.24</v>
      </c>
      <c r="G90" s="95">
        <f t="shared" si="13"/>
        <v>1194.24</v>
      </c>
      <c r="H90" s="95">
        <f t="shared" si="13"/>
        <v>1237.6399999999999</v>
      </c>
      <c r="I90" s="95">
        <f t="shared" si="13"/>
        <v>1219.74</v>
      </c>
      <c r="J90" s="95">
        <f t="shared" si="13"/>
        <v>1224.24</v>
      </c>
      <c r="K90" s="95">
        <f t="shared" si="13"/>
        <v>1207.44</v>
      </c>
      <c r="L90" s="95">
        <f t="shared" si="13"/>
        <v>1238.8400000000001</v>
      </c>
      <c r="M90" s="95">
        <f t="shared" si="13"/>
        <v>1193.94</v>
      </c>
      <c r="N90" s="95">
        <f t="shared" si="13"/>
        <v>1227.3400000000001</v>
      </c>
      <c r="O90" s="95">
        <f t="shared" si="13"/>
        <v>1203.94</v>
      </c>
      <c r="P90" s="95">
        <f t="shared" si="13"/>
        <v>1272.8400000000001</v>
      </c>
      <c r="Q90" s="95">
        <f t="shared" si="13"/>
        <v>1294.5400000000002</v>
      </c>
      <c r="R90" s="95">
        <f t="shared" si="13"/>
        <v>1280.94</v>
      </c>
      <c r="S90" s="95">
        <f t="shared" si="13"/>
        <v>1340.7400000000002</v>
      </c>
      <c r="T90" s="95">
        <f t="shared" si="13"/>
        <v>1406.74</v>
      </c>
      <c r="U90" s="95">
        <f t="shared" si="13"/>
        <v>1316.5400000000002</v>
      </c>
      <c r="V90" s="95">
        <f>V89-V97</f>
        <v>1341.5400000000002</v>
      </c>
      <c r="W90" s="95">
        <f>W89-W97</f>
        <v>1246.5400000000002</v>
      </c>
      <c r="X90" s="95">
        <f t="shared" si="13"/>
        <v>3.54</v>
      </c>
      <c r="Y90" s="95">
        <f t="shared" si="13"/>
        <v>3.54</v>
      </c>
      <c r="Z90" s="95">
        <f t="shared" si="13"/>
        <v>1388.9400000000003</v>
      </c>
      <c r="AA90" s="95">
        <f t="shared" si="13"/>
        <v>1412.94</v>
      </c>
      <c r="AB90" s="95">
        <f t="shared" si="13"/>
        <v>1337.0400000000004</v>
      </c>
      <c r="AC90" s="95">
        <f t="shared" si="13"/>
        <v>1310.1400000000003</v>
      </c>
      <c r="AD90" s="95">
        <f t="shared" si="13"/>
        <v>1335.14</v>
      </c>
      <c r="AE90" s="95">
        <f t="shared" si="13"/>
        <v>1282.94</v>
      </c>
      <c r="AF90" s="95">
        <f t="shared" si="13"/>
        <v>1238.6399999999999</v>
      </c>
      <c r="AG90" s="88"/>
      <c r="AH90" s="47">
        <f t="shared" si="8"/>
        <v>1412.94</v>
      </c>
      <c r="AI90" s="48">
        <f t="shared" si="9"/>
        <v>3.54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f>IF(Z74&lt;0,-Z74,0)</f>
        <v>0</v>
      </c>
      <c r="AA91" s="76">
        <f>IF(AA74&lt;0,-AA74,0)</f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f>IF(Z72&lt;0,-Z72,0)</f>
        <v>0</v>
      </c>
      <c r="AA92" s="76">
        <f>IF(AA72&lt;0,-AA72,0)</f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f>IF(Z75&lt;0,-Z75,0)</f>
        <v>0</v>
      </c>
      <c r="AA93" s="76">
        <f>IF(AA75&lt;0,-AA75,0)</f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f>IF(Z73&lt;0,-Z73,0)</f>
        <v>0</v>
      </c>
      <c r="AA94" s="76">
        <f>IF(AA73&lt;0,-AA73,0)</f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f>IF(Z77&lt;0,-Z77,0)</f>
        <v>0</v>
      </c>
      <c r="AA95" s="76">
        <f>IF(AA77&lt;0,-AA77,0)</f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>
        <f>SUM(Z91:Z96)</f>
        <v>0</v>
      </c>
      <c r="AA97" s="60">
        <f>SUM(AA91:AA96)</f>
        <v>0</v>
      </c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v>93</v>
      </c>
      <c r="C98" s="60">
        <f t="shared" ref="C98:AF98" si="14">C82-C97</f>
        <v>253</v>
      </c>
      <c r="D98" s="60">
        <f t="shared" si="14"/>
        <v>283</v>
      </c>
      <c r="E98" s="60">
        <f t="shared" si="14"/>
        <v>302</v>
      </c>
      <c r="F98" s="60">
        <f t="shared" si="14"/>
        <v>302</v>
      </c>
      <c r="G98" s="60">
        <f t="shared" si="14"/>
        <v>284</v>
      </c>
      <c r="H98" s="60">
        <f t="shared" si="14"/>
        <v>299.39999999999998</v>
      </c>
      <c r="I98" s="60">
        <f t="shared" si="14"/>
        <v>280.5</v>
      </c>
      <c r="J98" s="60">
        <f t="shared" si="14"/>
        <v>285</v>
      </c>
      <c r="K98" s="60">
        <f t="shared" si="14"/>
        <v>250.29999999999998</v>
      </c>
      <c r="L98" s="60">
        <f t="shared" si="14"/>
        <v>281</v>
      </c>
      <c r="M98" s="60">
        <f t="shared" si="14"/>
        <v>270.3</v>
      </c>
      <c r="N98" s="60">
        <f t="shared" si="14"/>
        <v>204</v>
      </c>
      <c r="O98" s="60">
        <f t="shared" si="14"/>
        <v>215</v>
      </c>
      <c r="P98" s="60">
        <f t="shared" si="14"/>
        <v>197</v>
      </c>
      <c r="Q98" s="60">
        <f t="shared" si="14"/>
        <v>160</v>
      </c>
      <c r="R98" s="60">
        <f t="shared" si="14"/>
        <v>169</v>
      </c>
      <c r="S98" s="60">
        <f t="shared" si="14"/>
        <v>255.9</v>
      </c>
      <c r="T98" s="60">
        <f t="shared" si="14"/>
        <v>264.09999999999997</v>
      </c>
      <c r="U98" s="60">
        <f t="shared" si="14"/>
        <v>205.9</v>
      </c>
      <c r="V98" s="60">
        <f>V82-V97</f>
        <v>205.9</v>
      </c>
      <c r="W98" s="60">
        <f>W82-W97</f>
        <v>205.9</v>
      </c>
      <c r="X98" s="60">
        <f t="shared" si="14"/>
        <v>0</v>
      </c>
      <c r="Y98" s="60">
        <f t="shared" si="14"/>
        <v>0</v>
      </c>
      <c r="Z98" s="60">
        <f t="shared" si="14"/>
        <v>266.2</v>
      </c>
      <c r="AA98" s="60">
        <f t="shared" si="14"/>
        <v>216.5</v>
      </c>
      <c r="AB98" s="60">
        <f t="shared" si="14"/>
        <v>193.9</v>
      </c>
      <c r="AC98" s="60">
        <f t="shared" si="14"/>
        <v>174</v>
      </c>
      <c r="AD98" s="60">
        <f t="shared" si="14"/>
        <v>205</v>
      </c>
      <c r="AE98" s="60">
        <f t="shared" si="14"/>
        <v>224.6</v>
      </c>
      <c r="AF98" s="60">
        <f t="shared" si="14"/>
        <v>202</v>
      </c>
      <c r="AG98" s="88"/>
      <c r="AH98" s="47">
        <f t="shared" si="8"/>
        <v>302</v>
      </c>
      <c r="AI98" s="48">
        <f t="shared" si="9"/>
        <v>0</v>
      </c>
    </row>
    <row r="99" spans="1:37" x14ac:dyDescent="0.25">
      <c r="A99" s="100" t="s">
        <v>107</v>
      </c>
      <c r="B99" s="101">
        <v>50.07</v>
      </c>
      <c r="C99" s="101">
        <v>50.03</v>
      </c>
      <c r="D99" s="101">
        <v>50.01</v>
      </c>
      <c r="E99" s="101">
        <v>49.987000000000002</v>
      </c>
      <c r="F99" s="101">
        <v>49.987000000000002</v>
      </c>
      <c r="G99" s="101">
        <v>49.981000000000002</v>
      </c>
      <c r="H99" s="101">
        <v>50.036999999999999</v>
      </c>
      <c r="I99" s="101">
        <v>50.072000000000003</v>
      </c>
      <c r="J99" s="101">
        <v>50.048000000000002</v>
      </c>
      <c r="K99" s="101">
        <v>50.029000000000003</v>
      </c>
      <c r="L99" s="101">
        <v>49.951999999999998</v>
      </c>
      <c r="M99" s="101">
        <v>49.962000000000003</v>
      </c>
      <c r="N99" s="101">
        <v>50.055</v>
      </c>
      <c r="O99" s="101">
        <v>50.030999999999999</v>
      </c>
      <c r="P99" s="101">
        <v>49.914000000000001</v>
      </c>
      <c r="Q99" s="101">
        <v>49.963000000000001</v>
      </c>
      <c r="R99" s="101">
        <v>49.965000000000003</v>
      </c>
      <c r="S99" s="101">
        <v>49.926000000000002</v>
      </c>
      <c r="T99" s="101">
        <v>49.973999999999997</v>
      </c>
      <c r="U99" s="101">
        <v>50.037999999999997</v>
      </c>
      <c r="V99" s="101">
        <v>50.037999999999997</v>
      </c>
      <c r="W99" s="101">
        <v>50.037999999999997</v>
      </c>
      <c r="X99" s="101"/>
      <c r="Y99" s="101"/>
      <c r="Z99" s="101">
        <v>50.125999999999998</v>
      </c>
      <c r="AA99" s="101">
        <v>50.042000000000002</v>
      </c>
      <c r="AB99" s="101">
        <v>50.06</v>
      </c>
      <c r="AC99" s="101">
        <v>50.015999999999998</v>
      </c>
      <c r="AD99" s="101">
        <v>50.026000000000003</v>
      </c>
      <c r="AE99" s="101">
        <v>50.04</v>
      </c>
      <c r="AF99" s="101">
        <v>49.97</v>
      </c>
      <c r="AG99" s="102"/>
      <c r="AH99" s="47">
        <f t="shared" si="8"/>
        <v>50.125999999999998</v>
      </c>
      <c r="AI99" s="48">
        <f t="shared" si="9"/>
        <v>49.914000000000001</v>
      </c>
    </row>
    <row r="100" spans="1:37" x14ac:dyDescent="0.25">
      <c r="A100" s="103" t="s">
        <v>108</v>
      </c>
      <c r="B100" s="65">
        <v>125</v>
      </c>
      <c r="C100" s="65">
        <v>128</v>
      </c>
      <c r="D100" s="65">
        <v>127</v>
      </c>
      <c r="E100" s="65">
        <v>127.1</v>
      </c>
      <c r="F100" s="65">
        <v>127.8</v>
      </c>
      <c r="G100" s="65">
        <v>127</v>
      </c>
      <c r="H100" s="65">
        <v>126.5</v>
      </c>
      <c r="I100" s="65">
        <v>125</v>
      </c>
      <c r="J100" s="65">
        <v>124.4</v>
      </c>
      <c r="K100" s="65">
        <v>126.1</v>
      </c>
      <c r="L100" s="65">
        <v>124.9</v>
      </c>
      <c r="M100" s="65">
        <v>124.5</v>
      </c>
      <c r="N100" s="65">
        <v>124</v>
      </c>
      <c r="O100" s="65">
        <v>125.1</v>
      </c>
      <c r="P100" s="65">
        <v>124.7</v>
      </c>
      <c r="Q100" s="65">
        <v>124</v>
      </c>
      <c r="R100" s="65">
        <v>125.3</v>
      </c>
      <c r="S100" s="65">
        <v>126.3</v>
      </c>
      <c r="T100" s="65">
        <v>125.6</v>
      </c>
      <c r="U100" s="65">
        <v>124.2</v>
      </c>
      <c r="V100" s="65">
        <v>124.2</v>
      </c>
      <c r="W100" s="65">
        <v>124.2</v>
      </c>
      <c r="X100" s="65"/>
      <c r="Y100" s="65"/>
      <c r="Z100" s="65">
        <v>125.2</v>
      </c>
      <c r="AA100" s="65">
        <v>125.2</v>
      </c>
      <c r="AB100" s="65">
        <v>123.9</v>
      </c>
      <c r="AC100" s="65">
        <v>123.2</v>
      </c>
      <c r="AD100" s="65">
        <v>123.4</v>
      </c>
      <c r="AE100" s="65">
        <v>124.1</v>
      </c>
      <c r="AF100" s="65">
        <v>123.3</v>
      </c>
      <c r="AG100" s="104"/>
      <c r="AH100" s="47">
        <f t="shared" si="8"/>
        <v>128</v>
      </c>
      <c r="AI100" s="48">
        <f t="shared" si="9"/>
        <v>123.2</v>
      </c>
    </row>
    <row r="101" spans="1:37" x14ac:dyDescent="0.25">
      <c r="A101" s="103" t="s">
        <v>109</v>
      </c>
      <c r="B101" s="65">
        <v>129</v>
      </c>
      <c r="C101" s="65">
        <v>132</v>
      </c>
      <c r="D101" s="65">
        <v>132</v>
      </c>
      <c r="E101" s="65">
        <v>131.6</v>
      </c>
      <c r="F101" s="65">
        <v>132.19999999999999</v>
      </c>
      <c r="G101" s="65">
        <v>131.1</v>
      </c>
      <c r="H101" s="65">
        <v>130.19999999999999</v>
      </c>
      <c r="I101" s="65">
        <v>129.19999999999999</v>
      </c>
      <c r="J101" s="65">
        <v>129.19999999999999</v>
      </c>
      <c r="K101" s="65">
        <v>129.19999999999999</v>
      </c>
      <c r="L101" s="65">
        <v>128.5</v>
      </c>
      <c r="M101" s="65">
        <v>128.19999999999999</v>
      </c>
      <c r="N101" s="65">
        <v>127.6</v>
      </c>
      <c r="O101" s="65">
        <v>128.5</v>
      </c>
      <c r="P101" s="65">
        <v>128.4</v>
      </c>
      <c r="Q101" s="65">
        <v>128.4</v>
      </c>
      <c r="R101" s="65">
        <v>129.30000000000001</v>
      </c>
      <c r="S101" s="65">
        <v>130.5</v>
      </c>
      <c r="T101" s="65">
        <v>129.19999999999999</v>
      </c>
      <c r="U101" s="65">
        <v>128.30000000000001</v>
      </c>
      <c r="V101" s="65">
        <v>128.30000000000001</v>
      </c>
      <c r="W101" s="65">
        <v>128.30000000000001</v>
      </c>
      <c r="X101" s="65"/>
      <c r="Y101" s="65"/>
      <c r="Z101" s="65">
        <v>129.4</v>
      </c>
      <c r="AA101" s="65">
        <v>129.4</v>
      </c>
      <c r="AB101" s="65">
        <v>128.30000000000001</v>
      </c>
      <c r="AC101" s="65">
        <v>127.8</v>
      </c>
      <c r="AD101" s="65">
        <v>127.8</v>
      </c>
      <c r="AE101" s="65">
        <v>128.69999999999999</v>
      </c>
      <c r="AF101" s="65">
        <v>129.30000000000001</v>
      </c>
      <c r="AG101" s="104"/>
      <c r="AH101" s="47">
        <f t="shared" si="8"/>
        <v>132.19999999999999</v>
      </c>
      <c r="AI101" s="48">
        <f t="shared" si="9"/>
        <v>127.6</v>
      </c>
    </row>
    <row r="102" spans="1:37" x14ac:dyDescent="0.25">
      <c r="A102" s="103" t="s">
        <v>110</v>
      </c>
      <c r="B102" s="65">
        <v>130</v>
      </c>
      <c r="C102" s="65">
        <v>130</v>
      </c>
      <c r="D102" s="65">
        <v>130</v>
      </c>
      <c r="E102" s="65">
        <v>129.9</v>
      </c>
      <c r="F102" s="65">
        <v>128.9</v>
      </c>
      <c r="G102" s="65">
        <v>131.4</v>
      </c>
      <c r="H102" s="65">
        <v>130.4</v>
      </c>
      <c r="I102" s="65">
        <v>131.30000000000001</v>
      </c>
      <c r="J102" s="65">
        <v>131.30000000000001</v>
      </c>
      <c r="K102" s="65">
        <v>131</v>
      </c>
      <c r="L102" s="65">
        <v>128.30000000000001</v>
      </c>
      <c r="M102" s="65">
        <v>129.80000000000001</v>
      </c>
      <c r="N102" s="65">
        <v>131.5</v>
      </c>
      <c r="O102" s="65">
        <v>130</v>
      </c>
      <c r="P102" s="65">
        <v>128</v>
      </c>
      <c r="Q102" s="65">
        <v>127.6</v>
      </c>
      <c r="R102" s="65">
        <v>128.69999999999999</v>
      </c>
      <c r="S102" s="65">
        <v>128.9</v>
      </c>
      <c r="T102" s="65">
        <v>128.69999999999999</v>
      </c>
      <c r="U102" s="65">
        <v>128.30000000000001</v>
      </c>
      <c r="V102" s="65">
        <v>128.30000000000001</v>
      </c>
      <c r="W102" s="65">
        <v>128.30000000000001</v>
      </c>
      <c r="X102" s="65"/>
      <c r="Y102" s="65"/>
      <c r="Z102" s="65">
        <v>130.19999999999999</v>
      </c>
      <c r="AA102" s="65">
        <v>130.19999999999999</v>
      </c>
      <c r="AB102" s="65">
        <v>128.1</v>
      </c>
      <c r="AC102" s="65">
        <v>128.80000000000001</v>
      </c>
      <c r="AD102" s="65">
        <v>129.1</v>
      </c>
      <c r="AE102" s="65">
        <v>128.9</v>
      </c>
      <c r="AF102" s="65">
        <v>129.19999999999999</v>
      </c>
      <c r="AG102" s="104"/>
      <c r="AH102" s="47">
        <f t="shared" si="8"/>
        <v>131.5</v>
      </c>
      <c r="AI102" s="48">
        <f t="shared" si="9"/>
        <v>127.6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>
        <v>129</v>
      </c>
      <c r="C104" s="106">
        <v>129</v>
      </c>
      <c r="D104" s="106">
        <v>132</v>
      </c>
      <c r="E104" s="106">
        <v>131.6</v>
      </c>
      <c r="F104" s="106">
        <v>132.19999999999999</v>
      </c>
      <c r="G104" s="106">
        <v>132.69999999999999</v>
      </c>
      <c r="H104" s="106">
        <v>132.1</v>
      </c>
      <c r="I104" s="106">
        <v>132.1</v>
      </c>
      <c r="J104" s="106">
        <v>131.1</v>
      </c>
      <c r="K104" s="106">
        <v>130.30000000000001</v>
      </c>
      <c r="L104" s="106">
        <v>130</v>
      </c>
      <c r="M104" s="106">
        <v>131.30000000000001</v>
      </c>
      <c r="N104" s="106">
        <v>132.80000000000001</v>
      </c>
      <c r="O104" s="106">
        <v>131.5</v>
      </c>
      <c r="P104" s="106">
        <v>133.80000000000001</v>
      </c>
      <c r="Q104" s="106">
        <v>133.6</v>
      </c>
      <c r="R104" s="106">
        <v>133.5</v>
      </c>
      <c r="S104" s="106">
        <v>131.19999999999999</v>
      </c>
      <c r="T104" s="106">
        <v>130.6</v>
      </c>
      <c r="U104" s="106">
        <v>129.30000000000001</v>
      </c>
      <c r="V104" s="106">
        <v>129.30000000000001</v>
      </c>
      <c r="W104" s="106">
        <v>129.30000000000001</v>
      </c>
      <c r="X104" s="106"/>
      <c r="Y104" s="106"/>
      <c r="Z104" s="106">
        <v>128.80000000000001</v>
      </c>
      <c r="AA104" s="106">
        <v>128.80000000000001</v>
      </c>
      <c r="AB104" s="106">
        <v>129.80000000000001</v>
      </c>
      <c r="AC104" s="106">
        <v>129.30000000000001</v>
      </c>
      <c r="AD104" s="106">
        <v>130.4</v>
      </c>
      <c r="AE104" s="106">
        <v>130.6</v>
      </c>
      <c r="AF104" s="106">
        <v>128.9</v>
      </c>
      <c r="AG104" s="107"/>
      <c r="AH104" s="47">
        <f t="shared" si="8"/>
        <v>133.80000000000001</v>
      </c>
      <c r="AI104" s="48">
        <f t="shared" si="9"/>
        <v>128.80000000000001</v>
      </c>
    </row>
    <row r="105" spans="1:37" x14ac:dyDescent="0.25">
      <c r="A105" s="103" t="s">
        <v>113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ht="15.75" thickBot="1" x14ac:dyDescent="0.3">
      <c r="A106" s="103" t="s">
        <v>114</v>
      </c>
      <c r="B106" s="92">
        <v>66.8</v>
      </c>
      <c r="C106" s="92">
        <v>66.8</v>
      </c>
      <c r="D106" s="92">
        <v>66.2</v>
      </c>
      <c r="E106" s="92">
        <v>66.099999999999994</v>
      </c>
      <c r="F106" s="92">
        <v>66.5</v>
      </c>
      <c r="G106" s="92">
        <v>65.5</v>
      </c>
      <c r="H106" s="92">
        <v>65.2</v>
      </c>
      <c r="I106" s="92">
        <v>65.2</v>
      </c>
      <c r="J106" s="92">
        <v>65.2</v>
      </c>
      <c r="K106" s="92">
        <v>65</v>
      </c>
      <c r="L106" s="92">
        <v>64.5</v>
      </c>
      <c r="M106" s="92">
        <v>64</v>
      </c>
      <c r="N106" s="92">
        <v>63.8</v>
      </c>
      <c r="O106" s="92">
        <v>64.2</v>
      </c>
      <c r="P106" s="92">
        <v>64.2</v>
      </c>
      <c r="Q106" s="92">
        <v>64.400000000000006</v>
      </c>
      <c r="R106" s="92">
        <v>64.8</v>
      </c>
      <c r="S106" s="92">
        <v>65.400000000000006</v>
      </c>
      <c r="T106" s="92">
        <v>64.900000000000006</v>
      </c>
      <c r="U106" s="92">
        <v>64.3</v>
      </c>
      <c r="V106" s="92">
        <v>64.3</v>
      </c>
      <c r="W106" s="92">
        <v>64.3</v>
      </c>
      <c r="X106" s="92"/>
      <c r="Y106" s="92"/>
      <c r="Z106" s="92">
        <v>64.8</v>
      </c>
      <c r="AA106" s="92">
        <v>64.8</v>
      </c>
      <c r="AB106" s="92">
        <v>64.5</v>
      </c>
      <c r="AC106" s="92">
        <v>64.400000000000006</v>
      </c>
      <c r="AD106" s="92">
        <v>64.3</v>
      </c>
      <c r="AE106" s="92">
        <v>65.099999999999994</v>
      </c>
      <c r="AF106" s="92">
        <v>65.2</v>
      </c>
      <c r="AG106" s="108"/>
      <c r="AH106" s="47">
        <f t="shared" si="8"/>
        <v>66.8</v>
      </c>
      <c r="AI106" s="48">
        <f t="shared" si="9"/>
        <v>63.8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 t="str">
        <f>IF(AA90=MAX($B$91:$G$91),"PN","")</f>
        <v/>
      </c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v>72.199999999999989</v>
      </c>
      <c r="C108" s="111">
        <f t="shared" ref="C108:AF108" si="15">SUM(C18,C24,C27:C28,C56,C58:C59,C61,C63,C109:C113,C135,C141,C147,C156,C158,C170,C177,C180:C181,C188,C190,C192,C196:C198,C200:C202,C207,C213:C214,C216:C218,C226,C231)</f>
        <v>43.139999999999986</v>
      </c>
      <c r="D108" s="111">
        <f t="shared" si="15"/>
        <v>51.139999999999986</v>
      </c>
      <c r="E108" s="111">
        <f t="shared" si="15"/>
        <v>49.94</v>
      </c>
      <c r="F108" s="111">
        <f t="shared" si="15"/>
        <v>59.94</v>
      </c>
      <c r="G108" s="111">
        <f t="shared" si="15"/>
        <v>100.44</v>
      </c>
      <c r="H108" s="111">
        <f t="shared" si="15"/>
        <v>107.83999999999997</v>
      </c>
      <c r="I108" s="111">
        <f t="shared" si="15"/>
        <v>107.83999999999997</v>
      </c>
      <c r="J108" s="111">
        <f t="shared" si="15"/>
        <v>165.14000000000001</v>
      </c>
      <c r="K108" s="111">
        <f t="shared" si="15"/>
        <v>197.04000000000002</v>
      </c>
      <c r="L108" s="111">
        <f t="shared" si="15"/>
        <v>197.53999999999996</v>
      </c>
      <c r="M108" s="111">
        <f t="shared" si="15"/>
        <v>219.64</v>
      </c>
      <c r="N108" s="111">
        <f t="shared" si="15"/>
        <v>231.83999999999997</v>
      </c>
      <c r="O108" s="111">
        <f t="shared" si="15"/>
        <v>212.04000000000002</v>
      </c>
      <c r="P108" s="111">
        <v>42</v>
      </c>
      <c r="Q108" s="111">
        <f t="shared" si="15"/>
        <v>180.7</v>
      </c>
      <c r="R108" s="111">
        <f t="shared" si="15"/>
        <v>178.2</v>
      </c>
      <c r="S108" s="111">
        <f t="shared" si="15"/>
        <v>165.10000000000002</v>
      </c>
      <c r="T108" s="111">
        <f t="shared" si="15"/>
        <v>169.1</v>
      </c>
      <c r="U108" s="111">
        <f t="shared" si="15"/>
        <v>192</v>
      </c>
      <c r="V108" s="111">
        <f>SUM(V18,V24,V27:V28,V56,V58:V59,V61,V63,V109:V113,V135,V141,V147,V156,V158,V170,V177,V180:V181,V188,V190,V192,V196:V198,V200:V202,V207,V213:V214,V216:V218,V226,V231)</f>
        <v>192</v>
      </c>
      <c r="W108" s="111">
        <f>SUM(W18,W24,W27:W28,W56,W58:W59,W61,W63,W109:W113,W135,W141,W147,W156,W158,W170,W177,W180:W181,W188,W190,W192,W196:W198,W200:W202,W207,W213:W214,W216:W218,W226,W231)</f>
        <v>192</v>
      </c>
      <c r="X108" s="111">
        <f t="shared" si="15"/>
        <v>0</v>
      </c>
      <c r="Y108" s="111">
        <f t="shared" si="15"/>
        <v>0</v>
      </c>
      <c r="Z108" s="111">
        <f t="shared" si="15"/>
        <v>216.09999999999997</v>
      </c>
      <c r="AA108" s="111">
        <f>SUM(AA154,AA109:AA113,AA13,AA22,AA28,AA36,AA38,AA56,AA58:AA59,AA61,AA63)</f>
        <v>282.60000000000002</v>
      </c>
      <c r="AB108" s="111">
        <f t="shared" si="15"/>
        <v>181.3</v>
      </c>
      <c r="AC108" s="111">
        <f t="shared" si="15"/>
        <v>173.2</v>
      </c>
      <c r="AD108" s="111">
        <f t="shared" si="15"/>
        <v>154.10000000000002</v>
      </c>
      <c r="AE108" s="111">
        <f t="shared" si="15"/>
        <v>102</v>
      </c>
      <c r="AF108" s="111">
        <f t="shared" si="15"/>
        <v>46.400000000000006</v>
      </c>
      <c r="AG108" s="112"/>
      <c r="AH108" s="47">
        <f t="shared" si="8"/>
        <v>282.60000000000002</v>
      </c>
      <c r="AI108" s="48">
        <f t="shared" si="9"/>
        <v>0</v>
      </c>
    </row>
    <row r="109" spans="1:37" x14ac:dyDescent="0.25">
      <c r="A109" s="100" t="s">
        <v>117</v>
      </c>
      <c r="B109" s="113">
        <v>36</v>
      </c>
      <c r="C109" s="113">
        <v>29</v>
      </c>
      <c r="D109" s="113">
        <v>30</v>
      </c>
      <c r="E109" s="113">
        <v>14.1</v>
      </c>
      <c r="F109" s="113">
        <v>13.8</v>
      </c>
      <c r="G109" s="113">
        <v>19.899999999999999</v>
      </c>
      <c r="H109" s="113">
        <v>29.6</v>
      </c>
      <c r="I109" s="113">
        <v>29.6</v>
      </c>
      <c r="J109" s="113">
        <v>41.4</v>
      </c>
      <c r="K109" s="113">
        <v>43.1</v>
      </c>
      <c r="L109" s="113">
        <v>37.700000000000003</v>
      </c>
      <c r="M109" s="113">
        <v>49.6</v>
      </c>
      <c r="N109" s="113">
        <v>46.3</v>
      </c>
      <c r="O109" s="113">
        <v>30.8</v>
      </c>
      <c r="P109" s="113">
        <v>33.799999999999997</v>
      </c>
      <c r="Q109" s="113">
        <v>34</v>
      </c>
      <c r="R109" s="113">
        <v>32.4</v>
      </c>
      <c r="S109" s="113">
        <v>12.4</v>
      </c>
      <c r="T109" s="113">
        <v>34.5</v>
      </c>
      <c r="U109" s="113">
        <v>32.299999999999997</v>
      </c>
      <c r="V109" s="113">
        <v>32.299999999999997</v>
      </c>
      <c r="W109" s="113">
        <v>32.299999999999997</v>
      </c>
      <c r="X109" s="113"/>
      <c r="Y109" s="113"/>
      <c r="Z109" s="113">
        <v>75.2</v>
      </c>
      <c r="AA109" s="113">
        <v>84.8</v>
      </c>
      <c r="AB109" s="113">
        <v>91</v>
      </c>
      <c r="AC109" s="113">
        <v>87.7</v>
      </c>
      <c r="AD109" s="113">
        <v>82.9</v>
      </c>
      <c r="AE109" s="113">
        <v>73.7</v>
      </c>
      <c r="AF109" s="113">
        <v>59.5</v>
      </c>
      <c r="AG109" s="114">
        <v>75</v>
      </c>
      <c r="AH109" s="47">
        <f t="shared" si="8"/>
        <v>91</v>
      </c>
      <c r="AI109" s="48">
        <f t="shared" si="9"/>
        <v>12.4</v>
      </c>
    </row>
    <row r="110" spans="1:37" x14ac:dyDescent="0.25">
      <c r="A110" s="103" t="s">
        <v>118</v>
      </c>
      <c r="B110" s="115">
        <v>18</v>
      </c>
      <c r="C110" s="115">
        <v>13</v>
      </c>
      <c r="D110" s="115">
        <v>15</v>
      </c>
      <c r="E110" s="115">
        <v>29.3</v>
      </c>
      <c r="F110" s="115">
        <v>30</v>
      </c>
      <c r="G110" s="115">
        <v>37</v>
      </c>
      <c r="H110" s="115">
        <v>49.3</v>
      </c>
      <c r="I110" s="115">
        <v>49.3</v>
      </c>
      <c r="J110" s="115">
        <v>59.7</v>
      </c>
      <c r="K110" s="115">
        <v>60.7</v>
      </c>
      <c r="L110" s="115">
        <v>54.7</v>
      </c>
      <c r="M110" s="115">
        <v>71.099999999999994</v>
      </c>
      <c r="N110" s="115">
        <v>67.2</v>
      </c>
      <c r="O110" s="115">
        <v>49.3</v>
      </c>
      <c r="P110" s="115">
        <v>54.7</v>
      </c>
      <c r="Q110" s="115">
        <v>57.1</v>
      </c>
      <c r="R110" s="115">
        <v>54.6</v>
      </c>
      <c r="S110" s="115">
        <v>26.3</v>
      </c>
      <c r="T110" s="115">
        <v>55.9</v>
      </c>
      <c r="U110" s="115">
        <v>55.5</v>
      </c>
      <c r="V110" s="115">
        <v>55.5</v>
      </c>
      <c r="W110" s="115">
        <v>55.5</v>
      </c>
      <c r="X110" s="115"/>
      <c r="Y110" s="115"/>
      <c r="Z110" s="115">
        <v>102.3</v>
      </c>
      <c r="AA110" s="115">
        <v>115.2</v>
      </c>
      <c r="AB110" s="115">
        <v>126</v>
      </c>
      <c r="AC110" s="115">
        <v>122.3</v>
      </c>
      <c r="AD110" s="115">
        <v>120.5</v>
      </c>
      <c r="AE110" s="115">
        <v>107.3</v>
      </c>
      <c r="AF110" s="115">
        <v>88.9</v>
      </c>
      <c r="AG110" s="114">
        <v>240</v>
      </c>
      <c r="AH110" s="47">
        <f t="shared" si="8"/>
        <v>126</v>
      </c>
      <c r="AI110" s="48">
        <f t="shared" si="9"/>
        <v>13</v>
      </c>
    </row>
    <row r="111" spans="1:37" x14ac:dyDescent="0.25">
      <c r="A111" s="103" t="s">
        <v>119</v>
      </c>
      <c r="B111" s="115">
        <v>-100</v>
      </c>
      <c r="C111" s="115">
        <v>-109</v>
      </c>
      <c r="D111" s="115">
        <v>-108</v>
      </c>
      <c r="E111" s="115">
        <v>-106</v>
      </c>
      <c r="F111" s="115">
        <v>-105</v>
      </c>
      <c r="G111" s="115">
        <v>-97</v>
      </c>
      <c r="H111" s="115">
        <v>-92</v>
      </c>
      <c r="I111" s="115">
        <v>-92</v>
      </c>
      <c r="J111" s="115">
        <v>-77</v>
      </c>
      <c r="K111" s="115">
        <v>-66</v>
      </c>
      <c r="L111" s="115">
        <v>-67</v>
      </c>
      <c r="M111" s="115">
        <v>-71</v>
      </c>
      <c r="N111" s="115">
        <v>-72</v>
      </c>
      <c r="O111" s="115">
        <v>-67</v>
      </c>
      <c r="P111" s="115">
        <v>-78</v>
      </c>
      <c r="Q111" s="115">
        <v>-91</v>
      </c>
      <c r="R111" s="115">
        <v>-86</v>
      </c>
      <c r="S111" s="115">
        <f>-34-40.5</f>
        <v>-74.5</v>
      </c>
      <c r="T111" s="115">
        <v>-77.400000000000006</v>
      </c>
      <c r="U111" s="115">
        <f>-39.5-42.3</f>
        <v>-81.8</v>
      </c>
      <c r="V111" s="115">
        <f>-39.5-42.3</f>
        <v>-81.8</v>
      </c>
      <c r="W111" s="115">
        <f>-39.5-42.3</f>
        <v>-81.8</v>
      </c>
      <c r="X111" s="115"/>
      <c r="Y111" s="115"/>
      <c r="Z111" s="115">
        <v>-120.5</v>
      </c>
      <c r="AA111" s="115">
        <v>-122.7</v>
      </c>
      <c r="AB111" s="115">
        <v>-161</v>
      </c>
      <c r="AC111" s="115">
        <v>-141</v>
      </c>
      <c r="AD111" s="115">
        <v>-140</v>
      </c>
      <c r="AE111" s="115">
        <f>-68.6-73.9</f>
        <v>-142.5</v>
      </c>
      <c r="AF111" s="115">
        <f>-85-90.9</f>
        <v>-175.9</v>
      </c>
      <c r="AG111" s="114">
        <v>240</v>
      </c>
      <c r="AH111" s="47">
        <f t="shared" si="8"/>
        <v>-66</v>
      </c>
      <c r="AI111" s="48">
        <f t="shared" si="9"/>
        <v>-175.9</v>
      </c>
    </row>
    <row r="112" spans="1:37" x14ac:dyDescent="0.25">
      <c r="A112" s="103" t="s">
        <v>120</v>
      </c>
      <c r="B112" s="115">
        <v>-6</v>
      </c>
      <c r="C112" s="115">
        <v>-6</v>
      </c>
      <c r="D112" s="115">
        <v>-8</v>
      </c>
      <c r="E112" s="115">
        <v>-11.2</v>
      </c>
      <c r="F112" s="115">
        <v>-6</v>
      </c>
      <c r="G112" s="115">
        <v>7.4</v>
      </c>
      <c r="H112" s="115">
        <v>-5.0999999999999996</v>
      </c>
      <c r="I112" s="115">
        <v>-5.0999999999999996</v>
      </c>
      <c r="J112" s="115">
        <v>0</v>
      </c>
      <c r="K112" s="115">
        <v>3.8</v>
      </c>
      <c r="L112" s="115">
        <v>4.9000000000000004</v>
      </c>
      <c r="M112" s="115">
        <v>5</v>
      </c>
      <c r="N112" s="115">
        <v>6.7</v>
      </c>
      <c r="O112" s="115">
        <v>8</v>
      </c>
      <c r="P112" s="115">
        <v>3</v>
      </c>
      <c r="Q112" s="115">
        <v>-5</v>
      </c>
      <c r="R112" s="115">
        <v>-1.5</v>
      </c>
      <c r="S112" s="115">
        <v>4.0999999999999996</v>
      </c>
      <c r="T112" s="115">
        <v>-2.4</v>
      </c>
      <c r="U112" s="115">
        <v>0</v>
      </c>
      <c r="V112" s="115">
        <v>0</v>
      </c>
      <c r="W112" s="115">
        <v>0</v>
      </c>
      <c r="X112" s="115"/>
      <c r="Y112" s="115"/>
      <c r="Z112" s="115">
        <v>23.5</v>
      </c>
      <c r="AA112" s="115">
        <v>24.5</v>
      </c>
      <c r="AB112" s="115">
        <v>-2</v>
      </c>
      <c r="AC112" s="115">
        <v>-0.8</v>
      </c>
      <c r="AD112" s="115">
        <v>-6.5</v>
      </c>
      <c r="AE112" s="115">
        <v>-8</v>
      </c>
      <c r="AF112" s="115">
        <v>-11.5</v>
      </c>
      <c r="AG112" s="114">
        <v>60</v>
      </c>
      <c r="AH112" s="47">
        <f t="shared" si="8"/>
        <v>24.5</v>
      </c>
      <c r="AI112" s="48">
        <f t="shared" si="9"/>
        <v>-11.5</v>
      </c>
    </row>
    <row r="113" spans="1:37" x14ac:dyDescent="0.25">
      <c r="A113" s="116" t="s">
        <v>121</v>
      </c>
      <c r="B113" s="117">
        <v>37</v>
      </c>
      <c r="C113" s="117">
        <v>20</v>
      </c>
      <c r="D113" s="117">
        <v>16</v>
      </c>
      <c r="E113" s="117">
        <v>17.600000000000001</v>
      </c>
      <c r="F113" s="117">
        <v>21</v>
      </c>
      <c r="G113" s="117">
        <v>27</v>
      </c>
      <c r="H113" s="117">
        <v>19.899999999999999</v>
      </c>
      <c r="I113" s="117">
        <v>19.899999999999999</v>
      </c>
      <c r="J113" s="117">
        <v>34.9</v>
      </c>
      <c r="K113" s="117">
        <v>31.3</v>
      </c>
      <c r="L113" s="117">
        <v>43.1</v>
      </c>
      <c r="M113" s="117">
        <v>32</v>
      </c>
      <c r="N113" s="117">
        <v>47.3</v>
      </c>
      <c r="O113" s="117">
        <v>56</v>
      </c>
      <c r="P113" s="117">
        <v>48</v>
      </c>
      <c r="Q113" s="117">
        <v>43</v>
      </c>
      <c r="R113" s="117">
        <v>37.1</v>
      </c>
      <c r="S113" s="117">
        <v>62.8</v>
      </c>
      <c r="T113" s="117">
        <v>30.5</v>
      </c>
      <c r="U113" s="117">
        <v>44</v>
      </c>
      <c r="V113" s="117">
        <v>44</v>
      </c>
      <c r="W113" s="117">
        <v>44</v>
      </c>
      <c r="X113" s="117"/>
      <c r="Y113" s="117"/>
      <c r="Z113" s="117">
        <v>32.200000000000003</v>
      </c>
      <c r="AA113" s="117">
        <v>28.2</v>
      </c>
      <c r="AB113" s="117">
        <v>22.3</v>
      </c>
      <c r="AC113" s="117">
        <v>0</v>
      </c>
      <c r="AD113" s="117">
        <v>-6</v>
      </c>
      <c r="AE113" s="117">
        <v>-30</v>
      </c>
      <c r="AF113" s="117">
        <v>0</v>
      </c>
      <c r="AG113" s="118">
        <v>120</v>
      </c>
      <c r="AH113" s="47">
        <f t="shared" si="8"/>
        <v>62.8</v>
      </c>
      <c r="AI113" s="48">
        <f t="shared" si="9"/>
        <v>-30</v>
      </c>
    </row>
    <row r="114" spans="1:37" x14ac:dyDescent="0.25">
      <c r="A114" s="116" t="s">
        <v>122</v>
      </c>
      <c r="B114" s="117">
        <v>51</v>
      </c>
      <c r="C114" s="117">
        <v>47</v>
      </c>
      <c r="D114" s="117">
        <v>40</v>
      </c>
      <c r="E114" s="117">
        <v>41</v>
      </c>
      <c r="F114" s="117">
        <v>39.1</v>
      </c>
      <c r="G114" s="117">
        <v>45</v>
      </c>
      <c r="H114" s="117">
        <v>37.4</v>
      </c>
      <c r="I114" s="117">
        <v>37.4</v>
      </c>
      <c r="J114" s="117">
        <v>46</v>
      </c>
      <c r="K114" s="117">
        <v>40.9</v>
      </c>
      <c r="L114" s="117">
        <v>50.8</v>
      </c>
      <c r="M114" s="117">
        <v>53</v>
      </c>
      <c r="N114" s="117">
        <v>72</v>
      </c>
      <c r="O114" s="117">
        <v>78</v>
      </c>
      <c r="P114" s="117">
        <v>67</v>
      </c>
      <c r="Q114" s="117">
        <v>69</v>
      </c>
      <c r="R114" s="117">
        <v>59</v>
      </c>
      <c r="S114" s="117">
        <v>75.099999999999994</v>
      </c>
      <c r="T114" s="117">
        <v>47.7</v>
      </c>
      <c r="U114" s="117">
        <v>62.1</v>
      </c>
      <c r="V114" s="117">
        <v>62.1</v>
      </c>
      <c r="W114" s="117">
        <v>62.1</v>
      </c>
      <c r="X114" s="117"/>
      <c r="Y114" s="117"/>
      <c r="Z114" s="117">
        <v>45.1</v>
      </c>
      <c r="AA114" s="117">
        <v>46.9</v>
      </c>
      <c r="AB114" s="117">
        <v>51</v>
      </c>
      <c r="AC114" s="117">
        <v>73</v>
      </c>
      <c r="AD114" s="117">
        <v>58</v>
      </c>
      <c r="AE114" s="117">
        <v>89.1</v>
      </c>
      <c r="AF114" s="117">
        <v>86.9</v>
      </c>
      <c r="AG114" s="118"/>
      <c r="AH114" s="47">
        <f t="shared" si="8"/>
        <v>89.1</v>
      </c>
      <c r="AI114" s="48">
        <f t="shared" si="9"/>
        <v>37.4</v>
      </c>
    </row>
    <row r="115" spans="1:37" x14ac:dyDescent="0.25">
      <c r="A115" s="116" t="s">
        <v>123</v>
      </c>
      <c r="B115" s="117">
        <v>80</v>
      </c>
      <c r="C115" s="117">
        <v>90</v>
      </c>
      <c r="D115" s="117">
        <v>80</v>
      </c>
      <c r="E115" s="117">
        <v>54.3</v>
      </c>
      <c r="F115" s="117">
        <v>52.3</v>
      </c>
      <c r="G115" s="117">
        <v>50</v>
      </c>
      <c r="H115" s="117">
        <v>36.5</v>
      </c>
      <c r="I115" s="117">
        <v>36.5</v>
      </c>
      <c r="J115" s="117">
        <v>28.6</v>
      </c>
      <c r="K115" s="117">
        <v>19.399999999999999</v>
      </c>
      <c r="L115" s="117">
        <v>32.200000000000003</v>
      </c>
      <c r="M115" s="117">
        <v>23</v>
      </c>
      <c r="N115" s="117">
        <v>32.299999999999997</v>
      </c>
      <c r="O115" s="117">
        <v>36</v>
      </c>
      <c r="P115" s="117">
        <v>34</v>
      </c>
      <c r="Q115" s="117">
        <v>35</v>
      </c>
      <c r="R115" s="117">
        <v>27</v>
      </c>
      <c r="S115" s="117">
        <v>46.3</v>
      </c>
      <c r="T115" s="117">
        <v>9.8000000000000007</v>
      </c>
      <c r="U115" s="117">
        <v>32.299999999999997</v>
      </c>
      <c r="V115" s="117">
        <v>32.299999999999997</v>
      </c>
      <c r="W115" s="117">
        <v>32.299999999999997</v>
      </c>
      <c r="X115" s="117"/>
      <c r="Y115" s="117"/>
      <c r="Z115" s="117">
        <v>0.5</v>
      </c>
      <c r="AA115" s="117">
        <v>0.2</v>
      </c>
      <c r="AB115" s="117">
        <v>2</v>
      </c>
      <c r="AC115" s="117">
        <v>7.3</v>
      </c>
      <c r="AD115" s="117">
        <v>-5.0999999999999996</v>
      </c>
      <c r="AE115" s="117">
        <v>8.3000000000000007</v>
      </c>
      <c r="AF115" s="117">
        <v>11.8</v>
      </c>
      <c r="AG115" s="119"/>
      <c r="AH115" s="47">
        <f t="shared" si="8"/>
        <v>90</v>
      </c>
      <c r="AI115" s="48">
        <f t="shared" si="9"/>
        <v>-5.0999999999999996</v>
      </c>
    </row>
    <row r="116" spans="1:37" x14ac:dyDescent="0.25">
      <c r="A116" s="120" t="s">
        <v>124</v>
      </c>
      <c r="B116" s="106">
        <v>14</v>
      </c>
      <c r="C116" s="106">
        <v>18</v>
      </c>
      <c r="D116" s="106">
        <v>21</v>
      </c>
      <c r="E116" s="106">
        <v>26.1</v>
      </c>
      <c r="F116" s="106">
        <v>22.7</v>
      </c>
      <c r="G116" s="106">
        <v>22.6</v>
      </c>
      <c r="H116" s="106">
        <v>20.6</v>
      </c>
      <c r="I116" s="106">
        <v>20.6</v>
      </c>
      <c r="J116" s="106">
        <v>14.5</v>
      </c>
      <c r="K116" s="106">
        <v>19.399999999999999</v>
      </c>
      <c r="L116" s="106">
        <v>18.2</v>
      </c>
      <c r="M116" s="106">
        <v>16</v>
      </c>
      <c r="N116" s="106">
        <v>17</v>
      </c>
      <c r="O116" s="106">
        <v>18</v>
      </c>
      <c r="P116" s="106">
        <v>7</v>
      </c>
      <c r="Q116" s="106">
        <v>-2</v>
      </c>
      <c r="R116" s="106">
        <v>-3.2</v>
      </c>
      <c r="S116" s="106">
        <v>-2</v>
      </c>
      <c r="T116" s="106">
        <v>-5.3</v>
      </c>
      <c r="U116" s="106">
        <v>2.2000000000000002</v>
      </c>
      <c r="V116" s="106">
        <v>2.2000000000000002</v>
      </c>
      <c r="W116" s="106">
        <v>2.2000000000000002</v>
      </c>
      <c r="X116" s="106"/>
      <c r="Y116" s="106"/>
      <c r="Z116" s="106">
        <v>9.1</v>
      </c>
      <c r="AA116" s="106">
        <v>8.8000000000000007</v>
      </c>
      <c r="AB116" s="106">
        <v>16</v>
      </c>
      <c r="AC116" s="106">
        <v>19</v>
      </c>
      <c r="AD116" s="106">
        <v>22</v>
      </c>
      <c r="AE116" s="106">
        <v>29.8</v>
      </c>
      <c r="AF116" s="106">
        <v>30.8</v>
      </c>
      <c r="AG116" s="119"/>
      <c r="AH116" s="47">
        <f t="shared" si="8"/>
        <v>30.8</v>
      </c>
      <c r="AI116" s="48">
        <f t="shared" si="9"/>
        <v>-5.3</v>
      </c>
    </row>
    <row r="117" spans="1:37" ht="15.75" thickBot="1" x14ac:dyDescent="0.3">
      <c r="A117" s="120" t="s">
        <v>125</v>
      </c>
      <c r="B117" s="106">
        <v>70</v>
      </c>
      <c r="C117" s="106">
        <v>77</v>
      </c>
      <c r="D117" s="106">
        <v>73</v>
      </c>
      <c r="E117" s="106">
        <v>65.5</v>
      </c>
      <c r="F117" s="106">
        <v>74.8</v>
      </c>
      <c r="G117" s="106">
        <v>53.3</v>
      </c>
      <c r="H117" s="106">
        <v>58.2</v>
      </c>
      <c r="I117" s="106">
        <v>58.2</v>
      </c>
      <c r="J117" s="106">
        <v>43.5</v>
      </c>
      <c r="K117" s="106">
        <v>36</v>
      </c>
      <c r="L117" s="106">
        <v>39.799999999999997</v>
      </c>
      <c r="M117" s="106">
        <v>49</v>
      </c>
      <c r="N117" s="106">
        <v>41</v>
      </c>
      <c r="O117" s="106">
        <v>45</v>
      </c>
      <c r="P117" s="106">
        <v>68</v>
      </c>
      <c r="Q117" s="106">
        <v>65</v>
      </c>
      <c r="R117" s="106">
        <v>68</v>
      </c>
      <c r="S117" s="106">
        <v>68.2</v>
      </c>
      <c r="T117" s="106">
        <v>69.3</v>
      </c>
      <c r="U117" s="106">
        <v>70.099999999999994</v>
      </c>
      <c r="V117" s="106">
        <v>70.099999999999994</v>
      </c>
      <c r="W117" s="106">
        <v>70.099999999999994</v>
      </c>
      <c r="X117" s="106"/>
      <c r="Y117" s="106"/>
      <c r="Z117" s="106">
        <v>85.5</v>
      </c>
      <c r="AA117" s="106">
        <v>84.5</v>
      </c>
      <c r="AB117" s="106">
        <v>85</v>
      </c>
      <c r="AC117" s="106">
        <v>76</v>
      </c>
      <c r="AD117" s="106">
        <v>81</v>
      </c>
      <c r="AE117" s="106">
        <v>82.9</v>
      </c>
      <c r="AF117" s="106">
        <v>60.9</v>
      </c>
      <c r="AG117" s="119"/>
      <c r="AH117" s="47">
        <f t="shared" si="8"/>
        <v>85.5</v>
      </c>
      <c r="AI117" s="48">
        <f t="shared" si="9"/>
        <v>36</v>
      </c>
    </row>
    <row r="118" spans="1:37" ht="15.75" thickBot="1" x14ac:dyDescent="0.3">
      <c r="A118" s="121" t="s">
        <v>126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230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231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232</v>
      </c>
      <c r="B224" s="135">
        <f t="shared" ref="B224:AG224" si="16">SUM(B119:B223)</f>
        <v>0</v>
      </c>
      <c r="C224" s="136">
        <f t="shared" si="16"/>
        <v>0</v>
      </c>
      <c r="D224" s="136">
        <f t="shared" si="16"/>
        <v>0</v>
      </c>
      <c r="E224" s="136">
        <f t="shared" si="16"/>
        <v>0</v>
      </c>
      <c r="F224" s="136">
        <f t="shared" si="16"/>
        <v>0</v>
      </c>
      <c r="G224" s="136">
        <f t="shared" si="16"/>
        <v>0</v>
      </c>
      <c r="H224" s="136">
        <f t="shared" si="16"/>
        <v>0</v>
      </c>
      <c r="I224" s="136">
        <f t="shared" si="16"/>
        <v>0</v>
      </c>
      <c r="J224" s="136">
        <f t="shared" si="16"/>
        <v>0</v>
      </c>
      <c r="K224" s="136">
        <f t="shared" si="16"/>
        <v>0</v>
      </c>
      <c r="L224" s="136">
        <f t="shared" si="16"/>
        <v>0</v>
      </c>
      <c r="M224" s="136">
        <f t="shared" si="16"/>
        <v>0</v>
      </c>
      <c r="N224" s="136">
        <f t="shared" si="16"/>
        <v>0</v>
      </c>
      <c r="O224" s="136">
        <f t="shared" si="16"/>
        <v>0</v>
      </c>
      <c r="P224" s="136">
        <f t="shared" si="16"/>
        <v>0</v>
      </c>
      <c r="Q224" s="136">
        <f t="shared" si="16"/>
        <v>0</v>
      </c>
      <c r="R224" s="136">
        <f t="shared" si="16"/>
        <v>0</v>
      </c>
      <c r="S224" s="136">
        <f t="shared" si="16"/>
        <v>0</v>
      </c>
      <c r="T224" s="136">
        <f t="shared" si="16"/>
        <v>0</v>
      </c>
      <c r="U224" s="136">
        <f t="shared" si="16"/>
        <v>0</v>
      </c>
      <c r="V224" s="136">
        <f t="shared" si="16"/>
        <v>0</v>
      </c>
      <c r="W224" s="136">
        <f t="shared" si="16"/>
        <v>0</v>
      </c>
      <c r="X224" s="136">
        <f t="shared" si="16"/>
        <v>0</v>
      </c>
      <c r="Y224" s="136">
        <f t="shared" si="16"/>
        <v>0</v>
      </c>
      <c r="Z224" s="136">
        <f t="shared" si="16"/>
        <v>0</v>
      </c>
      <c r="AA224" s="136">
        <f t="shared" si="16"/>
        <v>0</v>
      </c>
      <c r="AB224" s="136">
        <f t="shared" si="16"/>
        <v>0</v>
      </c>
      <c r="AC224" s="136">
        <f t="shared" si="16"/>
        <v>0</v>
      </c>
      <c r="AD224" s="136">
        <f t="shared" si="16"/>
        <v>0</v>
      </c>
      <c r="AE224" s="136">
        <f t="shared" si="16"/>
        <v>0</v>
      </c>
      <c r="AF224" s="137">
        <f t="shared" si="16"/>
        <v>0</v>
      </c>
      <c r="AG224" s="138">
        <f t="shared" si="16"/>
        <v>412.72299999999984</v>
      </c>
      <c r="AH224" s="47"/>
      <c r="AI224" s="48"/>
      <c r="AK224" s="49"/>
    </row>
    <row r="225" spans="1:37" ht="15.75" thickBot="1" x14ac:dyDescent="0.3">
      <c r="A225" s="26" t="s">
        <v>73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233</v>
      </c>
      <c r="B226" s="140">
        <f t="shared" ref="B226:B231" si="17">AF226</f>
        <v>0</v>
      </c>
      <c r="C226" s="140">
        <v>0.3</v>
      </c>
      <c r="D226" s="140">
        <f t="shared" ref="D226:P231" si="18">C226</f>
        <v>0.3</v>
      </c>
      <c r="E226" s="140">
        <f t="shared" si="18"/>
        <v>0.3</v>
      </c>
      <c r="F226" s="140">
        <f t="shared" si="18"/>
        <v>0.3</v>
      </c>
      <c r="G226" s="140">
        <f t="shared" si="18"/>
        <v>0.3</v>
      </c>
      <c r="H226" s="140">
        <f t="shared" si="18"/>
        <v>0.3</v>
      </c>
      <c r="I226" s="140">
        <f t="shared" si="18"/>
        <v>0.3</v>
      </c>
      <c r="J226" s="140">
        <f t="shared" si="18"/>
        <v>0.3</v>
      </c>
      <c r="K226" s="140">
        <f t="shared" si="18"/>
        <v>0.3</v>
      </c>
      <c r="L226" s="140">
        <f t="shared" si="18"/>
        <v>0.3</v>
      </c>
      <c r="M226" s="140">
        <f t="shared" si="18"/>
        <v>0.3</v>
      </c>
      <c r="N226" s="140">
        <f t="shared" si="18"/>
        <v>0.3</v>
      </c>
      <c r="O226" s="140">
        <f t="shared" si="18"/>
        <v>0.3</v>
      </c>
      <c r="P226" s="140">
        <f t="shared" si="18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234</v>
      </c>
      <c r="B227" s="128">
        <f t="shared" si="17"/>
        <v>0</v>
      </c>
      <c r="C227" s="128">
        <v>0.4</v>
      </c>
      <c r="D227" s="128">
        <f t="shared" si="18"/>
        <v>0.4</v>
      </c>
      <c r="E227" s="128">
        <f t="shared" si="18"/>
        <v>0.4</v>
      </c>
      <c r="F227" s="128">
        <f t="shared" si="18"/>
        <v>0.4</v>
      </c>
      <c r="G227" s="128">
        <f t="shared" si="18"/>
        <v>0.4</v>
      </c>
      <c r="H227" s="128">
        <f t="shared" si="18"/>
        <v>0.4</v>
      </c>
      <c r="I227" s="128">
        <f t="shared" si="18"/>
        <v>0.4</v>
      </c>
      <c r="J227" s="128">
        <f t="shared" si="18"/>
        <v>0.4</v>
      </c>
      <c r="K227" s="128">
        <f t="shared" si="18"/>
        <v>0.4</v>
      </c>
      <c r="L227" s="128">
        <f t="shared" si="18"/>
        <v>0.4</v>
      </c>
      <c r="M227" s="128">
        <f t="shared" si="18"/>
        <v>0.4</v>
      </c>
      <c r="N227" s="128">
        <f t="shared" si="18"/>
        <v>0.4</v>
      </c>
      <c r="O227" s="128">
        <f t="shared" si="18"/>
        <v>0.4</v>
      </c>
      <c r="P227" s="128">
        <f t="shared" si="18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235</v>
      </c>
      <c r="B228" s="128">
        <f t="shared" si="17"/>
        <v>0</v>
      </c>
      <c r="C228" s="128">
        <v>1.5</v>
      </c>
      <c r="D228" s="128">
        <f t="shared" si="18"/>
        <v>1.5</v>
      </c>
      <c r="E228" s="128">
        <f t="shared" si="18"/>
        <v>1.5</v>
      </c>
      <c r="F228" s="128">
        <f t="shared" si="18"/>
        <v>1.5</v>
      </c>
      <c r="G228" s="128">
        <f t="shared" si="18"/>
        <v>1.5</v>
      </c>
      <c r="H228" s="128">
        <f t="shared" si="18"/>
        <v>1.5</v>
      </c>
      <c r="I228" s="111">
        <f ca="1">SUM(I140,I146,I149:I150,I176,I178:I179,I181,I183,I229:I233,I255,I261,I267,I276,I278,I290,I297,I300:I301,I308,I310,I312,I316:I318,I320:I322,I327,I333:I334,I336:I338,I346,I351)</f>
        <v>123.21900000000009</v>
      </c>
      <c r="J228" s="128">
        <f t="shared" ca="1" si="18"/>
        <v>123.21900000000009</v>
      </c>
      <c r="K228" s="128">
        <f t="shared" ca="1" si="18"/>
        <v>123.21900000000009</v>
      </c>
      <c r="L228" s="128">
        <f t="shared" ca="1" si="18"/>
        <v>123.21900000000009</v>
      </c>
      <c r="M228" s="128">
        <f t="shared" ca="1" si="18"/>
        <v>123.21900000000009</v>
      </c>
      <c r="N228" s="128">
        <f t="shared" ca="1" si="18"/>
        <v>123.21900000000009</v>
      </c>
      <c r="O228" s="128">
        <f t="shared" ca="1" si="18"/>
        <v>123.21900000000009</v>
      </c>
      <c r="P228" s="128">
        <f t="shared" ca="1" si="18"/>
        <v>119.19900000000008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236</v>
      </c>
      <c r="B229" s="128">
        <f t="shared" si="17"/>
        <v>0</v>
      </c>
      <c r="C229" s="128">
        <v>0.3</v>
      </c>
      <c r="D229" s="128">
        <f t="shared" si="18"/>
        <v>0.3</v>
      </c>
      <c r="E229" s="128">
        <f t="shared" si="18"/>
        <v>0.3</v>
      </c>
      <c r="F229" s="128">
        <f t="shared" si="18"/>
        <v>0.3</v>
      </c>
      <c r="G229" s="128">
        <f t="shared" si="18"/>
        <v>0.3</v>
      </c>
      <c r="H229" s="128">
        <f t="shared" si="18"/>
        <v>0.3</v>
      </c>
      <c r="I229" s="128">
        <f t="shared" si="18"/>
        <v>0.3</v>
      </c>
      <c r="J229" s="128">
        <f t="shared" si="18"/>
        <v>0.3</v>
      </c>
      <c r="K229" s="128">
        <f t="shared" si="18"/>
        <v>0.3</v>
      </c>
      <c r="L229" s="128">
        <f t="shared" si="18"/>
        <v>0.3</v>
      </c>
      <c r="M229" s="128">
        <f t="shared" si="18"/>
        <v>0.3</v>
      </c>
      <c r="N229" s="128">
        <f t="shared" si="18"/>
        <v>0.3</v>
      </c>
      <c r="O229" s="128">
        <f t="shared" si="18"/>
        <v>0.3</v>
      </c>
      <c r="P229" s="128">
        <f t="shared" si="18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237</v>
      </c>
      <c r="B230" s="128">
        <f t="shared" si="17"/>
        <v>0</v>
      </c>
      <c r="C230" s="128">
        <v>0.4</v>
      </c>
      <c r="D230" s="128">
        <f t="shared" si="18"/>
        <v>0.4</v>
      </c>
      <c r="E230" s="128">
        <f t="shared" si="18"/>
        <v>0.4</v>
      </c>
      <c r="F230" s="128">
        <f t="shared" si="18"/>
        <v>0.4</v>
      </c>
      <c r="G230" s="128">
        <f t="shared" si="18"/>
        <v>0.4</v>
      </c>
      <c r="H230" s="128">
        <f t="shared" si="18"/>
        <v>0.4</v>
      </c>
      <c r="I230" s="128">
        <f t="shared" si="18"/>
        <v>0.4</v>
      </c>
      <c r="J230" s="128">
        <f t="shared" si="18"/>
        <v>0.4</v>
      </c>
      <c r="K230" s="128">
        <f t="shared" si="18"/>
        <v>0.4</v>
      </c>
      <c r="L230" s="128">
        <f t="shared" si="18"/>
        <v>0.4</v>
      </c>
      <c r="M230" s="128">
        <f t="shared" si="18"/>
        <v>0.4</v>
      </c>
      <c r="N230" s="128">
        <f t="shared" si="18"/>
        <v>0.4</v>
      </c>
      <c r="O230" s="128">
        <f t="shared" si="18"/>
        <v>0.4</v>
      </c>
      <c r="P230" s="128">
        <f t="shared" si="1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238</v>
      </c>
      <c r="B231" s="132">
        <f t="shared" si="17"/>
        <v>0</v>
      </c>
      <c r="C231" s="132">
        <v>0.64</v>
      </c>
      <c r="D231" s="132">
        <f t="shared" si="18"/>
        <v>0.64</v>
      </c>
      <c r="E231" s="132">
        <f t="shared" si="18"/>
        <v>0.64</v>
      </c>
      <c r="F231" s="132">
        <f t="shared" si="18"/>
        <v>0.64</v>
      </c>
      <c r="G231" s="132">
        <f t="shared" si="18"/>
        <v>0.64</v>
      </c>
      <c r="H231" s="132">
        <f t="shared" si="18"/>
        <v>0.64</v>
      </c>
      <c r="I231" s="132">
        <f t="shared" si="18"/>
        <v>0.64</v>
      </c>
      <c r="J231" s="132">
        <f t="shared" si="18"/>
        <v>0.64</v>
      </c>
      <c r="K231" s="132">
        <f t="shared" si="18"/>
        <v>0.64</v>
      </c>
      <c r="L231" s="132">
        <f t="shared" si="18"/>
        <v>0.64</v>
      </c>
      <c r="M231" s="132">
        <f t="shared" si="18"/>
        <v>0.64</v>
      </c>
      <c r="N231" s="132">
        <f t="shared" si="18"/>
        <v>0.64</v>
      </c>
      <c r="O231" s="132">
        <f t="shared" si="18"/>
        <v>0.64</v>
      </c>
      <c r="P231" s="132">
        <f t="shared" si="18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73</v>
      </c>
      <c r="B232" s="136">
        <f t="shared" ref="B232:AG232" si="19">SUM(B226:B231)</f>
        <v>0</v>
      </c>
      <c r="C232" s="136">
        <f t="shared" si="19"/>
        <v>3.54</v>
      </c>
      <c r="D232" s="136">
        <f t="shared" si="19"/>
        <v>3.54</v>
      </c>
      <c r="E232" s="136">
        <f t="shared" si="19"/>
        <v>3.54</v>
      </c>
      <c r="F232" s="136">
        <f t="shared" si="19"/>
        <v>3.54</v>
      </c>
      <c r="G232" s="136">
        <f t="shared" si="19"/>
        <v>3.54</v>
      </c>
      <c r="H232" s="136">
        <f t="shared" si="19"/>
        <v>3.54</v>
      </c>
      <c r="I232" s="136">
        <f t="shared" ca="1" si="19"/>
        <v>121.23900000000009</v>
      </c>
      <c r="J232" s="136">
        <f t="shared" ca="1" si="19"/>
        <v>121.23900000000009</v>
      </c>
      <c r="K232" s="136">
        <f t="shared" ca="1" si="19"/>
        <v>121.23900000000009</v>
      </c>
      <c r="L232" s="136">
        <f t="shared" ca="1" si="19"/>
        <v>121.23900000000009</v>
      </c>
      <c r="M232" s="136">
        <f t="shared" ca="1" si="19"/>
        <v>121.23900000000009</v>
      </c>
      <c r="N232" s="136">
        <f t="shared" ca="1" si="19"/>
        <v>121.23900000000009</v>
      </c>
      <c r="O232" s="136">
        <f t="shared" ca="1" si="19"/>
        <v>125.2590000000001</v>
      </c>
      <c r="P232" s="136">
        <f t="shared" ca="1" si="19"/>
        <v>113.19900000000007</v>
      </c>
      <c r="Q232" s="136">
        <f t="shared" si="19"/>
        <v>0</v>
      </c>
      <c r="R232" s="136">
        <f t="shared" si="19"/>
        <v>0</v>
      </c>
      <c r="S232" s="136">
        <f t="shared" si="19"/>
        <v>0</v>
      </c>
      <c r="T232" s="136">
        <f t="shared" si="19"/>
        <v>0</v>
      </c>
      <c r="U232" s="136">
        <f t="shared" si="19"/>
        <v>0</v>
      </c>
      <c r="V232" s="136">
        <f t="shared" si="19"/>
        <v>0</v>
      </c>
      <c r="W232" s="136">
        <f t="shared" si="19"/>
        <v>0</v>
      </c>
      <c r="X232" s="136">
        <f t="shared" si="19"/>
        <v>0</v>
      </c>
      <c r="Y232" s="136">
        <f t="shared" si="19"/>
        <v>0</v>
      </c>
      <c r="Z232" s="136">
        <f t="shared" si="19"/>
        <v>0</v>
      </c>
      <c r="AA232" s="136">
        <f t="shared" si="19"/>
        <v>0</v>
      </c>
      <c r="AB232" s="136">
        <f t="shared" si="19"/>
        <v>0</v>
      </c>
      <c r="AC232" s="136">
        <f t="shared" si="19"/>
        <v>0</v>
      </c>
      <c r="AD232" s="136">
        <f t="shared" si="19"/>
        <v>0</v>
      </c>
      <c r="AE232" s="136">
        <f t="shared" si="19"/>
        <v>0</v>
      </c>
      <c r="AF232" s="136">
        <f t="shared" si="19"/>
        <v>0</v>
      </c>
      <c r="AG232" s="145">
        <f t="shared" si="19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239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240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241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242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243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244</v>
      </c>
      <c r="B241" s="160">
        <f>MAX(G89:N89)</f>
        <v>1238.8400000000001</v>
      </c>
      <c r="C241" s="161">
        <f>INDEX(G9:N9,1,MATCH(MAX(G89:N89),G89:N89,0))</f>
        <v>0.3125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6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78" t="s">
        <v>245</v>
      </c>
      <c r="B243" s="178"/>
      <c r="C243" s="43"/>
      <c r="D243" s="162" t="str">
        <f ca="1">"Pie Chart of Daily Peak Demand(Inclusive of Export) of Nepal ("&amp;A4&amp;" "&amp;B4&amp;")"</f>
        <v>Pie Chart of Daily Peak Demand(Inclusive of Export) of Nepal (Nepali Date: 2080/02/6)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2080/02/6)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246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247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248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249</v>
      </c>
      <c r="T246" s="170">
        <f t="shared" ref="T246:AX246" si="20">B89</f>
        <v>1346.74</v>
      </c>
      <c r="U246" s="170">
        <f t="shared" si="20"/>
        <v>1282.24</v>
      </c>
      <c r="V246" s="170">
        <f t="shared" si="20"/>
        <v>1239.24</v>
      </c>
      <c r="W246" s="170">
        <f t="shared" si="20"/>
        <v>1244.74</v>
      </c>
      <c r="X246" s="170">
        <f t="shared" si="20"/>
        <v>1212.24</v>
      </c>
      <c r="Y246" s="170">
        <f t="shared" si="20"/>
        <v>1194.24</v>
      </c>
      <c r="Z246" s="170">
        <f t="shared" si="20"/>
        <v>1237.6399999999999</v>
      </c>
      <c r="AA246" s="170">
        <f t="shared" si="20"/>
        <v>1219.74</v>
      </c>
      <c r="AB246" s="170">
        <f t="shared" si="20"/>
        <v>1224.24</v>
      </c>
      <c r="AC246" s="170">
        <f t="shared" si="20"/>
        <v>1207.44</v>
      </c>
      <c r="AD246" s="170">
        <f t="shared" si="20"/>
        <v>1238.8400000000001</v>
      </c>
      <c r="AE246" s="170">
        <f t="shared" si="20"/>
        <v>1193.94</v>
      </c>
      <c r="AF246" s="170">
        <f t="shared" si="20"/>
        <v>1227.3400000000001</v>
      </c>
      <c r="AG246" s="170">
        <f t="shared" si="20"/>
        <v>1203.94</v>
      </c>
      <c r="AH246" s="170">
        <f t="shared" si="20"/>
        <v>1272.8400000000001</v>
      </c>
      <c r="AI246" s="170">
        <f t="shared" si="20"/>
        <v>1294.5400000000002</v>
      </c>
      <c r="AJ246" s="170">
        <f t="shared" si="20"/>
        <v>1280.94</v>
      </c>
      <c r="AK246" s="170">
        <f t="shared" si="20"/>
        <v>1340.7400000000002</v>
      </c>
      <c r="AL246" s="170">
        <f t="shared" si="20"/>
        <v>1406.74</v>
      </c>
      <c r="AM246" s="170">
        <f t="shared" si="20"/>
        <v>1316.5400000000002</v>
      </c>
      <c r="AN246" s="170">
        <f t="shared" si="20"/>
        <v>1341.5400000000002</v>
      </c>
      <c r="AO246" s="170">
        <f t="shared" si="20"/>
        <v>1246.5400000000002</v>
      </c>
      <c r="AP246" s="170">
        <f t="shared" si="20"/>
        <v>3.54</v>
      </c>
      <c r="AQ246" s="170">
        <f t="shared" si="20"/>
        <v>3.54</v>
      </c>
      <c r="AR246" s="170">
        <f t="shared" si="20"/>
        <v>1388.9400000000003</v>
      </c>
      <c r="AS246" s="170">
        <f t="shared" si="20"/>
        <v>1412.94</v>
      </c>
      <c r="AT246" s="170">
        <f t="shared" si="20"/>
        <v>1337.0400000000004</v>
      </c>
      <c r="AU246" s="170">
        <f t="shared" si="20"/>
        <v>1310.1400000000003</v>
      </c>
      <c r="AV246" s="170">
        <f t="shared" si="20"/>
        <v>1335.14</v>
      </c>
      <c r="AW246" s="170">
        <f t="shared" si="20"/>
        <v>1282.94</v>
      </c>
      <c r="AX246" s="170">
        <f t="shared" si="20"/>
        <v>1238.6399999999999</v>
      </c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251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252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253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239</v>
      </c>
      <c r="B267" s="173">
        <f t="shared" ref="B267:AE267" si="21">C231</f>
        <v>0.64</v>
      </c>
      <c r="C267" s="173">
        <f t="shared" si="21"/>
        <v>0.64</v>
      </c>
      <c r="D267" s="173">
        <f t="shared" si="21"/>
        <v>0.64</v>
      </c>
      <c r="E267" s="173">
        <f t="shared" si="21"/>
        <v>0.64</v>
      </c>
      <c r="F267" s="173">
        <f t="shared" si="21"/>
        <v>0.64</v>
      </c>
      <c r="G267" s="173">
        <f t="shared" si="21"/>
        <v>0.64</v>
      </c>
      <c r="H267" s="173">
        <f t="shared" si="21"/>
        <v>0.64</v>
      </c>
      <c r="I267" s="173">
        <f t="shared" si="21"/>
        <v>0.64</v>
      </c>
      <c r="J267" s="173">
        <f t="shared" si="21"/>
        <v>0.64</v>
      </c>
      <c r="K267" s="173">
        <f t="shared" si="21"/>
        <v>0.64</v>
      </c>
      <c r="L267" s="173">
        <f t="shared" si="21"/>
        <v>0.64</v>
      </c>
      <c r="M267" s="173">
        <f t="shared" si="21"/>
        <v>0.64</v>
      </c>
      <c r="N267" s="173">
        <f t="shared" si="21"/>
        <v>0.64</v>
      </c>
      <c r="O267" s="173">
        <f t="shared" si="21"/>
        <v>0.64</v>
      </c>
      <c r="P267" s="173">
        <f t="shared" si="21"/>
        <v>0</v>
      </c>
      <c r="Q267" s="173">
        <f t="shared" si="21"/>
        <v>0</v>
      </c>
      <c r="R267" s="173">
        <f t="shared" si="21"/>
        <v>0</v>
      </c>
      <c r="S267" s="173">
        <f t="shared" si="21"/>
        <v>0</v>
      </c>
      <c r="T267" s="173">
        <f t="shared" si="21"/>
        <v>0</v>
      </c>
      <c r="U267" s="173">
        <f t="shared" si="21"/>
        <v>0</v>
      </c>
      <c r="V267" s="173">
        <f t="shared" si="21"/>
        <v>0</v>
      </c>
      <c r="W267" s="173">
        <f t="shared" si="21"/>
        <v>0</v>
      </c>
      <c r="X267" s="173">
        <f t="shared" si="21"/>
        <v>0</v>
      </c>
      <c r="Y267" s="173">
        <f t="shared" si="21"/>
        <v>0</v>
      </c>
      <c r="Z267" s="173">
        <f t="shared" si="21"/>
        <v>0</v>
      </c>
      <c r="AA267" s="173">
        <f t="shared" si="21"/>
        <v>0</v>
      </c>
      <c r="AB267" s="173">
        <f t="shared" si="21"/>
        <v>0</v>
      </c>
      <c r="AC267" s="173">
        <f t="shared" si="21"/>
        <v>0</v>
      </c>
      <c r="AD267" s="173">
        <f t="shared" si="21"/>
        <v>0</v>
      </c>
      <c r="AE267" s="173">
        <f t="shared" si="21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2">IF(B235&lt;100,"",B235-520)</f>
        <v/>
      </c>
      <c r="C268" s="174" t="str">
        <f t="shared" si="22"/>
        <v/>
      </c>
      <c r="D268" s="174" t="str">
        <f t="shared" si="22"/>
        <v/>
      </c>
      <c r="E268" s="174" t="str">
        <f t="shared" si="22"/>
        <v/>
      </c>
      <c r="F268" s="174" t="str">
        <f t="shared" si="22"/>
        <v/>
      </c>
      <c r="G268" s="174" t="str">
        <f t="shared" si="22"/>
        <v/>
      </c>
      <c r="H268" s="174" t="str">
        <f t="shared" si="22"/>
        <v/>
      </c>
      <c r="I268" s="174" t="str">
        <f t="shared" si="22"/>
        <v/>
      </c>
      <c r="J268" s="174" t="str">
        <f t="shared" si="22"/>
        <v/>
      </c>
      <c r="K268" s="174" t="str">
        <f t="shared" si="22"/>
        <v/>
      </c>
      <c r="L268" s="174" t="str">
        <f t="shared" si="22"/>
        <v/>
      </c>
      <c r="M268" s="174" t="str">
        <f t="shared" si="22"/>
        <v/>
      </c>
      <c r="N268" s="174" t="str">
        <f t="shared" si="22"/>
        <v/>
      </c>
      <c r="O268" s="174" t="str">
        <f t="shared" si="22"/>
        <v/>
      </c>
      <c r="P268" s="174" t="str">
        <f t="shared" si="22"/>
        <v/>
      </c>
      <c r="Q268" s="174" t="str">
        <f t="shared" si="22"/>
        <v/>
      </c>
      <c r="R268" s="174" t="str">
        <f t="shared" si="22"/>
        <v/>
      </c>
      <c r="S268" s="174" t="str">
        <f t="shared" si="22"/>
        <v/>
      </c>
      <c r="T268" s="174" t="str">
        <f t="shared" si="22"/>
        <v/>
      </c>
      <c r="U268" s="174" t="str">
        <f t="shared" si="22"/>
        <v/>
      </c>
      <c r="V268" s="174" t="str">
        <f t="shared" si="22"/>
        <v/>
      </c>
      <c r="W268" s="174" t="str">
        <f t="shared" si="22"/>
        <v/>
      </c>
      <c r="X268" s="174" t="str">
        <f t="shared" si="22"/>
        <v/>
      </c>
      <c r="Y268" s="174" t="str">
        <f t="shared" si="22"/>
        <v/>
      </c>
      <c r="Z268" s="174" t="str">
        <f t="shared" si="22"/>
        <v/>
      </c>
      <c r="AA268" s="174" t="str">
        <f t="shared" si="22"/>
        <v/>
      </c>
      <c r="AB268" s="174" t="str">
        <f t="shared" si="22"/>
        <v/>
      </c>
      <c r="AC268" s="174" t="str">
        <f t="shared" si="22"/>
        <v/>
      </c>
      <c r="AD268" s="174" t="str">
        <f t="shared" si="22"/>
        <v/>
      </c>
      <c r="AE268" s="174" t="str">
        <f t="shared" si="22"/>
        <v/>
      </c>
      <c r="AF268" s="174" t="str">
        <f t="shared" si="22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3">IF(B236&lt;100,"",B236-620)</f>
        <v/>
      </c>
      <c r="C269" s="174" t="str">
        <f t="shared" si="23"/>
        <v/>
      </c>
      <c r="D269" s="174" t="str">
        <f t="shared" si="23"/>
        <v/>
      </c>
      <c r="E269" s="174" t="str">
        <f t="shared" si="23"/>
        <v/>
      </c>
      <c r="F269" s="174" t="str">
        <f t="shared" si="23"/>
        <v/>
      </c>
      <c r="G269" s="174" t="str">
        <f t="shared" si="23"/>
        <v/>
      </c>
      <c r="H269" s="174" t="str">
        <f t="shared" si="23"/>
        <v/>
      </c>
      <c r="I269" s="174" t="str">
        <f t="shared" si="23"/>
        <v/>
      </c>
      <c r="J269" s="174" t="str">
        <f t="shared" si="23"/>
        <v/>
      </c>
      <c r="K269" s="174" t="str">
        <f t="shared" si="23"/>
        <v/>
      </c>
      <c r="L269" s="174" t="str">
        <f t="shared" si="23"/>
        <v/>
      </c>
      <c r="M269" s="174" t="str">
        <f t="shared" si="23"/>
        <v/>
      </c>
      <c r="N269" s="174" t="str">
        <f t="shared" si="23"/>
        <v/>
      </c>
      <c r="O269" s="174" t="str">
        <f t="shared" si="23"/>
        <v/>
      </c>
      <c r="P269" s="174" t="str">
        <f t="shared" si="23"/>
        <v/>
      </c>
      <c r="Q269" s="174" t="str">
        <f t="shared" si="23"/>
        <v/>
      </c>
      <c r="R269" s="174" t="str">
        <f t="shared" si="23"/>
        <v/>
      </c>
      <c r="S269" s="174" t="str">
        <f t="shared" si="23"/>
        <v/>
      </c>
      <c r="T269" s="174" t="str">
        <f t="shared" si="23"/>
        <v/>
      </c>
      <c r="U269" s="174" t="str">
        <f t="shared" si="23"/>
        <v/>
      </c>
      <c r="V269" s="174" t="str">
        <f t="shared" si="23"/>
        <v/>
      </c>
      <c r="W269" s="174" t="str">
        <f t="shared" si="23"/>
        <v/>
      </c>
      <c r="X269" s="174" t="str">
        <f t="shared" si="23"/>
        <v/>
      </c>
      <c r="Y269" s="174" t="str">
        <f t="shared" si="23"/>
        <v/>
      </c>
      <c r="Z269" s="174" t="str">
        <f t="shared" si="23"/>
        <v/>
      </c>
      <c r="AA269" s="174" t="str">
        <f t="shared" si="23"/>
        <v/>
      </c>
      <c r="AB269" s="174" t="str">
        <f t="shared" si="23"/>
        <v/>
      </c>
      <c r="AC269" s="174" t="str">
        <f t="shared" si="23"/>
        <v/>
      </c>
      <c r="AD269" s="174" t="str">
        <f t="shared" si="23"/>
        <v/>
      </c>
      <c r="AE269" s="174" t="str">
        <f t="shared" si="23"/>
        <v/>
      </c>
      <c r="AF269" s="174" t="str">
        <f t="shared" si="23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4">IF(B237&lt;100,"",B237-330)</f>
        <v/>
      </c>
      <c r="C270" s="174" t="str">
        <f t="shared" si="24"/>
        <v/>
      </c>
      <c r="D270" s="174" t="str">
        <f t="shared" si="24"/>
        <v/>
      </c>
      <c r="E270" s="174" t="str">
        <f t="shared" si="24"/>
        <v/>
      </c>
      <c r="F270" s="174" t="str">
        <f t="shared" si="24"/>
        <v/>
      </c>
      <c r="G270" s="174" t="str">
        <f t="shared" si="24"/>
        <v/>
      </c>
      <c r="H270" s="174" t="str">
        <f t="shared" si="24"/>
        <v/>
      </c>
      <c r="I270" s="174" t="str">
        <f t="shared" si="24"/>
        <v/>
      </c>
      <c r="J270" s="174" t="str">
        <f t="shared" si="24"/>
        <v/>
      </c>
      <c r="K270" s="174" t="str">
        <f t="shared" si="24"/>
        <v/>
      </c>
      <c r="L270" s="174" t="str">
        <f t="shared" si="24"/>
        <v/>
      </c>
      <c r="M270" s="174" t="str">
        <f t="shared" si="24"/>
        <v/>
      </c>
      <c r="N270" s="174" t="str">
        <f t="shared" si="24"/>
        <v/>
      </c>
      <c r="O270" s="174" t="str">
        <f t="shared" si="24"/>
        <v/>
      </c>
      <c r="P270" s="174" t="str">
        <f t="shared" si="24"/>
        <v/>
      </c>
      <c r="Q270" s="174" t="str">
        <f t="shared" si="24"/>
        <v/>
      </c>
      <c r="R270" s="174" t="str">
        <f t="shared" si="24"/>
        <v/>
      </c>
      <c r="S270" s="174" t="str">
        <f t="shared" si="24"/>
        <v/>
      </c>
      <c r="T270" s="174" t="str">
        <f t="shared" si="24"/>
        <v/>
      </c>
      <c r="U270" s="174" t="str">
        <f t="shared" si="24"/>
        <v/>
      </c>
      <c r="V270" s="174" t="str">
        <f t="shared" si="24"/>
        <v/>
      </c>
      <c r="W270" s="174" t="str">
        <f t="shared" si="24"/>
        <v/>
      </c>
      <c r="X270" s="174" t="str">
        <f t="shared" si="24"/>
        <v/>
      </c>
      <c r="Y270" s="174" t="str">
        <f t="shared" si="24"/>
        <v/>
      </c>
      <c r="Z270" s="174" t="str">
        <f t="shared" si="24"/>
        <v/>
      </c>
      <c r="AA270" s="174" t="str">
        <f t="shared" si="24"/>
        <v/>
      </c>
      <c r="AB270" s="174" t="str">
        <f t="shared" si="24"/>
        <v/>
      </c>
      <c r="AC270" s="174" t="str">
        <f t="shared" si="24"/>
        <v/>
      </c>
      <c r="AD270" s="174" t="str">
        <f t="shared" si="24"/>
        <v/>
      </c>
      <c r="AE270" s="174" t="str">
        <f t="shared" si="24"/>
        <v/>
      </c>
      <c r="AF270" s="174" t="str">
        <f t="shared" si="24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5">IF(B238&lt;100,"",B238-1500)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67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67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AB111:AF116 AB109:AF109 D109:Y109 D111:Y116">
    <cfRule type="expression" dxfId="11932" priority="669">
      <formula>B$9&gt;=20/24</formula>
    </cfRule>
    <cfRule type="expression" dxfId="11931" priority="670">
      <formula>AND(B$9&gt;=14/24,B$9&lt;20/24)</formula>
    </cfRule>
    <cfRule type="expression" dxfId="11930" priority="671">
      <formula>AND(B$9&gt;=8/24,B$9&lt;14/24)</formula>
    </cfRule>
    <cfRule type="expression" dxfId="11929" priority="672">
      <formula>B$9&lt;8/24</formula>
    </cfRule>
  </conditionalFormatting>
  <conditionalFormatting sqref="AL4:AL6">
    <cfRule type="iconSet" priority="66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1928" priority="66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1927" priority="666">
      <formula>$AH12=0</formula>
    </cfRule>
  </conditionalFormatting>
  <conditionalFormatting sqref="A114">
    <cfRule type="expression" dxfId="11926" priority="665">
      <formula>$AH114=0</formula>
    </cfRule>
  </conditionalFormatting>
  <conditionalFormatting sqref="AL42">
    <cfRule type="iconSet" priority="66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1925" priority="663">
      <formula>$AH45=0</formula>
    </cfRule>
  </conditionalFormatting>
  <conditionalFormatting sqref="A98">
    <cfRule type="expression" dxfId="11924" priority="662">
      <formula>$AH98=0</formula>
    </cfRule>
  </conditionalFormatting>
  <conditionalFormatting sqref="A18">
    <cfRule type="expression" dxfId="11923" priority="661">
      <formula>$AH18=0</formula>
    </cfRule>
  </conditionalFormatting>
  <conditionalFormatting sqref="A196:A201">
    <cfRule type="expression" dxfId="11922" priority="660">
      <formula>$AH196=0</formula>
    </cfRule>
  </conditionalFormatting>
  <conditionalFormatting sqref="A190:A195">
    <cfRule type="expression" dxfId="11921" priority="659">
      <formula>$AH190=0</formula>
    </cfRule>
  </conditionalFormatting>
  <conditionalFormatting sqref="A58">
    <cfRule type="expression" dxfId="11920" priority="658">
      <formula>$AH58=0</formula>
    </cfRule>
  </conditionalFormatting>
  <conditionalFormatting sqref="A94">
    <cfRule type="expression" dxfId="11919" priority="657">
      <formula>$AH94=0</formula>
    </cfRule>
  </conditionalFormatting>
  <conditionalFormatting sqref="AD99:AF99 E99:X99">
    <cfRule type="expression" dxfId="11918" priority="653">
      <formula>E$9&gt;=20/24</formula>
    </cfRule>
    <cfRule type="expression" dxfId="11917" priority="654">
      <formula>AND(E$9&gt;=14/24,E$9&lt;20/24)</formula>
    </cfRule>
    <cfRule type="expression" dxfId="11916" priority="655">
      <formula>AND(E$9&gt;=8/24,E$9&lt;14/24)</formula>
    </cfRule>
    <cfRule type="expression" dxfId="11915" priority="656">
      <formula>E$9&lt;8/24</formula>
    </cfRule>
  </conditionalFormatting>
  <conditionalFormatting sqref="AL43">
    <cfRule type="iconSet" priority="65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914" priority="675">
      <formula>C$9&gt;=20/24</formula>
    </cfRule>
    <cfRule type="expression" dxfId="11913" priority="676">
      <formula>AND(C$9&gt;=14/24,C$9&lt;20/24)</formula>
    </cfRule>
    <cfRule type="expression" dxfId="11912" priority="677">
      <formula>AND(C$9&gt;=8/24,C$9&lt;14/24)</formula>
    </cfRule>
    <cfRule type="expression" dxfId="11911" priority="678">
      <formula>C$9&lt;8/24</formula>
    </cfRule>
  </conditionalFormatting>
  <conditionalFormatting sqref="A233">
    <cfRule type="expression" dxfId="11910" priority="679">
      <formula>$AH233=0</formula>
    </cfRule>
  </conditionalFormatting>
  <conditionalFormatting sqref="AG245">
    <cfRule type="expression" dxfId="11909" priority="680">
      <formula>B$9&gt;=20/24</formula>
    </cfRule>
    <cfRule type="expression" dxfId="11908" priority="681">
      <formula>AND(B$9&gt;=14/24,B$9&lt;20/24)</formula>
    </cfRule>
    <cfRule type="expression" dxfId="11907" priority="682">
      <formula>AND(B$9&gt;=8/24,B$9&lt;14/24)</formula>
    </cfRule>
    <cfRule type="expression" dxfId="11906" priority="683">
      <formula>B$9&lt;8/24</formula>
    </cfRule>
  </conditionalFormatting>
  <conditionalFormatting sqref="S8">
    <cfRule type="expression" dxfId="11905" priority="648">
      <formula>U$9&gt;=20/24</formula>
    </cfRule>
    <cfRule type="expression" dxfId="11904" priority="649">
      <formula>AND(U$9&gt;=14/24,U$9&lt;20/24)</formula>
    </cfRule>
    <cfRule type="expression" dxfId="11903" priority="650">
      <formula>AND(U$9&gt;=8/24,U$9&lt;14/24)</formula>
    </cfRule>
    <cfRule type="expression" dxfId="11902" priority="651">
      <formula>U$9&lt;8/24</formula>
    </cfRule>
  </conditionalFormatting>
  <conditionalFormatting sqref="AB8">
    <cfRule type="expression" dxfId="11901" priority="644">
      <formula>AD$9&gt;=20/24</formula>
    </cfRule>
    <cfRule type="expression" dxfId="11900" priority="645">
      <formula>AND(AD$9&gt;=14/24,AD$9&lt;20/24)</formula>
    </cfRule>
    <cfRule type="expression" dxfId="11899" priority="646">
      <formula>AND(AD$9&gt;=8/24,AD$9&lt;14/24)</formula>
    </cfRule>
    <cfRule type="expression" dxfId="11898" priority="647">
      <formula>AD$9&lt;8/24</formula>
    </cfRule>
  </conditionalFormatting>
  <conditionalFormatting sqref="AH245:AX245">
    <cfRule type="expression" dxfId="11897" priority="684">
      <formula>AG$9&gt;=20/24</formula>
    </cfRule>
    <cfRule type="expression" dxfId="11896" priority="685">
      <formula>AND(AG$9&gt;=14/24,AG$9&lt;20/24)</formula>
    </cfRule>
    <cfRule type="expression" dxfId="11895" priority="686">
      <formula>AND(AG$9&gt;=8/24,AG$9&lt;14/24)</formula>
    </cfRule>
    <cfRule type="expression" dxfId="11894" priority="687">
      <formula>AG$9&lt;8/24</formula>
    </cfRule>
  </conditionalFormatting>
  <conditionalFormatting sqref="T245">
    <cfRule type="expression" dxfId="11893" priority="688">
      <formula>AX$9&gt;=20/24</formula>
    </cfRule>
    <cfRule type="expression" dxfId="11892" priority="689">
      <formula>AND(AX$9&gt;=14/24,AX$9&lt;20/24)</formula>
    </cfRule>
    <cfRule type="expression" dxfId="11891" priority="690">
      <formula>AND(AX$9&gt;=8/24,AX$9&lt;14/24)</formula>
    </cfRule>
    <cfRule type="expression" dxfId="11890" priority="691">
      <formula>AX$9&lt;8/24</formula>
    </cfRule>
  </conditionalFormatting>
  <conditionalFormatting sqref="A115:A116">
    <cfRule type="expression" dxfId="11889" priority="643">
      <formula>$AH115=0</formula>
    </cfRule>
  </conditionalFormatting>
  <conditionalFormatting sqref="P54:R57 G71:Y71 AE54:AF57 AE71:AF71">
    <cfRule type="expression" dxfId="11888" priority="639">
      <formula>G$9&gt;=20/24</formula>
    </cfRule>
    <cfRule type="expression" dxfId="11887" priority="640">
      <formula>AND(G$9&gt;=14/24,G$9&lt;20/24)</formula>
    </cfRule>
    <cfRule type="expression" dxfId="11886" priority="641">
      <formula>AND(G$9&gt;=8/24,G$9&lt;14/24)</formula>
    </cfRule>
    <cfRule type="expression" dxfId="11885" priority="642">
      <formula>G$9&lt;8/24</formula>
    </cfRule>
  </conditionalFormatting>
  <conditionalFormatting sqref="P53:R53 AE53:AF53">
    <cfRule type="expression" dxfId="11884" priority="635">
      <formula>P$9&gt;=20/24</formula>
    </cfRule>
    <cfRule type="expression" dxfId="11883" priority="636">
      <formula>AND(P$9&gt;=14/24,P$9&lt;20/24)</formula>
    </cfRule>
    <cfRule type="expression" dxfId="11882" priority="637">
      <formula>AND(P$9&gt;=8/24,P$9&lt;14/24)</formula>
    </cfRule>
    <cfRule type="expression" dxfId="11881" priority="638">
      <formula>P$9&lt;8/24</formula>
    </cfRule>
  </conditionalFormatting>
  <conditionalFormatting sqref="P53:R57 AE53:AF57">
    <cfRule type="expression" dxfId="11880" priority="634">
      <formula>P53&gt;$AG53</formula>
    </cfRule>
  </conditionalFormatting>
  <conditionalFormatting sqref="X96:Y96 AD100:AF106 Y72:Y74 X47:Y47 X67:Y69 AB96:AF96 AB86:AF86 D86:Y86 M100:X106 S72:X73 AB47:AF47 AE72:AF74 AB67:AF69">
    <cfRule type="expression" dxfId="11879" priority="630">
      <formula>D$9&gt;=20/24</formula>
    </cfRule>
    <cfRule type="expression" dxfId="11878" priority="631">
      <formula>AND(D$9&gt;=14/24,D$9&lt;20/24)</formula>
    </cfRule>
    <cfRule type="expression" dxfId="11877" priority="632">
      <formula>AND(D$9&gt;=8/24,D$9&lt;14/24)</formula>
    </cfRule>
    <cfRule type="expression" dxfId="11876" priority="633">
      <formula>D$9&lt;8/24</formula>
    </cfRule>
  </conditionalFormatting>
  <conditionalFormatting sqref="X47:Y47 X67:Y69 AB47:AF47 AB67:AF69">
    <cfRule type="expression" dxfId="11875" priority="629">
      <formula>X47&gt;$AG47</formula>
    </cfRule>
  </conditionalFormatting>
  <conditionalFormatting sqref="X53:Y58 S53:W57">
    <cfRule type="expression" dxfId="11874" priority="625">
      <formula>S$9&gt;=20/24</formula>
    </cfRule>
    <cfRule type="expression" dxfId="11873" priority="626">
      <formula>AND(S$9&gt;=14/24,S$9&lt;20/24)</formula>
    </cfRule>
    <cfRule type="expression" dxfId="11872" priority="627">
      <formula>AND(S$9&gt;=8/24,S$9&lt;14/24)</formula>
    </cfRule>
    <cfRule type="expression" dxfId="11871" priority="628">
      <formula>S$9&lt;8/24</formula>
    </cfRule>
  </conditionalFormatting>
  <conditionalFormatting sqref="X53:Y58 S53:W57">
    <cfRule type="expression" dxfId="11870" priority="624">
      <formula>S53&gt;$AG53</formula>
    </cfRule>
  </conditionalFormatting>
  <conditionalFormatting sqref="AB97:AF97 C97:Y97 D88:Y88 AB88:AF88">
    <cfRule type="expression" dxfId="11869" priority="620">
      <formula>C$9&gt;=20/24</formula>
    </cfRule>
    <cfRule type="expression" dxfId="11868" priority="621">
      <formula>AND(C$9&gt;=14/24,C$9&lt;20/24)</formula>
    </cfRule>
    <cfRule type="expression" dxfId="11867" priority="622">
      <formula>AND(C$9&gt;=8/24,C$9&lt;14/24)</formula>
    </cfRule>
    <cfRule type="expression" dxfId="11866" priority="623">
      <formula>C$9&lt;8/24</formula>
    </cfRule>
  </conditionalFormatting>
  <conditionalFormatting sqref="T47:W47">
    <cfRule type="expression" dxfId="11865" priority="616">
      <formula>T$9&gt;=20/24</formula>
    </cfRule>
    <cfRule type="expression" dxfId="11864" priority="617">
      <formula>AND(T$9&gt;=14/24,T$9&lt;20/24)</formula>
    </cfRule>
    <cfRule type="expression" dxfId="11863" priority="618">
      <formula>AND(T$9&gt;=8/24,T$9&lt;14/24)</formula>
    </cfRule>
    <cfRule type="expression" dxfId="11862" priority="619">
      <formula>T$9&lt;8/24</formula>
    </cfRule>
  </conditionalFormatting>
  <conditionalFormatting sqref="T47:W47">
    <cfRule type="expression" dxfId="11861" priority="615">
      <formula>T47&gt;$AG47</formula>
    </cfRule>
  </conditionalFormatting>
  <conditionalFormatting sqref="AG70 AG87 E100:L106 S67:W69">
    <cfRule type="expression" dxfId="11860" priority="602">
      <formula>E$9&gt;=20/24</formula>
    </cfRule>
    <cfRule type="expression" dxfId="11859" priority="603">
      <formula>AND(E$9&gt;=14/24,E$9&lt;20/24)</formula>
    </cfRule>
    <cfRule type="expression" dxfId="11858" priority="604">
      <formula>AND(E$9&gt;=8/24,E$9&lt;14/24)</formula>
    </cfRule>
    <cfRule type="expression" dxfId="11857" priority="605">
      <formula>E$9&lt;8/24</formula>
    </cfRule>
  </conditionalFormatting>
  <conditionalFormatting sqref="AG48 AG66 AG70 S67:W69">
    <cfRule type="expression" dxfId="11856" priority="601">
      <formula>S48&gt;$AG48</formula>
    </cfRule>
  </conditionalFormatting>
  <conditionalFormatting sqref="AE58:AF58">
    <cfRule type="expression" dxfId="11855" priority="597">
      <formula>AE$9&gt;=20/24</formula>
    </cfRule>
    <cfRule type="expression" dxfId="11854" priority="598">
      <formula>AND(AE$9&gt;=14/24,AE$9&lt;20/24)</formula>
    </cfRule>
    <cfRule type="expression" dxfId="11853" priority="599">
      <formula>AND(AE$9&gt;=8/24,AE$9&lt;14/24)</formula>
    </cfRule>
    <cfRule type="expression" dxfId="11852" priority="600">
      <formula>AE$9&lt;8/24</formula>
    </cfRule>
  </conditionalFormatting>
  <conditionalFormatting sqref="AE58:AF58">
    <cfRule type="expression" dxfId="11851" priority="596">
      <formula>AE58&gt;$AG58</formula>
    </cfRule>
  </conditionalFormatting>
  <conditionalFormatting sqref="A43">
    <cfRule type="expression" dxfId="11850" priority="595">
      <formula>$AH43=0</formula>
    </cfRule>
  </conditionalFormatting>
  <conditionalFormatting sqref="X91:Y95 AB91:AF95">
    <cfRule type="expression" dxfId="11849" priority="591">
      <formula>X$9&gt;=20/24</formula>
    </cfRule>
    <cfRule type="expression" dxfId="11848" priority="592">
      <formula>AND(X$9&gt;=14/24,X$9&lt;20/24)</formula>
    </cfRule>
    <cfRule type="expression" dxfId="11847" priority="593">
      <formula>AND(X$9&gt;=8/24,X$9&lt;14/24)</formula>
    </cfRule>
    <cfRule type="expression" dxfId="11846" priority="594">
      <formula>X$9&lt;8/24</formula>
    </cfRule>
  </conditionalFormatting>
  <conditionalFormatting sqref="AL45 AL41 AL22:AL32 AL38:AL39 AL7:AL15 AL17:AL20 AL34:AL36">
    <cfRule type="iconSet" priority="692">
      <iconSet iconSet="3TrafficLights2" reverse="1">
        <cfvo type="percent" val="0"/>
        <cfvo type="num" val="1"/>
        <cfvo type="num" val="1"/>
      </iconSet>
    </cfRule>
  </conditionalFormatting>
  <conditionalFormatting sqref="S49:Y51 AE49:AF51">
    <cfRule type="expression" dxfId="11845" priority="587">
      <formula>S$9&gt;=20/24</formula>
    </cfRule>
    <cfRule type="expression" dxfId="11844" priority="588">
      <formula>AND(S$9&gt;=14/24,S$9&lt;20/24)</formula>
    </cfRule>
    <cfRule type="expression" dxfId="11843" priority="589">
      <formula>AND(S$9&gt;=8/24,S$9&lt;14/24)</formula>
    </cfRule>
    <cfRule type="expression" dxfId="11842" priority="590">
      <formula>S$9&lt;8/24</formula>
    </cfRule>
  </conditionalFormatting>
  <conditionalFormatting sqref="S49:Y51 AE49:AF51">
    <cfRule type="expression" dxfId="11841" priority="586">
      <formula>S49&gt;$AG49</formula>
    </cfRule>
  </conditionalFormatting>
  <conditionalFormatting sqref="AG52">
    <cfRule type="expression" dxfId="11840" priority="582">
      <formula>AG$9&gt;=20/24</formula>
    </cfRule>
    <cfRule type="expression" dxfId="11839" priority="583">
      <formula>AND(AG$9&gt;=14/24,AG$9&lt;20/24)</formula>
    </cfRule>
    <cfRule type="expression" dxfId="11838" priority="584">
      <formula>AND(AG$9&gt;=8/24,AG$9&lt;14/24)</formula>
    </cfRule>
    <cfRule type="expression" dxfId="11837" priority="585">
      <formula>AG$9&lt;8/24</formula>
    </cfRule>
  </conditionalFormatting>
  <conditionalFormatting sqref="AG52">
    <cfRule type="expression" dxfId="11836" priority="581">
      <formula>AG52&gt;$AG52</formula>
    </cfRule>
  </conditionalFormatting>
  <conditionalFormatting sqref="AB107:AF107 C107:Y107">
    <cfRule type="expression" dxfId="11835" priority="577">
      <formula>C$9&gt;=20/24</formula>
    </cfRule>
    <cfRule type="expression" dxfId="11834" priority="578">
      <formula>AND(C$9&gt;=14/24,C$9&lt;20/24)</formula>
    </cfRule>
    <cfRule type="expression" dxfId="11833" priority="579">
      <formula>AND(C$9&gt;=8/24,C$9&lt;14/24)</formula>
    </cfRule>
    <cfRule type="expression" dxfId="11832" priority="580">
      <formula>C$9&lt;8/24</formula>
    </cfRule>
  </conditionalFormatting>
  <conditionalFormatting sqref="AL40">
    <cfRule type="iconSet" priority="57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1831" priority="575">
      <formula>$AH40=0</formula>
    </cfRule>
  </conditionalFormatting>
  <conditionalFormatting sqref="A90">
    <cfRule type="expression" dxfId="11830" priority="573">
      <formula>$AH90=0</formula>
    </cfRule>
  </conditionalFormatting>
  <conditionalFormatting sqref="A87">
    <cfRule type="expression" dxfId="11829" priority="574">
      <formula>$AH87=0</formula>
    </cfRule>
  </conditionalFormatting>
  <conditionalFormatting sqref="AB110:AF110 D110:Y110">
    <cfRule type="expression" dxfId="11828" priority="569">
      <formula>D$9&gt;=20/24</formula>
    </cfRule>
    <cfRule type="expression" dxfId="11827" priority="570">
      <formula>AND(D$9&gt;=14/24,D$9&lt;20/24)</formula>
    </cfRule>
    <cfRule type="expression" dxfId="11826" priority="571">
      <formula>AND(D$9&gt;=8/24,D$9&lt;14/24)</formula>
    </cfRule>
    <cfRule type="expression" dxfId="11825" priority="572">
      <formula>D$9&lt;8/24</formula>
    </cfRule>
  </conditionalFormatting>
  <conditionalFormatting sqref="A110">
    <cfRule type="expression" dxfId="11824" priority="568">
      <formula>$AH110=0</formula>
    </cfRule>
  </conditionalFormatting>
  <conditionalFormatting sqref="A21">
    <cfRule type="expression" dxfId="11823" priority="566">
      <formula>$AH21=0</formula>
    </cfRule>
  </conditionalFormatting>
  <conditionalFormatting sqref="AL21">
    <cfRule type="iconSet" priority="56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1822" priority="564">
      <formula>$AH37=0</formula>
    </cfRule>
  </conditionalFormatting>
  <conditionalFormatting sqref="AL37">
    <cfRule type="iconSet" priority="565">
      <iconSet iconSet="3TrafficLights2" reverse="1">
        <cfvo type="percent" val="0"/>
        <cfvo type="num" val="1"/>
        <cfvo type="num" val="1"/>
      </iconSet>
    </cfRule>
  </conditionalFormatting>
  <conditionalFormatting sqref="Y99 AB99:AC99">
    <cfRule type="expression" dxfId="11821" priority="560">
      <formula>Y$9&gt;=20/24</formula>
    </cfRule>
    <cfRule type="expression" dxfId="11820" priority="561">
      <formula>AND(Y$9&gt;=14/24,Y$9&lt;20/24)</formula>
    </cfRule>
    <cfRule type="expression" dxfId="11819" priority="562">
      <formula>AND(Y$9&gt;=8/24,Y$9&lt;14/24)</formula>
    </cfRule>
    <cfRule type="expression" dxfId="11818" priority="563">
      <formula>Y$9&lt;8/24</formula>
    </cfRule>
  </conditionalFormatting>
  <conditionalFormatting sqref="Y100:Y106 AB100:AC106">
    <cfRule type="expression" dxfId="11817" priority="556">
      <formula>Y$9&gt;=20/24</formula>
    </cfRule>
    <cfRule type="expression" dxfId="11816" priority="557">
      <formula>AND(Y$9&gt;=14/24,Y$9&lt;20/24)</formula>
    </cfRule>
    <cfRule type="expression" dxfId="11815" priority="558">
      <formula>AND(Y$9&gt;=8/24,Y$9&lt;14/24)</formula>
    </cfRule>
    <cfRule type="expression" dxfId="11814" priority="559">
      <formula>Y$9&lt;8/24</formula>
    </cfRule>
  </conditionalFormatting>
  <conditionalFormatting sqref="C109 C111:C116 X34:Y43 X17:Y32">
    <cfRule type="expression" dxfId="11813" priority="552">
      <formula>C$9&gt;=20/24</formula>
    </cfRule>
    <cfRule type="expression" dxfId="11812" priority="553">
      <formula>AND(C$9&gt;=14/24,C$9&lt;20/24)</formula>
    </cfRule>
    <cfRule type="expression" dxfId="11811" priority="554">
      <formula>AND(C$9&gt;=8/24,C$9&lt;14/24)</formula>
    </cfRule>
    <cfRule type="expression" dxfId="11810" priority="555">
      <formula>C$9&lt;8/24</formula>
    </cfRule>
  </conditionalFormatting>
  <conditionalFormatting sqref="C47:S47">
    <cfRule type="expression" dxfId="11809" priority="548">
      <formula>C$9&gt;=20/24</formula>
    </cfRule>
    <cfRule type="expression" dxfId="11808" priority="549">
      <formula>AND(C$9&gt;=14/24,C$9&lt;20/24)</formula>
    </cfRule>
    <cfRule type="expression" dxfId="11807" priority="550">
      <formula>AND(C$9&gt;=8/24,C$9&lt;14/24)</formula>
    </cfRule>
    <cfRule type="expression" dxfId="11806" priority="551">
      <formula>C$9&lt;8/24</formula>
    </cfRule>
  </conditionalFormatting>
  <conditionalFormatting sqref="X34:Y43 X17:Y32 C47:S47">
    <cfRule type="expression" dxfId="11805" priority="547">
      <formula>C17&gt;$AG17</formula>
    </cfRule>
  </conditionalFormatting>
  <conditionalFormatting sqref="C99:D99">
    <cfRule type="expression" dxfId="11804" priority="543">
      <formula>C$9&gt;=20/24</formula>
    </cfRule>
    <cfRule type="expression" dxfId="11803" priority="544">
      <formula>AND(C$9&gt;=14/24,C$9&lt;20/24)</formula>
    </cfRule>
    <cfRule type="expression" dxfId="11802" priority="545">
      <formula>AND(C$9&gt;=8/24,C$9&lt;14/24)</formula>
    </cfRule>
    <cfRule type="expression" dxfId="11801" priority="546">
      <formula>C$9&lt;8/24</formula>
    </cfRule>
  </conditionalFormatting>
  <conditionalFormatting sqref="C86 D100:D106 Y75:Y76 M67:R69 AB83:AF85 X74:X76 C96:W96 C83:Y85 S74:W75 AE75:AF76">
    <cfRule type="expression" dxfId="11800" priority="539">
      <formula>C$9&gt;=20/24</formula>
    </cfRule>
    <cfRule type="expression" dxfId="11799" priority="540">
      <formula>AND(C$9&gt;=14/24,C$9&lt;20/24)</formula>
    </cfRule>
    <cfRule type="expression" dxfId="11798" priority="541">
      <formula>AND(C$9&gt;=8/24,C$9&lt;14/24)</formula>
    </cfRule>
    <cfRule type="expression" dxfId="11797" priority="542">
      <formula>C$9&lt;8/24</formula>
    </cfRule>
  </conditionalFormatting>
  <conditionalFormatting sqref="M67:R69">
    <cfRule type="expression" dxfId="11796" priority="538">
      <formula>M67&gt;$AG67</formula>
    </cfRule>
  </conditionalFormatting>
  <conditionalFormatting sqref="B71:F71 B54:O57">
    <cfRule type="expression" dxfId="11795" priority="462">
      <formula>B$9&gt;=20/24</formula>
    </cfRule>
    <cfRule type="expression" dxfId="11794" priority="463">
      <formula>AND(B$9&gt;=14/24,B$9&lt;20/24)</formula>
    </cfRule>
    <cfRule type="expression" dxfId="11793" priority="464">
      <formula>AND(B$9&gt;=8/24,B$9&lt;14/24)</formula>
    </cfRule>
    <cfRule type="expression" dxfId="11792" priority="465">
      <formula>B$9&lt;8/24</formula>
    </cfRule>
  </conditionalFormatting>
  <conditionalFormatting sqref="AB98:AF98 AB89:AF89 AB87:AF87 C87:Y87 C89:Y89 C98:Y98 C70:Y70 AB70:AF70">
    <cfRule type="expression" dxfId="11791" priority="529">
      <formula>C$9&gt;=20/24</formula>
    </cfRule>
    <cfRule type="expression" dxfId="11790" priority="530">
      <formula>AND(C$9&gt;=14/24,C$9&lt;20/24)</formula>
    </cfRule>
    <cfRule type="expression" dxfId="11789" priority="531">
      <formula>AND(C$9&gt;=8/24,C$9&lt;14/24)</formula>
    </cfRule>
    <cfRule type="expression" dxfId="11788" priority="532">
      <formula>C$9&lt;8/24</formula>
    </cfRule>
  </conditionalFormatting>
  <conditionalFormatting sqref="C70:Y70 C65:Y66 AB65:AF66 AB70:AF70">
    <cfRule type="expression" dxfId="11787" priority="528">
      <formula>C65&gt;$AG65</formula>
    </cfRule>
  </conditionalFormatting>
  <conditionalFormatting sqref="AB82:AF82 C82:Y82">
    <cfRule type="expression" dxfId="11786" priority="524">
      <formula>C$9&gt;=20/24</formula>
    </cfRule>
    <cfRule type="expression" dxfId="11785" priority="525">
      <formula>AND(C$9&gt;=14/24,C$9&lt;20/24)</formula>
    </cfRule>
    <cfRule type="expression" dxfId="11784" priority="526">
      <formula>AND(C$9&gt;=8/24,C$9&lt;14/24)</formula>
    </cfRule>
    <cfRule type="expression" dxfId="11783" priority="527">
      <formula>C$9&lt;8/24</formula>
    </cfRule>
  </conditionalFormatting>
  <conditionalFormatting sqref="C91:W95">
    <cfRule type="expression" dxfId="11782" priority="520">
      <formula>C$9&gt;=20/24</formula>
    </cfRule>
    <cfRule type="expression" dxfId="11781" priority="521">
      <formula>AND(C$9&gt;=14/24,C$9&lt;20/24)</formula>
    </cfRule>
    <cfRule type="expression" dxfId="11780" priority="522">
      <formula>AND(C$9&gt;=8/24,C$9&lt;14/24)</formula>
    </cfRule>
    <cfRule type="expression" dxfId="11779" priority="523">
      <formula>C$9&lt;8/24</formula>
    </cfRule>
  </conditionalFormatting>
  <conditionalFormatting sqref="C52:Y52 AB52:AF52">
    <cfRule type="expression" dxfId="11778" priority="516">
      <formula>C$9&gt;=20/24</formula>
    </cfRule>
    <cfRule type="expression" dxfId="11777" priority="517">
      <formula>AND(C$9&gt;=14/24,C$9&lt;20/24)</formula>
    </cfRule>
    <cfRule type="expression" dxfId="11776" priority="518">
      <formula>AND(C$9&gt;=8/24,C$9&lt;14/24)</formula>
    </cfRule>
    <cfRule type="expression" dxfId="11775" priority="519">
      <formula>C$9&lt;8/24</formula>
    </cfRule>
  </conditionalFormatting>
  <conditionalFormatting sqref="C52:Y52 AB52:AF52">
    <cfRule type="expression" dxfId="11774" priority="515">
      <formula>C52&gt;$AG52</formula>
    </cfRule>
  </conditionalFormatting>
  <conditionalFormatting sqref="B49:R51">
    <cfRule type="expression" dxfId="11773" priority="430">
      <formula>B$9&gt;=20/24</formula>
    </cfRule>
    <cfRule type="expression" dxfId="11772" priority="431">
      <formula>AND(B$9&gt;=14/24,B$9&lt;20/24)</formula>
    </cfRule>
    <cfRule type="expression" dxfId="11771" priority="432">
      <formula>AND(B$9&gt;=8/24,B$9&lt;14/24)</formula>
    </cfRule>
    <cfRule type="expression" dxfId="11770" priority="433">
      <formula>B$9&lt;8/24</formula>
    </cfRule>
  </conditionalFormatting>
  <conditionalFormatting sqref="C110">
    <cfRule type="expression" dxfId="11769" priority="507">
      <formula>C$9&gt;=20/24</formula>
    </cfRule>
    <cfRule type="expression" dxfId="11768" priority="508">
      <formula>AND(C$9&gt;=14/24,C$9&lt;20/24)</formula>
    </cfRule>
    <cfRule type="expression" dxfId="11767" priority="509">
      <formula>AND(C$9&gt;=8/24,C$9&lt;14/24)</formula>
    </cfRule>
    <cfRule type="expression" dxfId="11766" priority="510">
      <formula>C$9&lt;8/24</formula>
    </cfRule>
  </conditionalFormatting>
  <conditionalFormatting sqref="X59:Y64 AE59:AF64">
    <cfRule type="expression" dxfId="11765" priority="503">
      <formula>X$9&gt;=20/24</formula>
    </cfRule>
    <cfRule type="expression" dxfId="11764" priority="504">
      <formula>AND(X$9&gt;=14/24,X$9&lt;20/24)</formula>
    </cfRule>
    <cfRule type="expression" dxfId="11763" priority="505">
      <formula>AND(X$9&gt;=8/24,X$9&lt;14/24)</formula>
    </cfRule>
    <cfRule type="expression" dxfId="11762" priority="506">
      <formula>X$9&lt;8/24</formula>
    </cfRule>
  </conditionalFormatting>
  <conditionalFormatting sqref="X59:Y64 AE59:AF64">
    <cfRule type="expression" dxfId="11761" priority="502">
      <formula>X59&gt;$AG59</formula>
    </cfRule>
  </conditionalFormatting>
  <conditionalFormatting sqref="X45:Y45 X13:Y15">
    <cfRule type="expression" dxfId="11760" priority="501">
      <formula>X13&gt;$AG13</formula>
    </cfRule>
  </conditionalFormatting>
  <conditionalFormatting sqref="X12:Y12">
    <cfRule type="expression" dxfId="11759" priority="497">
      <formula>X$9&gt;=20/24</formula>
    </cfRule>
    <cfRule type="expression" dxfId="11758" priority="498">
      <formula>AND(X$9&gt;=14/24,X$9&lt;20/24)</formula>
    </cfRule>
    <cfRule type="expression" dxfId="11757" priority="499">
      <formula>AND(X$9&gt;=8/24,X$9&lt;14/24)</formula>
    </cfRule>
    <cfRule type="expression" dxfId="11756" priority="500">
      <formula>X$9&lt;8/24</formula>
    </cfRule>
  </conditionalFormatting>
  <conditionalFormatting sqref="X12:Y12">
    <cfRule type="expression" dxfId="11755" priority="496">
      <formula>X12&gt;$AG12</formula>
    </cfRule>
  </conditionalFormatting>
  <conditionalFormatting sqref="X13:Y15">
    <cfRule type="expression" dxfId="11754" priority="492">
      <formula>X$9&gt;=20/24</formula>
    </cfRule>
    <cfRule type="expression" dxfId="11753" priority="493">
      <formula>AND(X$9&gt;=14/24,X$9&lt;20/24)</formula>
    </cfRule>
    <cfRule type="expression" dxfId="11752" priority="494">
      <formula>AND(X$9&gt;=8/24,X$9&lt;14/24)</formula>
    </cfRule>
    <cfRule type="expression" dxfId="11751" priority="495">
      <formula>X$9&lt;8/24</formula>
    </cfRule>
  </conditionalFormatting>
  <conditionalFormatting sqref="X45:Y45">
    <cfRule type="expression" dxfId="11750" priority="488">
      <formula>X$9&gt;=20/24</formula>
    </cfRule>
    <cfRule type="expression" dxfId="11749" priority="489">
      <formula>AND(X$9&gt;=14/24,X$9&lt;20/24)</formula>
    </cfRule>
    <cfRule type="expression" dxfId="11748" priority="490">
      <formula>AND(X$9&gt;=8/24,X$9&lt;14/24)</formula>
    </cfRule>
    <cfRule type="expression" dxfId="11747" priority="491">
      <formula>X$9&lt;8/24</formula>
    </cfRule>
  </conditionalFormatting>
  <conditionalFormatting sqref="AB81:AF81 X77:Y81 E81:W81 AE77:AF80">
    <cfRule type="expression" dxfId="11746" priority="484">
      <formula>E$9&gt;=20/24</formula>
    </cfRule>
    <cfRule type="expression" dxfId="11745" priority="485">
      <formula>AND(E$9&gt;=14/24,E$9&lt;20/24)</formula>
    </cfRule>
    <cfRule type="expression" dxfId="11744" priority="486">
      <formula>AND(E$9&gt;=8/24,E$9&lt;14/24)</formula>
    </cfRule>
    <cfRule type="expression" dxfId="11743" priority="487">
      <formula>E$9&lt;8/24</formula>
    </cfRule>
  </conditionalFormatting>
  <conditionalFormatting sqref="AL78:AN78 AL84:AN84 AN79:AN80">
    <cfRule type="expression" dxfId="11742" priority="480">
      <formula>AL$9&gt;=20/24</formula>
    </cfRule>
    <cfRule type="expression" dxfId="11741" priority="481">
      <formula>AND(AL$9&gt;=14/24,AL$9&lt;20/24)</formula>
    </cfRule>
    <cfRule type="expression" dxfId="11740" priority="482">
      <formula>AND(AL$9&gt;=8/24,AL$9&lt;14/24)</formula>
    </cfRule>
    <cfRule type="expression" dxfId="11739" priority="483">
      <formula>AL$9&lt;8/24</formula>
    </cfRule>
  </conditionalFormatting>
  <conditionalFormatting sqref="AN81:AN82">
    <cfRule type="expression" dxfId="11738" priority="476">
      <formula>AN$9&gt;=20/24</formula>
    </cfRule>
    <cfRule type="expression" dxfId="11737" priority="477">
      <formula>AND(AN$9&gt;=14/24,AN$9&lt;20/24)</formula>
    </cfRule>
    <cfRule type="expression" dxfId="11736" priority="478">
      <formula>AND(AN$9&gt;=8/24,AN$9&lt;14/24)</formula>
    </cfRule>
    <cfRule type="expression" dxfId="11735" priority="479">
      <formula>AN$9&lt;8/24</formula>
    </cfRule>
  </conditionalFormatting>
  <conditionalFormatting sqref="AL79:AM83">
    <cfRule type="expression" dxfId="11734" priority="693">
      <formula>AJ$9&gt;=20/24</formula>
    </cfRule>
    <cfRule type="expression" dxfId="11733" priority="694">
      <formula>AND(AJ$9&gt;=14/24,AJ$9&lt;20/24)</formula>
    </cfRule>
    <cfRule type="expression" dxfId="11732" priority="695">
      <formula>AND(AJ$9&gt;=8/24,AJ$9&lt;14/24)</formula>
    </cfRule>
    <cfRule type="expression" dxfId="11731" priority="696">
      <formula>AJ$9&lt;8/24</formula>
    </cfRule>
  </conditionalFormatting>
  <conditionalFormatting sqref="A117">
    <cfRule type="expression" dxfId="11730" priority="475">
      <formula>$AH117=0</formula>
    </cfRule>
  </conditionalFormatting>
  <conditionalFormatting sqref="B109 B111:B116 B34:W43 B45:W45 B12:W15 B17:W32">
    <cfRule type="expression" dxfId="11729" priority="471">
      <formula>B$9&gt;=20/24</formula>
    </cfRule>
    <cfRule type="expression" dxfId="11728" priority="472">
      <formula>AND(B$9&gt;=14/24,B$9&lt;20/24)</formula>
    </cfRule>
    <cfRule type="expression" dxfId="11727" priority="473">
      <formula>AND(B$9&gt;=8/24,B$9&lt;14/24)</formula>
    </cfRule>
    <cfRule type="expression" dxfId="11726" priority="474">
      <formula>B$9&lt;8/24</formula>
    </cfRule>
  </conditionalFormatting>
  <conditionalFormatting sqref="B34:W43 B45:W45 B12:W15 B17:W32">
    <cfRule type="expression" dxfId="11725" priority="470">
      <formula>B12&gt;$AG12</formula>
    </cfRule>
  </conditionalFormatting>
  <conditionalFormatting sqref="B99">
    <cfRule type="expression" dxfId="11724" priority="466">
      <formula>B$9&gt;=20/24</formula>
    </cfRule>
    <cfRule type="expression" dxfId="11723" priority="467">
      <formula>AND(B$9&gt;=14/24,B$9&lt;20/24)</formula>
    </cfRule>
    <cfRule type="expression" dxfId="11722" priority="468">
      <formula>AND(B$9&gt;=8/24,B$9&lt;14/24)</formula>
    </cfRule>
    <cfRule type="expression" dxfId="11721" priority="469">
      <formula>B$9&lt;8/24</formula>
    </cfRule>
  </conditionalFormatting>
  <conditionalFormatting sqref="B53:O53">
    <cfRule type="expression" dxfId="11720" priority="458">
      <formula>B$9&gt;=20/24</formula>
    </cfRule>
    <cfRule type="expression" dxfId="11719" priority="459">
      <formula>AND(B$9&gt;=14/24,B$9&lt;20/24)</formula>
    </cfRule>
    <cfRule type="expression" dxfId="11718" priority="460">
      <formula>AND(B$9&gt;=8/24,B$9&lt;14/24)</formula>
    </cfRule>
    <cfRule type="expression" dxfId="11717" priority="461">
      <formula>B$9&lt;8/24</formula>
    </cfRule>
  </conditionalFormatting>
  <conditionalFormatting sqref="B53:O57">
    <cfRule type="expression" dxfId="11716" priority="457">
      <formula>B53&gt;$AG53</formula>
    </cfRule>
  </conditionalFormatting>
  <conditionalFormatting sqref="B96 B86 B47 B100:C106 B67:L69 B72:R74">
    <cfRule type="expression" dxfId="11715" priority="453">
      <formula>B$9&gt;=20/24</formula>
    </cfRule>
    <cfRule type="expression" dxfId="11714" priority="454">
      <formula>AND(B$9&gt;=14/24,B$9&lt;20/24)</formula>
    </cfRule>
    <cfRule type="expression" dxfId="11713" priority="455">
      <formula>AND(B$9&gt;=8/24,B$9&lt;14/24)</formula>
    </cfRule>
    <cfRule type="expression" dxfId="11712" priority="456">
      <formula>B$9&lt;8/24</formula>
    </cfRule>
  </conditionalFormatting>
  <conditionalFormatting sqref="B47 B67:L69">
    <cfRule type="expression" dxfId="11711" priority="452">
      <formula>B47&gt;$AG47</formula>
    </cfRule>
  </conditionalFormatting>
  <conditionalFormatting sqref="B97 B88:C88">
    <cfRule type="expression" dxfId="11710" priority="448">
      <formula>B$9&gt;=20/24</formula>
    </cfRule>
    <cfRule type="expression" dxfId="11709" priority="449">
      <formula>AND(B$9&gt;=14/24,B$9&lt;20/24)</formula>
    </cfRule>
    <cfRule type="expression" dxfId="11708" priority="450">
      <formula>AND(B$9&gt;=8/24,B$9&lt;14/24)</formula>
    </cfRule>
    <cfRule type="expression" dxfId="11707" priority="451">
      <formula>B$9&lt;8/24</formula>
    </cfRule>
  </conditionalFormatting>
  <conditionalFormatting sqref="B46:Y46">
    <cfRule type="expression" dxfId="11706" priority="444">
      <formula>B$9&gt;=20/24</formula>
    </cfRule>
    <cfRule type="expression" dxfId="11705" priority="445">
      <formula>AND(B$9&gt;=14/24,B$9&lt;20/24)</formula>
    </cfRule>
    <cfRule type="expression" dxfId="11704" priority="446">
      <formula>AND(B$9&gt;=8/24,B$9&lt;14/24)</formula>
    </cfRule>
    <cfRule type="expression" dxfId="11703" priority="447">
      <formula>B$9&lt;8/24</formula>
    </cfRule>
  </conditionalFormatting>
  <conditionalFormatting sqref="B46:Y46">
    <cfRule type="expression" dxfId="11702" priority="443">
      <formula>B46&gt;$AG46</formula>
    </cfRule>
  </conditionalFormatting>
  <conditionalFormatting sqref="B58:W58">
    <cfRule type="expression" dxfId="11701" priority="439">
      <formula>B$9&gt;=20/24</formula>
    </cfRule>
    <cfRule type="expression" dxfId="11700" priority="440">
      <formula>AND(B$9&gt;=14/24,B$9&lt;20/24)</formula>
    </cfRule>
    <cfRule type="expression" dxfId="11699" priority="441">
      <formula>AND(B$9&gt;=8/24,B$9&lt;14/24)</formula>
    </cfRule>
    <cfRule type="expression" dxfId="11698" priority="442">
      <formula>B$9&lt;8/24</formula>
    </cfRule>
  </conditionalFormatting>
  <conditionalFormatting sqref="B58:W58">
    <cfRule type="expression" dxfId="11697" priority="438">
      <formula>B58&gt;$AG58</formula>
    </cfRule>
  </conditionalFormatting>
  <conditionalFormatting sqref="B91:B95">
    <cfRule type="expression" dxfId="11696" priority="434">
      <formula>B$9&gt;=20/24</formula>
    </cfRule>
    <cfRule type="expression" dxfId="11695" priority="435">
      <formula>AND(B$9&gt;=14/24,B$9&lt;20/24)</formula>
    </cfRule>
    <cfRule type="expression" dxfId="11694" priority="436">
      <formula>AND(B$9&gt;=8/24,B$9&lt;14/24)</formula>
    </cfRule>
    <cfRule type="expression" dxfId="11693" priority="437">
      <formula>B$9&lt;8/24</formula>
    </cfRule>
  </conditionalFormatting>
  <conditionalFormatting sqref="B49:R51">
    <cfRule type="expression" dxfId="11692" priority="429">
      <formula>B49&gt;$AG49</formula>
    </cfRule>
  </conditionalFormatting>
  <conditionalFormatting sqref="B107">
    <cfRule type="expression" dxfId="11691" priority="425">
      <formula>B$9&gt;=20/24</formula>
    </cfRule>
    <cfRule type="expression" dxfId="11690" priority="426">
      <formula>AND(B$9&gt;=14/24,B$9&lt;20/24)</formula>
    </cfRule>
    <cfRule type="expression" dxfId="11689" priority="427">
      <formula>AND(B$9&gt;=8/24,B$9&lt;14/24)</formula>
    </cfRule>
    <cfRule type="expression" dxfId="11688" priority="428">
      <formula>B$9&lt;8/24</formula>
    </cfRule>
  </conditionalFormatting>
  <conditionalFormatting sqref="B110">
    <cfRule type="expression" dxfId="11687" priority="421">
      <formula>B$9&gt;=20/24</formula>
    </cfRule>
    <cfRule type="expression" dxfId="11686" priority="422">
      <formula>AND(B$9&gt;=14/24,B$9&lt;20/24)</formula>
    </cfRule>
    <cfRule type="expression" dxfId="11685" priority="423">
      <formula>AND(B$9&gt;=8/24,B$9&lt;14/24)</formula>
    </cfRule>
    <cfRule type="expression" dxfId="11684" priority="424">
      <formula>B$9&lt;8/24</formula>
    </cfRule>
  </conditionalFormatting>
  <conditionalFormatting sqref="B83:B85 B75:R76 S76:W76">
    <cfRule type="expression" dxfId="11683" priority="417">
      <formula>B$9&gt;=20/24</formula>
    </cfRule>
    <cfRule type="expression" dxfId="11682" priority="418">
      <formula>AND(B$9&gt;=14/24,B$9&lt;20/24)</formula>
    </cfRule>
    <cfRule type="expression" dxfId="11681" priority="419">
      <formula>AND(B$9&gt;=8/24,B$9&lt;14/24)</formula>
    </cfRule>
    <cfRule type="expression" dxfId="11680" priority="420">
      <formula>B$9&lt;8/24</formula>
    </cfRule>
  </conditionalFormatting>
  <conditionalFormatting sqref="B89 B98 B70 B87">
    <cfRule type="expression" dxfId="11679" priority="413">
      <formula>B$9&gt;=20/24</formula>
    </cfRule>
    <cfRule type="expression" dxfId="11678" priority="414">
      <formula>AND(B$9&gt;=14/24,B$9&lt;20/24)</formula>
    </cfRule>
    <cfRule type="expression" dxfId="11677" priority="415">
      <formula>AND(B$9&gt;=8/24,B$9&lt;14/24)</formula>
    </cfRule>
    <cfRule type="expression" dxfId="11676" priority="416">
      <formula>B$9&lt;8/24</formula>
    </cfRule>
  </conditionalFormatting>
  <conditionalFormatting sqref="B65:B66 B70 B48:Y48 AB48:AF48">
    <cfRule type="expression" dxfId="11675" priority="412">
      <formula>B48&gt;$AG48</formula>
    </cfRule>
  </conditionalFormatting>
  <conditionalFormatting sqref="B82">
    <cfRule type="expression" dxfId="11674" priority="408">
      <formula>B$9&gt;=20/24</formula>
    </cfRule>
    <cfRule type="expression" dxfId="11673" priority="409">
      <formula>AND(B$9&gt;=14/24,B$9&lt;20/24)</formula>
    </cfRule>
    <cfRule type="expression" dxfId="11672" priority="410">
      <formula>AND(B$9&gt;=8/24,B$9&lt;14/24)</formula>
    </cfRule>
    <cfRule type="expression" dxfId="11671" priority="411">
      <formula>B$9&lt;8/24</formula>
    </cfRule>
  </conditionalFormatting>
  <conditionalFormatting sqref="B52">
    <cfRule type="expression" dxfId="11670" priority="404">
      <formula>B$9&gt;=20/24</formula>
    </cfRule>
    <cfRule type="expression" dxfId="11669" priority="405">
      <formula>AND(B$9&gt;=14/24,B$9&lt;20/24)</formula>
    </cfRule>
    <cfRule type="expression" dxfId="11668" priority="406">
      <formula>AND(B$9&gt;=8/24,B$9&lt;14/24)</formula>
    </cfRule>
    <cfRule type="expression" dxfId="11667" priority="407">
      <formula>B$9&lt;8/24</formula>
    </cfRule>
  </conditionalFormatting>
  <conditionalFormatting sqref="B52">
    <cfRule type="expression" dxfId="11666" priority="403">
      <formula>B52&gt;$AG52</formula>
    </cfRule>
  </conditionalFormatting>
  <conditionalFormatting sqref="B59:W64">
    <cfRule type="expression" dxfId="11665" priority="395">
      <formula>B$9&gt;=20/24</formula>
    </cfRule>
    <cfRule type="expression" dxfId="11664" priority="396">
      <formula>AND(B$9&gt;=14/24,B$9&lt;20/24)</formula>
    </cfRule>
    <cfRule type="expression" dxfId="11663" priority="397">
      <formula>AND(B$9&gt;=8/24,B$9&lt;14/24)</formula>
    </cfRule>
    <cfRule type="expression" dxfId="11662" priority="398">
      <formula>B$9&lt;8/24</formula>
    </cfRule>
  </conditionalFormatting>
  <conditionalFormatting sqref="B59:W64">
    <cfRule type="expression" dxfId="11661" priority="394">
      <formula>B59&gt;$AG59</formula>
    </cfRule>
  </conditionalFormatting>
  <conditionalFormatting sqref="B77:D81 E77:W80">
    <cfRule type="expression" dxfId="11660" priority="390">
      <formula>B$9&gt;=20/24</formula>
    </cfRule>
    <cfRule type="expression" dxfId="11659" priority="391">
      <formula>AND(B$9&gt;=14/24,B$9&lt;20/24)</formula>
    </cfRule>
    <cfRule type="expression" dxfId="11658" priority="392">
      <formula>AND(B$9&gt;=8/24,B$9&lt;14/24)</formula>
    </cfRule>
    <cfRule type="expression" dxfId="11657" priority="393">
      <formula>B$9&lt;8/24</formula>
    </cfRule>
  </conditionalFormatting>
  <conditionalFormatting sqref="A11">
    <cfRule type="expression" dxfId="11656" priority="389">
      <formula>$AH11=0</formula>
    </cfRule>
  </conditionalFormatting>
  <conditionalFormatting sqref="X11:Y11">
    <cfRule type="expression" dxfId="11655" priority="385">
      <formula>X$9&gt;=20/24</formula>
    </cfRule>
    <cfRule type="expression" dxfId="11654" priority="386">
      <formula>AND(X$9&gt;=14/24,X$9&lt;20/24)</formula>
    </cfRule>
    <cfRule type="expression" dxfId="11653" priority="387">
      <formula>AND(X$9&gt;=8/24,X$9&lt;14/24)</formula>
    </cfRule>
    <cfRule type="expression" dxfId="11652" priority="388">
      <formula>X$9&lt;8/24</formula>
    </cfRule>
  </conditionalFormatting>
  <conditionalFormatting sqref="X11:Y11">
    <cfRule type="expression" dxfId="11651" priority="384">
      <formula>X11&gt;$AG11</formula>
    </cfRule>
  </conditionalFormatting>
  <conditionalFormatting sqref="B11:W11">
    <cfRule type="expression" dxfId="11650" priority="380">
      <formula>B$9&gt;=20/24</formula>
    </cfRule>
    <cfRule type="expression" dxfId="11649" priority="381">
      <formula>AND(B$9&gt;=14/24,B$9&lt;20/24)</formula>
    </cfRule>
    <cfRule type="expression" dxfId="11648" priority="382">
      <formula>AND(B$9&gt;=8/24,B$9&lt;14/24)</formula>
    </cfRule>
    <cfRule type="expression" dxfId="11647" priority="383">
      <formula>B$9&lt;8/24</formula>
    </cfRule>
  </conditionalFormatting>
  <conditionalFormatting sqref="B11:W11">
    <cfRule type="expression" dxfId="11646" priority="379">
      <formula>B11&gt;$AG11</formula>
    </cfRule>
  </conditionalFormatting>
  <conditionalFormatting sqref="A16">
    <cfRule type="expression" dxfId="11645" priority="377">
      <formula>$AH16=0</formula>
    </cfRule>
  </conditionalFormatting>
  <conditionalFormatting sqref="AL16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X16:Y16">
    <cfRule type="expression" dxfId="11644" priority="373">
      <formula>X$9&gt;=20/24</formula>
    </cfRule>
    <cfRule type="expression" dxfId="11643" priority="374">
      <formula>AND(X$9&gt;=14/24,X$9&lt;20/24)</formula>
    </cfRule>
    <cfRule type="expression" dxfId="11642" priority="375">
      <formula>AND(X$9&gt;=8/24,X$9&lt;14/24)</formula>
    </cfRule>
    <cfRule type="expression" dxfId="11641" priority="376">
      <formula>X$9&lt;8/24</formula>
    </cfRule>
  </conditionalFormatting>
  <conditionalFormatting sqref="X16:Y16">
    <cfRule type="expression" dxfId="11640" priority="372">
      <formula>X16&gt;$AG16</formula>
    </cfRule>
  </conditionalFormatting>
  <conditionalFormatting sqref="B16:W16">
    <cfRule type="expression" dxfId="11639" priority="368">
      <formula>B$9&gt;=20/24</formula>
    </cfRule>
    <cfRule type="expression" dxfId="11638" priority="369">
      <formula>AND(B$9&gt;=14/24,B$9&lt;20/24)</formula>
    </cfRule>
    <cfRule type="expression" dxfId="11637" priority="370">
      <formula>AND(B$9&gt;=8/24,B$9&lt;14/24)</formula>
    </cfRule>
    <cfRule type="expression" dxfId="11636" priority="371">
      <formula>B$9&lt;8/24</formula>
    </cfRule>
  </conditionalFormatting>
  <conditionalFormatting sqref="B16:W16">
    <cfRule type="expression" dxfId="11635" priority="367">
      <formula>B16&gt;$AG16</formula>
    </cfRule>
  </conditionalFormatting>
  <conditionalFormatting sqref="A33">
    <cfRule type="expression" dxfId="11634" priority="365">
      <formula>$AH33=0</formula>
    </cfRule>
  </conditionalFormatting>
  <conditionalFormatting sqref="AL33">
    <cfRule type="iconSet" priority="366">
      <iconSet iconSet="3TrafficLights2" reverse="1">
        <cfvo type="percent" val="0"/>
        <cfvo type="num" val="1"/>
        <cfvo type="num" val="1"/>
      </iconSet>
    </cfRule>
  </conditionalFormatting>
  <conditionalFormatting sqref="X33:Y33">
    <cfRule type="expression" dxfId="11633" priority="361">
      <formula>X$9&gt;=20/24</formula>
    </cfRule>
    <cfRule type="expression" dxfId="11632" priority="362">
      <formula>AND(X$9&gt;=14/24,X$9&lt;20/24)</formula>
    </cfRule>
    <cfRule type="expression" dxfId="11631" priority="363">
      <formula>AND(X$9&gt;=8/24,X$9&lt;14/24)</formula>
    </cfRule>
    <cfRule type="expression" dxfId="11630" priority="364">
      <formula>X$9&lt;8/24</formula>
    </cfRule>
  </conditionalFormatting>
  <conditionalFormatting sqref="X33:Y33">
    <cfRule type="expression" dxfId="11629" priority="360">
      <formula>X33&gt;$AG33</formula>
    </cfRule>
  </conditionalFormatting>
  <conditionalFormatting sqref="B33:W33">
    <cfRule type="expression" dxfId="11628" priority="356">
      <formula>B$9&gt;=20/24</formula>
    </cfRule>
    <cfRule type="expression" dxfId="11627" priority="357">
      <formula>AND(B$9&gt;=14/24,B$9&lt;20/24)</formula>
    </cfRule>
    <cfRule type="expression" dxfId="11626" priority="358">
      <formula>AND(B$9&gt;=8/24,B$9&lt;14/24)</formula>
    </cfRule>
    <cfRule type="expression" dxfId="11625" priority="359">
      <formula>B$9&lt;8/24</formula>
    </cfRule>
  </conditionalFormatting>
  <conditionalFormatting sqref="B33:W33">
    <cfRule type="expression" dxfId="11624" priority="355">
      <formula>B33&gt;$AG33</formula>
    </cfRule>
  </conditionalFormatting>
  <conditionalFormatting sqref="A44">
    <cfRule type="expression" dxfId="11623" priority="353">
      <formula>$AH44=0</formula>
    </cfRule>
  </conditionalFormatting>
  <conditionalFormatting sqref="AL44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X44:Y44">
    <cfRule type="expression" dxfId="11622" priority="352">
      <formula>X44&gt;$AG44</formula>
    </cfRule>
  </conditionalFormatting>
  <conditionalFormatting sqref="X44:Y44">
    <cfRule type="expression" dxfId="11621" priority="348">
      <formula>X$9&gt;=20/24</formula>
    </cfRule>
    <cfRule type="expression" dxfId="11620" priority="349">
      <formula>AND(X$9&gt;=14/24,X$9&lt;20/24)</formula>
    </cfRule>
    <cfRule type="expression" dxfId="11619" priority="350">
      <formula>AND(X$9&gt;=8/24,X$9&lt;14/24)</formula>
    </cfRule>
    <cfRule type="expression" dxfId="11618" priority="351">
      <formula>X$9&lt;8/24</formula>
    </cfRule>
  </conditionalFormatting>
  <conditionalFormatting sqref="B44:W44">
    <cfRule type="expression" dxfId="11617" priority="344">
      <formula>B$9&gt;=20/24</formula>
    </cfRule>
    <cfRule type="expression" dxfId="11616" priority="345">
      <formula>AND(B$9&gt;=14/24,B$9&lt;20/24)</formula>
    </cfRule>
    <cfRule type="expression" dxfId="11615" priority="346">
      <formula>AND(B$9&gt;=8/24,B$9&lt;14/24)</formula>
    </cfRule>
    <cfRule type="expression" dxfId="11614" priority="347">
      <formula>B$9&lt;8/24</formula>
    </cfRule>
  </conditionalFormatting>
  <conditionalFormatting sqref="B44:W44">
    <cfRule type="expression" dxfId="11613" priority="343">
      <formula>B44&gt;$AG44</formula>
    </cfRule>
  </conditionalFormatting>
  <conditionalFormatting sqref="B117">
    <cfRule type="expression" dxfId="11612" priority="331">
      <formula>B$9&gt;=20/24</formula>
    </cfRule>
    <cfRule type="expression" dxfId="11611" priority="332">
      <formula>AND(B$9&gt;=14/24,B$9&lt;20/24)</formula>
    </cfRule>
    <cfRule type="expression" dxfId="11610" priority="333">
      <formula>AND(B$9&gt;=8/24,B$9&lt;14/24)</formula>
    </cfRule>
    <cfRule type="expression" dxfId="11609" priority="334">
      <formula>B$9&lt;8/24</formula>
    </cfRule>
  </conditionalFormatting>
  <conditionalFormatting sqref="AB117:AF117 D117:Y117">
    <cfRule type="expression" dxfId="11608" priority="339">
      <formula>D$9&gt;=20/24</formula>
    </cfRule>
    <cfRule type="expression" dxfId="11607" priority="340">
      <formula>AND(D$9&gt;=14/24,D$9&lt;20/24)</formula>
    </cfRule>
    <cfRule type="expression" dxfId="11606" priority="341">
      <formula>AND(D$9&gt;=8/24,D$9&lt;14/24)</formula>
    </cfRule>
    <cfRule type="expression" dxfId="11605" priority="342">
      <formula>D$9&lt;8/24</formula>
    </cfRule>
  </conditionalFormatting>
  <conditionalFormatting sqref="C117">
    <cfRule type="expression" dxfId="11604" priority="335">
      <formula>C$9&gt;=20/24</formula>
    </cfRule>
    <cfRule type="expression" dxfId="11603" priority="336">
      <formula>AND(C$9&gt;=14/24,C$9&lt;20/24)</formula>
    </cfRule>
    <cfRule type="expression" dxfId="11602" priority="337">
      <formula>AND(C$9&gt;=8/24,C$9&lt;14/24)</formula>
    </cfRule>
    <cfRule type="expression" dxfId="11601" priority="338">
      <formula>C$9&lt;8/24</formula>
    </cfRule>
  </conditionalFormatting>
  <conditionalFormatting sqref="AA117">
    <cfRule type="expression" dxfId="11600" priority="1">
      <formula>AA$9&gt;=20/24</formula>
    </cfRule>
    <cfRule type="expression" dxfId="11599" priority="2">
      <formula>AND(AA$9&gt;=14/24,AA$9&lt;20/24)</formula>
    </cfRule>
    <cfRule type="expression" dxfId="11598" priority="3">
      <formula>AND(AA$9&gt;=8/24,AA$9&lt;14/24)</formula>
    </cfRule>
    <cfRule type="expression" dxfId="11597" priority="4">
      <formula>AA$9&lt;8/24</formula>
    </cfRule>
  </conditionalFormatting>
  <conditionalFormatting sqref="Z109 Z111:Z116">
    <cfRule type="expression" dxfId="11596" priority="283">
      <formula>Z$9&gt;=20/24</formula>
    </cfRule>
    <cfRule type="expression" dxfId="11595" priority="284">
      <formula>AND(Z$9&gt;=14/24,Z$9&lt;20/24)</formula>
    </cfRule>
    <cfRule type="expression" dxfId="11594" priority="285">
      <formula>AND(Z$9&gt;=8/24,Z$9&lt;14/24)</formula>
    </cfRule>
    <cfRule type="expression" dxfId="11593" priority="286">
      <formula>Z$9&lt;8/24</formula>
    </cfRule>
  </conditionalFormatting>
  <conditionalFormatting sqref="Z99">
    <cfRule type="expression" dxfId="11592" priority="279">
      <formula>Z$9&gt;=20/24</formula>
    </cfRule>
    <cfRule type="expression" dxfId="11591" priority="280">
      <formula>AND(Z$9&gt;=14/24,Z$9&lt;20/24)</formula>
    </cfRule>
    <cfRule type="expression" dxfId="11590" priority="281">
      <formula>AND(Z$9&gt;=8/24,Z$9&lt;14/24)</formula>
    </cfRule>
    <cfRule type="expression" dxfId="11589" priority="282">
      <formula>Z$9&lt;8/24</formula>
    </cfRule>
  </conditionalFormatting>
  <conditionalFormatting sqref="Z71">
    <cfRule type="expression" dxfId="11588" priority="275">
      <formula>Z$9&gt;=20/24</formula>
    </cfRule>
    <cfRule type="expression" dxfId="11587" priority="276">
      <formula>AND(Z$9&gt;=14/24,Z$9&lt;20/24)</formula>
    </cfRule>
    <cfRule type="expression" dxfId="11586" priority="277">
      <formula>AND(Z$9&gt;=8/24,Z$9&lt;14/24)</formula>
    </cfRule>
    <cfRule type="expression" dxfId="11585" priority="278">
      <formula>Z$9&lt;8/24</formula>
    </cfRule>
  </conditionalFormatting>
  <conditionalFormatting sqref="Z86 Z100:Z106 Z72:Z73">
    <cfRule type="expression" dxfId="11584" priority="271">
      <formula>Z$9&gt;=20/24</formula>
    </cfRule>
    <cfRule type="expression" dxfId="11583" priority="272">
      <formula>AND(Z$9&gt;=14/24,Z$9&lt;20/24)</formula>
    </cfRule>
    <cfRule type="expression" dxfId="11582" priority="273">
      <formula>AND(Z$9&gt;=8/24,Z$9&lt;14/24)</formula>
    </cfRule>
    <cfRule type="expression" dxfId="11581" priority="274">
      <formula>Z$9&lt;8/24</formula>
    </cfRule>
  </conditionalFormatting>
  <conditionalFormatting sqref="Z53:Z57">
    <cfRule type="expression" dxfId="11580" priority="267">
      <formula>Z$9&gt;=20/24</formula>
    </cfRule>
    <cfRule type="expression" dxfId="11579" priority="268">
      <formula>AND(Z$9&gt;=14/24,Z$9&lt;20/24)</formula>
    </cfRule>
    <cfRule type="expression" dxfId="11578" priority="269">
      <formula>AND(Z$9&gt;=8/24,Z$9&lt;14/24)</formula>
    </cfRule>
    <cfRule type="expression" dxfId="11577" priority="270">
      <formula>Z$9&lt;8/24</formula>
    </cfRule>
  </conditionalFormatting>
  <conditionalFormatting sqref="Z53:Z57">
    <cfRule type="expression" dxfId="11576" priority="266">
      <formula>Z53&gt;$AG53</formula>
    </cfRule>
  </conditionalFormatting>
  <conditionalFormatting sqref="Z97 Z88">
    <cfRule type="expression" dxfId="11575" priority="262">
      <formula>Z$9&gt;=20/24</formula>
    </cfRule>
    <cfRule type="expression" dxfId="11574" priority="263">
      <formula>AND(Z$9&gt;=14/24,Z$9&lt;20/24)</formula>
    </cfRule>
    <cfRule type="expression" dxfId="11573" priority="264">
      <formula>AND(Z$9&gt;=8/24,Z$9&lt;14/24)</formula>
    </cfRule>
    <cfRule type="expression" dxfId="11572" priority="265">
      <formula>Z$9&lt;8/24</formula>
    </cfRule>
  </conditionalFormatting>
  <conditionalFormatting sqref="Z47">
    <cfRule type="expression" dxfId="11571" priority="258">
      <formula>Z$9&gt;=20/24</formula>
    </cfRule>
    <cfRule type="expression" dxfId="11570" priority="259">
      <formula>AND(Z$9&gt;=14/24,Z$9&lt;20/24)</formula>
    </cfRule>
    <cfRule type="expression" dxfId="11569" priority="260">
      <formula>AND(Z$9&gt;=8/24,Z$9&lt;14/24)</formula>
    </cfRule>
    <cfRule type="expression" dxfId="11568" priority="261">
      <formula>Z$9&lt;8/24</formula>
    </cfRule>
  </conditionalFormatting>
  <conditionalFormatting sqref="Z47">
    <cfRule type="expression" dxfId="11567" priority="257">
      <formula>Z47&gt;$AG47</formula>
    </cfRule>
  </conditionalFormatting>
  <conditionalFormatting sqref="Z67:Z69">
    <cfRule type="expression" dxfId="11566" priority="253">
      <formula>Z$9&gt;=20/24</formula>
    </cfRule>
    <cfRule type="expression" dxfId="11565" priority="254">
      <formula>AND(Z$9&gt;=14/24,Z$9&lt;20/24)</formula>
    </cfRule>
    <cfRule type="expression" dxfId="11564" priority="255">
      <formula>AND(Z$9&gt;=8/24,Z$9&lt;14/24)</formula>
    </cfRule>
    <cfRule type="expression" dxfId="11563" priority="256">
      <formula>Z$9&lt;8/24</formula>
    </cfRule>
  </conditionalFormatting>
  <conditionalFormatting sqref="Z67:Z69">
    <cfRule type="expression" dxfId="11562" priority="252">
      <formula>Z67&gt;$AG67</formula>
    </cfRule>
  </conditionalFormatting>
  <conditionalFormatting sqref="Z49:Z51">
    <cfRule type="expression" dxfId="11561" priority="248">
      <formula>Z$9&gt;=20/24</formula>
    </cfRule>
    <cfRule type="expression" dxfId="11560" priority="249">
      <formula>AND(Z$9&gt;=14/24,Z$9&lt;20/24)</formula>
    </cfRule>
    <cfRule type="expression" dxfId="11559" priority="250">
      <formula>AND(Z$9&gt;=8/24,Z$9&lt;14/24)</formula>
    </cfRule>
    <cfRule type="expression" dxfId="11558" priority="251">
      <formula>Z$9&lt;8/24</formula>
    </cfRule>
  </conditionalFormatting>
  <conditionalFormatting sqref="Z49:Z51">
    <cfRule type="expression" dxfId="11557" priority="247">
      <formula>Z49&gt;$AG49</formula>
    </cfRule>
  </conditionalFormatting>
  <conditionalFormatting sqref="Z107">
    <cfRule type="expression" dxfId="11556" priority="243">
      <formula>Z$9&gt;=20/24</formula>
    </cfRule>
    <cfRule type="expression" dxfId="11555" priority="244">
      <formula>AND(Z$9&gt;=14/24,Z$9&lt;20/24)</formula>
    </cfRule>
    <cfRule type="expression" dxfId="11554" priority="245">
      <formula>AND(Z$9&gt;=8/24,Z$9&lt;14/24)</formula>
    </cfRule>
    <cfRule type="expression" dxfId="11553" priority="246">
      <formula>Z$9&lt;8/24</formula>
    </cfRule>
  </conditionalFormatting>
  <conditionalFormatting sqref="Z110">
    <cfRule type="expression" dxfId="11552" priority="239">
      <formula>Z$9&gt;=20/24</formula>
    </cfRule>
    <cfRule type="expression" dxfId="11551" priority="240">
      <formula>AND(Z$9&gt;=14/24,Z$9&lt;20/24)</formula>
    </cfRule>
    <cfRule type="expression" dxfId="11550" priority="241">
      <formula>AND(Z$9&gt;=8/24,Z$9&lt;14/24)</formula>
    </cfRule>
    <cfRule type="expression" dxfId="11549" priority="242">
      <formula>Z$9&lt;8/24</formula>
    </cfRule>
  </conditionalFormatting>
  <conditionalFormatting sqref="Z96 Z83:Z85 Z74:Z75">
    <cfRule type="expression" dxfId="11548" priority="235">
      <formula>Z$9&gt;=20/24</formula>
    </cfRule>
    <cfRule type="expression" dxfId="11547" priority="236">
      <formula>AND(Z$9&gt;=14/24,Z$9&lt;20/24)</formula>
    </cfRule>
    <cfRule type="expression" dxfId="11546" priority="237">
      <formula>AND(Z$9&gt;=8/24,Z$9&lt;14/24)</formula>
    </cfRule>
    <cfRule type="expression" dxfId="11545" priority="238">
      <formula>Z$9&lt;8/24</formula>
    </cfRule>
  </conditionalFormatting>
  <conditionalFormatting sqref="Z87 Z89 Z98 Z70">
    <cfRule type="expression" dxfId="11544" priority="231">
      <formula>Z$9&gt;=20/24</formula>
    </cfRule>
    <cfRule type="expression" dxfId="11543" priority="232">
      <formula>AND(Z$9&gt;=14/24,Z$9&lt;20/24)</formula>
    </cfRule>
    <cfRule type="expression" dxfId="11542" priority="233">
      <formula>AND(Z$9&gt;=8/24,Z$9&lt;14/24)</formula>
    </cfRule>
    <cfRule type="expression" dxfId="11541" priority="234">
      <formula>Z$9&lt;8/24</formula>
    </cfRule>
  </conditionalFormatting>
  <conditionalFormatting sqref="Z70 Z65:Z66">
    <cfRule type="expression" dxfId="11540" priority="230">
      <formula>Z65&gt;$AG65</formula>
    </cfRule>
  </conditionalFormatting>
  <conditionalFormatting sqref="Z82">
    <cfRule type="expression" dxfId="11539" priority="226">
      <formula>Z$9&gt;=20/24</formula>
    </cfRule>
    <cfRule type="expression" dxfId="11538" priority="227">
      <formula>AND(Z$9&gt;=14/24,Z$9&lt;20/24)</formula>
    </cfRule>
    <cfRule type="expression" dxfId="11537" priority="228">
      <formula>AND(Z$9&gt;=8/24,Z$9&lt;14/24)</formula>
    </cfRule>
    <cfRule type="expression" dxfId="11536" priority="229">
      <formula>Z$9&lt;8/24</formula>
    </cfRule>
  </conditionalFormatting>
  <conditionalFormatting sqref="Z91:Z95">
    <cfRule type="expression" dxfId="11535" priority="222">
      <formula>Z$9&gt;=20/24</formula>
    </cfRule>
    <cfRule type="expression" dxfId="11534" priority="223">
      <formula>AND(Z$9&gt;=14/24,Z$9&lt;20/24)</formula>
    </cfRule>
    <cfRule type="expression" dxfId="11533" priority="224">
      <formula>AND(Z$9&gt;=8/24,Z$9&lt;14/24)</formula>
    </cfRule>
    <cfRule type="expression" dxfId="11532" priority="225">
      <formula>Z$9&lt;8/24</formula>
    </cfRule>
  </conditionalFormatting>
  <conditionalFormatting sqref="Z52">
    <cfRule type="expression" dxfId="11531" priority="218">
      <formula>Z$9&gt;=20/24</formula>
    </cfRule>
    <cfRule type="expression" dxfId="11530" priority="219">
      <formula>AND(Z$9&gt;=14/24,Z$9&lt;20/24)</formula>
    </cfRule>
    <cfRule type="expression" dxfId="11529" priority="220">
      <formula>AND(Z$9&gt;=8/24,Z$9&lt;14/24)</formula>
    </cfRule>
    <cfRule type="expression" dxfId="11528" priority="221">
      <formula>Z$9&lt;8/24</formula>
    </cfRule>
  </conditionalFormatting>
  <conditionalFormatting sqref="Z52">
    <cfRule type="expression" dxfId="11527" priority="217">
      <formula>Z52&gt;$AG52</formula>
    </cfRule>
  </conditionalFormatting>
  <conditionalFormatting sqref="Z81:AA81">
    <cfRule type="expression" dxfId="11526" priority="209">
      <formula>Z$9&gt;=20/24</formula>
    </cfRule>
    <cfRule type="expression" dxfId="11525" priority="210">
      <formula>AND(Z$9&gt;=14/24,Z$9&lt;20/24)</formula>
    </cfRule>
    <cfRule type="expression" dxfId="11524" priority="211">
      <formula>AND(Z$9&gt;=8/24,Z$9&lt;14/24)</formula>
    </cfRule>
    <cfRule type="expression" dxfId="11523" priority="212">
      <formula>Z$9&lt;8/24</formula>
    </cfRule>
  </conditionalFormatting>
  <conditionalFormatting sqref="Z34:Z43 Z45 Z12:Z15 Z17:Z32">
    <cfRule type="expression" dxfId="11522" priority="205">
      <formula>Z$9&gt;=20/24</formula>
    </cfRule>
    <cfRule type="expression" dxfId="11521" priority="206">
      <formula>AND(Z$9&gt;=14/24,Z$9&lt;20/24)</formula>
    </cfRule>
    <cfRule type="expression" dxfId="11520" priority="207">
      <formula>AND(Z$9&gt;=8/24,Z$9&lt;14/24)</formula>
    </cfRule>
    <cfRule type="expression" dxfId="11519" priority="208">
      <formula>Z$9&lt;8/24</formula>
    </cfRule>
  </conditionalFormatting>
  <conditionalFormatting sqref="Z34:Z43 Z45 Z12:Z15 Z17:Z32">
    <cfRule type="expression" dxfId="11518" priority="204">
      <formula>Z12&gt;$AG12</formula>
    </cfRule>
  </conditionalFormatting>
  <conditionalFormatting sqref="Z46">
    <cfRule type="expression" dxfId="11517" priority="200">
      <formula>Z$9&gt;=20/24</formula>
    </cfRule>
    <cfRule type="expression" dxfId="11516" priority="201">
      <formula>AND(Z$9&gt;=14/24,Z$9&lt;20/24)</formula>
    </cfRule>
    <cfRule type="expression" dxfId="11515" priority="202">
      <formula>AND(Z$9&gt;=8/24,Z$9&lt;14/24)</formula>
    </cfRule>
    <cfRule type="expression" dxfId="11514" priority="203">
      <formula>Z$9&lt;8/24</formula>
    </cfRule>
  </conditionalFormatting>
  <conditionalFormatting sqref="Z46">
    <cfRule type="expression" dxfId="11513" priority="199">
      <formula>Z46&gt;$AG46</formula>
    </cfRule>
  </conditionalFormatting>
  <conditionalFormatting sqref="Z76:AD76">
    <cfRule type="expression" dxfId="11512" priority="190">
      <formula>Z$9&gt;=20/24</formula>
    </cfRule>
    <cfRule type="expression" dxfId="11511" priority="191">
      <formula>AND(Z$9&gt;=14/24,Z$9&lt;20/24)</formula>
    </cfRule>
    <cfRule type="expression" dxfId="11510" priority="192">
      <formula>AND(Z$9&gt;=8/24,Z$9&lt;14/24)</formula>
    </cfRule>
    <cfRule type="expression" dxfId="11509" priority="193">
      <formula>Z$9&lt;8/24</formula>
    </cfRule>
  </conditionalFormatting>
  <conditionalFormatting sqref="Z48">
    <cfRule type="expression" dxfId="11508" priority="189">
      <formula>Z48&gt;$AG48</formula>
    </cfRule>
  </conditionalFormatting>
  <conditionalFormatting sqref="Z59:Z64">
    <cfRule type="expression" dxfId="11507" priority="185">
      <formula>Z$9&gt;=20/24</formula>
    </cfRule>
    <cfRule type="expression" dxfId="11506" priority="186">
      <formula>AND(Z$9&gt;=14/24,Z$9&lt;20/24)</formula>
    </cfRule>
    <cfRule type="expression" dxfId="11505" priority="187">
      <formula>AND(Z$9&gt;=8/24,Z$9&lt;14/24)</formula>
    </cfRule>
    <cfRule type="expression" dxfId="11504" priority="188">
      <formula>Z$9&lt;8/24</formula>
    </cfRule>
  </conditionalFormatting>
  <conditionalFormatting sqref="Z59:Z64">
    <cfRule type="expression" dxfId="11503" priority="184">
      <formula>Z59&gt;$AG59</formula>
    </cfRule>
  </conditionalFormatting>
  <conditionalFormatting sqref="Z77:AD80">
    <cfRule type="expression" dxfId="11502" priority="180">
      <formula>Z$9&gt;=20/24</formula>
    </cfRule>
    <cfRule type="expression" dxfId="11501" priority="181">
      <formula>AND(Z$9&gt;=14/24,Z$9&lt;20/24)</formula>
    </cfRule>
    <cfRule type="expression" dxfId="11500" priority="182">
      <formula>AND(Z$9&gt;=8/24,Z$9&lt;14/24)</formula>
    </cfRule>
    <cfRule type="expression" dxfId="11499" priority="183">
      <formula>Z$9&lt;8/24</formula>
    </cfRule>
  </conditionalFormatting>
  <conditionalFormatting sqref="Z11">
    <cfRule type="expression" dxfId="11498" priority="176">
      <formula>Z$9&gt;=20/24</formula>
    </cfRule>
    <cfRule type="expression" dxfId="11497" priority="177">
      <formula>AND(Z$9&gt;=14/24,Z$9&lt;20/24)</formula>
    </cfRule>
    <cfRule type="expression" dxfId="11496" priority="178">
      <formula>AND(Z$9&gt;=8/24,Z$9&lt;14/24)</formula>
    </cfRule>
    <cfRule type="expression" dxfId="11495" priority="179">
      <formula>Z$9&lt;8/24</formula>
    </cfRule>
  </conditionalFormatting>
  <conditionalFormatting sqref="Z11">
    <cfRule type="expression" dxfId="11494" priority="175">
      <formula>Z11&gt;$AG11</formula>
    </cfRule>
  </conditionalFormatting>
  <conditionalFormatting sqref="Z16">
    <cfRule type="expression" dxfId="11493" priority="171">
      <formula>Z$9&gt;=20/24</formula>
    </cfRule>
    <cfRule type="expression" dxfId="11492" priority="172">
      <formula>AND(Z$9&gt;=14/24,Z$9&lt;20/24)</formula>
    </cfRule>
    <cfRule type="expression" dxfId="11491" priority="173">
      <formula>AND(Z$9&gt;=8/24,Z$9&lt;14/24)</formula>
    </cfRule>
    <cfRule type="expression" dxfId="11490" priority="174">
      <formula>Z$9&lt;8/24</formula>
    </cfRule>
  </conditionalFormatting>
  <conditionalFormatting sqref="Z16">
    <cfRule type="expression" dxfId="11489" priority="170">
      <formula>Z16&gt;$AG16</formula>
    </cfRule>
  </conditionalFormatting>
  <conditionalFormatting sqref="Z33">
    <cfRule type="expression" dxfId="11488" priority="166">
      <formula>Z$9&gt;=20/24</formula>
    </cfRule>
    <cfRule type="expression" dxfId="11487" priority="167">
      <formula>AND(Z$9&gt;=14/24,Z$9&lt;20/24)</formula>
    </cfRule>
    <cfRule type="expression" dxfId="11486" priority="168">
      <formula>AND(Z$9&gt;=8/24,Z$9&lt;14/24)</formula>
    </cfRule>
    <cfRule type="expression" dxfId="11485" priority="169">
      <formula>Z$9&lt;8/24</formula>
    </cfRule>
  </conditionalFormatting>
  <conditionalFormatting sqref="Z33">
    <cfRule type="expression" dxfId="11484" priority="165">
      <formula>Z33&gt;$AG33</formula>
    </cfRule>
  </conditionalFormatting>
  <conditionalFormatting sqref="Z44">
    <cfRule type="expression" dxfId="11483" priority="161">
      <formula>Z$9&gt;=20/24</formula>
    </cfRule>
    <cfRule type="expression" dxfId="11482" priority="162">
      <formula>AND(Z$9&gt;=14/24,Z$9&lt;20/24)</formula>
    </cfRule>
    <cfRule type="expression" dxfId="11481" priority="163">
      <formula>AND(Z$9&gt;=8/24,Z$9&lt;14/24)</formula>
    </cfRule>
    <cfRule type="expression" dxfId="11480" priority="164">
      <formula>Z$9&lt;8/24</formula>
    </cfRule>
  </conditionalFormatting>
  <conditionalFormatting sqref="Z44">
    <cfRule type="expression" dxfId="11479" priority="160">
      <formula>Z44&gt;$AG44</formula>
    </cfRule>
  </conditionalFormatting>
  <conditionalFormatting sqref="Z117">
    <cfRule type="expression" dxfId="11478" priority="156">
      <formula>Z$9&gt;=20/24</formula>
    </cfRule>
    <cfRule type="expression" dxfId="11477" priority="157">
      <formula>AND(Z$9&gt;=14/24,Z$9&lt;20/24)</formula>
    </cfRule>
    <cfRule type="expression" dxfId="11476" priority="158">
      <formula>AND(Z$9&gt;=8/24,Z$9&lt;14/24)</formula>
    </cfRule>
    <cfRule type="expression" dxfId="11475" priority="159">
      <formula>Z$9&lt;8/24</formula>
    </cfRule>
  </conditionalFormatting>
  <conditionalFormatting sqref="AA109 AA111:AA116">
    <cfRule type="expression" dxfId="11474" priority="128">
      <formula>AA$9&gt;=20/24</formula>
    </cfRule>
    <cfRule type="expression" dxfId="11473" priority="129">
      <formula>AND(AA$9&gt;=14/24,AA$9&lt;20/24)</formula>
    </cfRule>
    <cfRule type="expression" dxfId="11472" priority="130">
      <formula>AND(AA$9&gt;=8/24,AA$9&lt;14/24)</formula>
    </cfRule>
    <cfRule type="expression" dxfId="11471" priority="131">
      <formula>AA$9&lt;8/24</formula>
    </cfRule>
  </conditionalFormatting>
  <conditionalFormatting sqref="AA99">
    <cfRule type="expression" dxfId="11470" priority="124">
      <formula>AA$9&gt;=20/24</formula>
    </cfRule>
    <cfRule type="expression" dxfId="11469" priority="125">
      <formula>AND(AA$9&gt;=14/24,AA$9&lt;20/24)</formula>
    </cfRule>
    <cfRule type="expression" dxfId="11468" priority="126">
      <formula>AND(AA$9&gt;=8/24,AA$9&lt;14/24)</formula>
    </cfRule>
    <cfRule type="expression" dxfId="11467" priority="127">
      <formula>AA$9&lt;8/24</formula>
    </cfRule>
  </conditionalFormatting>
  <conditionalFormatting sqref="AA71:AD71">
    <cfRule type="expression" dxfId="11466" priority="120">
      <formula>AA$9&gt;=20/24</formula>
    </cfRule>
    <cfRule type="expression" dxfId="11465" priority="121">
      <formula>AND(AA$9&gt;=14/24,AA$9&lt;20/24)</formula>
    </cfRule>
    <cfRule type="expression" dxfId="11464" priority="122">
      <formula>AND(AA$9&gt;=8/24,AA$9&lt;14/24)</formula>
    </cfRule>
    <cfRule type="expression" dxfId="11463" priority="123">
      <formula>AA$9&lt;8/24</formula>
    </cfRule>
  </conditionalFormatting>
  <conditionalFormatting sqref="AA86 AA100:AA106 AA72:AD73">
    <cfRule type="expression" dxfId="11462" priority="116">
      <formula>AA$9&gt;=20/24</formula>
    </cfRule>
    <cfRule type="expression" dxfId="11461" priority="117">
      <formula>AND(AA$9&gt;=14/24,AA$9&lt;20/24)</formula>
    </cfRule>
    <cfRule type="expression" dxfId="11460" priority="118">
      <formula>AND(AA$9&gt;=8/24,AA$9&lt;14/24)</formula>
    </cfRule>
    <cfRule type="expression" dxfId="11459" priority="119">
      <formula>AA$9&lt;8/24</formula>
    </cfRule>
  </conditionalFormatting>
  <conditionalFormatting sqref="AA53:AD57">
    <cfRule type="expression" dxfId="11458" priority="112">
      <formula>AA$9&gt;=20/24</formula>
    </cfRule>
    <cfRule type="expression" dxfId="11457" priority="113">
      <formula>AND(AA$9&gt;=14/24,AA$9&lt;20/24)</formula>
    </cfRule>
    <cfRule type="expression" dxfId="11456" priority="114">
      <formula>AND(AA$9&gt;=8/24,AA$9&lt;14/24)</formula>
    </cfRule>
    <cfRule type="expression" dxfId="11455" priority="115">
      <formula>AA$9&lt;8/24</formula>
    </cfRule>
  </conditionalFormatting>
  <conditionalFormatting sqref="AA53:AD57">
    <cfRule type="expression" dxfId="11454" priority="111">
      <formula>AA53&gt;$AG53</formula>
    </cfRule>
  </conditionalFormatting>
  <conditionalFormatting sqref="AA97 AA88">
    <cfRule type="expression" dxfId="11453" priority="107">
      <formula>AA$9&gt;=20/24</formula>
    </cfRule>
    <cfRule type="expression" dxfId="11452" priority="108">
      <formula>AND(AA$9&gt;=14/24,AA$9&lt;20/24)</formula>
    </cfRule>
    <cfRule type="expression" dxfId="11451" priority="109">
      <formula>AND(AA$9&gt;=8/24,AA$9&lt;14/24)</formula>
    </cfRule>
    <cfRule type="expression" dxfId="11450" priority="110">
      <formula>AA$9&lt;8/24</formula>
    </cfRule>
  </conditionalFormatting>
  <conditionalFormatting sqref="AA47">
    <cfRule type="expression" dxfId="11449" priority="103">
      <formula>AA$9&gt;=20/24</formula>
    </cfRule>
    <cfRule type="expression" dxfId="11448" priority="104">
      <formula>AND(AA$9&gt;=14/24,AA$9&lt;20/24)</formula>
    </cfRule>
    <cfRule type="expression" dxfId="11447" priority="105">
      <formula>AND(AA$9&gt;=8/24,AA$9&lt;14/24)</formula>
    </cfRule>
    <cfRule type="expression" dxfId="11446" priority="106">
      <formula>AA$9&lt;8/24</formula>
    </cfRule>
  </conditionalFormatting>
  <conditionalFormatting sqref="AA47">
    <cfRule type="expression" dxfId="11445" priority="102">
      <formula>AA47&gt;$AG47</formula>
    </cfRule>
  </conditionalFormatting>
  <conditionalFormatting sqref="AA67:AA69">
    <cfRule type="expression" dxfId="11444" priority="98">
      <formula>AA$9&gt;=20/24</formula>
    </cfRule>
    <cfRule type="expression" dxfId="11443" priority="99">
      <formula>AND(AA$9&gt;=14/24,AA$9&lt;20/24)</formula>
    </cfRule>
    <cfRule type="expression" dxfId="11442" priority="100">
      <formula>AND(AA$9&gt;=8/24,AA$9&lt;14/24)</formula>
    </cfRule>
    <cfRule type="expression" dxfId="11441" priority="101">
      <formula>AA$9&lt;8/24</formula>
    </cfRule>
  </conditionalFormatting>
  <conditionalFormatting sqref="AA67:AA69">
    <cfRule type="expression" dxfId="11440" priority="97">
      <formula>AA67&gt;$AG67</formula>
    </cfRule>
  </conditionalFormatting>
  <conditionalFormatting sqref="AA49:AD51">
    <cfRule type="expression" dxfId="11439" priority="93">
      <formula>AA$9&gt;=20/24</formula>
    </cfRule>
    <cfRule type="expression" dxfId="11438" priority="94">
      <formula>AND(AA$9&gt;=14/24,AA$9&lt;20/24)</formula>
    </cfRule>
    <cfRule type="expression" dxfId="11437" priority="95">
      <formula>AND(AA$9&gt;=8/24,AA$9&lt;14/24)</formula>
    </cfRule>
    <cfRule type="expression" dxfId="11436" priority="96">
      <formula>AA$9&lt;8/24</formula>
    </cfRule>
  </conditionalFormatting>
  <conditionalFormatting sqref="AA49:AD51">
    <cfRule type="expression" dxfId="11435" priority="92">
      <formula>AA49&gt;$AG49</formula>
    </cfRule>
  </conditionalFormatting>
  <conditionalFormatting sqref="AA107">
    <cfRule type="expression" dxfId="11434" priority="88">
      <formula>AA$9&gt;=20/24</formula>
    </cfRule>
    <cfRule type="expression" dxfId="11433" priority="89">
      <formula>AND(AA$9&gt;=14/24,AA$9&lt;20/24)</formula>
    </cfRule>
    <cfRule type="expression" dxfId="11432" priority="90">
      <formula>AND(AA$9&gt;=8/24,AA$9&lt;14/24)</formula>
    </cfRule>
    <cfRule type="expression" dxfId="11431" priority="91">
      <formula>AA$9&lt;8/24</formula>
    </cfRule>
  </conditionalFormatting>
  <conditionalFormatting sqref="AA110">
    <cfRule type="expression" dxfId="11430" priority="84">
      <formula>AA$9&gt;=20/24</formula>
    </cfRule>
    <cfRule type="expression" dxfId="11429" priority="85">
      <formula>AND(AA$9&gt;=14/24,AA$9&lt;20/24)</formula>
    </cfRule>
    <cfRule type="expression" dxfId="11428" priority="86">
      <formula>AND(AA$9&gt;=8/24,AA$9&lt;14/24)</formula>
    </cfRule>
    <cfRule type="expression" dxfId="11427" priority="87">
      <formula>AA$9&lt;8/24</formula>
    </cfRule>
  </conditionalFormatting>
  <conditionalFormatting sqref="AA96 AA83:AA85 AA74:AD75">
    <cfRule type="expression" dxfId="11426" priority="80">
      <formula>AA$9&gt;=20/24</formula>
    </cfRule>
    <cfRule type="expression" dxfId="11425" priority="81">
      <formula>AND(AA$9&gt;=14/24,AA$9&lt;20/24)</formula>
    </cfRule>
    <cfRule type="expression" dxfId="11424" priority="82">
      <formula>AND(AA$9&gt;=8/24,AA$9&lt;14/24)</formula>
    </cfRule>
    <cfRule type="expression" dxfId="11423" priority="83">
      <formula>AA$9&lt;8/24</formula>
    </cfRule>
  </conditionalFormatting>
  <conditionalFormatting sqref="AA87 AA89 AA98 AA70">
    <cfRule type="expression" dxfId="11422" priority="76">
      <formula>AA$9&gt;=20/24</formula>
    </cfRule>
    <cfRule type="expression" dxfId="11421" priority="77">
      <formula>AND(AA$9&gt;=14/24,AA$9&lt;20/24)</formula>
    </cfRule>
    <cfRule type="expression" dxfId="11420" priority="78">
      <formula>AND(AA$9&gt;=8/24,AA$9&lt;14/24)</formula>
    </cfRule>
    <cfRule type="expression" dxfId="11419" priority="79">
      <formula>AA$9&lt;8/24</formula>
    </cfRule>
  </conditionalFormatting>
  <conditionalFormatting sqref="AA70 AA65:AA66">
    <cfRule type="expression" dxfId="11418" priority="75">
      <formula>AA65&gt;$AG65</formula>
    </cfRule>
  </conditionalFormatting>
  <conditionalFormatting sqref="AA82">
    <cfRule type="expression" dxfId="11417" priority="71">
      <formula>AA$9&gt;=20/24</formula>
    </cfRule>
    <cfRule type="expression" dxfId="11416" priority="72">
      <formula>AND(AA$9&gt;=14/24,AA$9&lt;20/24)</formula>
    </cfRule>
    <cfRule type="expression" dxfId="11415" priority="73">
      <formula>AND(AA$9&gt;=8/24,AA$9&lt;14/24)</formula>
    </cfRule>
    <cfRule type="expression" dxfId="11414" priority="74">
      <formula>AA$9&lt;8/24</formula>
    </cfRule>
  </conditionalFormatting>
  <conditionalFormatting sqref="AA91:AA95">
    <cfRule type="expression" dxfId="11413" priority="67">
      <formula>AA$9&gt;=20/24</formula>
    </cfRule>
    <cfRule type="expression" dxfId="11412" priority="68">
      <formula>AND(AA$9&gt;=14/24,AA$9&lt;20/24)</formula>
    </cfRule>
    <cfRule type="expression" dxfId="11411" priority="69">
      <formula>AND(AA$9&gt;=8/24,AA$9&lt;14/24)</formula>
    </cfRule>
    <cfRule type="expression" dxfId="11410" priority="70">
      <formula>AA$9&lt;8/24</formula>
    </cfRule>
  </conditionalFormatting>
  <conditionalFormatting sqref="AA52">
    <cfRule type="expression" dxfId="11409" priority="63">
      <formula>AA$9&gt;=20/24</formula>
    </cfRule>
    <cfRule type="expression" dxfId="11408" priority="64">
      <formula>AND(AA$9&gt;=14/24,AA$9&lt;20/24)</formula>
    </cfRule>
    <cfRule type="expression" dxfId="11407" priority="65">
      <formula>AND(AA$9&gt;=8/24,AA$9&lt;14/24)</formula>
    </cfRule>
    <cfRule type="expression" dxfId="11406" priority="66">
      <formula>AA$9&lt;8/24</formula>
    </cfRule>
  </conditionalFormatting>
  <conditionalFormatting sqref="AA52">
    <cfRule type="expression" dxfId="11405" priority="62">
      <formula>AA52&gt;$AG52</formula>
    </cfRule>
  </conditionalFormatting>
  <conditionalFormatting sqref="AA34:AF43 AA45:AF45 AA12:AF15 AA17:AF32">
    <cfRule type="expression" dxfId="11404" priority="50">
      <formula>AA$9&gt;=20/24</formula>
    </cfRule>
    <cfRule type="expression" dxfId="11403" priority="51">
      <formula>AND(AA$9&gt;=14/24,AA$9&lt;20/24)</formula>
    </cfRule>
    <cfRule type="expression" dxfId="11402" priority="52">
      <formula>AND(AA$9&gt;=8/24,AA$9&lt;14/24)</formula>
    </cfRule>
    <cfRule type="expression" dxfId="11401" priority="53">
      <formula>AA$9&lt;8/24</formula>
    </cfRule>
  </conditionalFormatting>
  <conditionalFormatting sqref="AA34:AF43 AA45:AF45 AA12:AF15 AA17:AF32">
    <cfRule type="expression" dxfId="11400" priority="49">
      <formula>AA12&gt;$AG12</formula>
    </cfRule>
  </conditionalFormatting>
  <conditionalFormatting sqref="AA46:AF46">
    <cfRule type="expression" dxfId="11399" priority="45">
      <formula>AA$9&gt;=20/24</formula>
    </cfRule>
    <cfRule type="expression" dxfId="11398" priority="46">
      <formula>AND(AA$9&gt;=14/24,AA$9&lt;20/24)</formula>
    </cfRule>
    <cfRule type="expression" dxfId="11397" priority="47">
      <formula>AND(AA$9&gt;=8/24,AA$9&lt;14/24)</formula>
    </cfRule>
    <cfRule type="expression" dxfId="11396" priority="48">
      <formula>AA$9&lt;8/24</formula>
    </cfRule>
  </conditionalFormatting>
  <conditionalFormatting sqref="AA46:AF46">
    <cfRule type="expression" dxfId="11395" priority="44">
      <formula>AA46&gt;$AG46</formula>
    </cfRule>
  </conditionalFormatting>
  <conditionalFormatting sqref="Z58:AD58">
    <cfRule type="expression" dxfId="11394" priority="40">
      <formula>Z$9&gt;=20/24</formula>
    </cfRule>
    <cfRule type="expression" dxfId="11393" priority="41">
      <formula>AND(Z$9&gt;=14/24,Z$9&lt;20/24)</formula>
    </cfRule>
    <cfRule type="expression" dxfId="11392" priority="42">
      <formula>AND(Z$9&gt;=8/24,Z$9&lt;14/24)</formula>
    </cfRule>
    <cfRule type="expression" dxfId="11391" priority="43">
      <formula>Z$9&lt;8/24</formula>
    </cfRule>
  </conditionalFormatting>
  <conditionalFormatting sqref="Z58:AD58">
    <cfRule type="expression" dxfId="11390" priority="39">
      <formula>Z58&gt;$AG58</formula>
    </cfRule>
  </conditionalFormatting>
  <conditionalFormatting sqref="AA48">
    <cfRule type="expression" dxfId="11389" priority="34">
      <formula>AA48&gt;$AG48</formula>
    </cfRule>
  </conditionalFormatting>
  <conditionalFormatting sqref="AA59:AD64">
    <cfRule type="expression" dxfId="11388" priority="30">
      <formula>AA$9&gt;=20/24</formula>
    </cfRule>
    <cfRule type="expression" dxfId="11387" priority="31">
      <formula>AND(AA$9&gt;=14/24,AA$9&lt;20/24)</formula>
    </cfRule>
    <cfRule type="expression" dxfId="11386" priority="32">
      <formula>AND(AA$9&gt;=8/24,AA$9&lt;14/24)</formula>
    </cfRule>
    <cfRule type="expression" dxfId="11385" priority="33">
      <formula>AA$9&lt;8/24</formula>
    </cfRule>
  </conditionalFormatting>
  <conditionalFormatting sqref="AA59:AD64">
    <cfRule type="expression" dxfId="11384" priority="29">
      <formula>AA59&gt;$AG59</formula>
    </cfRule>
  </conditionalFormatting>
  <conditionalFormatting sqref="AA11:AF11">
    <cfRule type="expression" dxfId="11383" priority="21">
      <formula>AA$9&gt;=20/24</formula>
    </cfRule>
    <cfRule type="expression" dxfId="11382" priority="22">
      <formula>AND(AA$9&gt;=14/24,AA$9&lt;20/24)</formula>
    </cfRule>
    <cfRule type="expression" dxfId="11381" priority="23">
      <formula>AND(AA$9&gt;=8/24,AA$9&lt;14/24)</formula>
    </cfRule>
    <cfRule type="expression" dxfId="11380" priority="24">
      <formula>AA$9&lt;8/24</formula>
    </cfRule>
  </conditionalFormatting>
  <conditionalFormatting sqref="AA11:AF11">
    <cfRule type="expression" dxfId="11379" priority="20">
      <formula>AA11&gt;$AG11</formula>
    </cfRule>
  </conditionalFormatting>
  <conditionalFormatting sqref="AA16:AF16">
    <cfRule type="expression" dxfId="11378" priority="16">
      <formula>AA$9&gt;=20/24</formula>
    </cfRule>
    <cfRule type="expression" dxfId="11377" priority="17">
      <formula>AND(AA$9&gt;=14/24,AA$9&lt;20/24)</formula>
    </cfRule>
    <cfRule type="expression" dxfId="11376" priority="18">
      <formula>AND(AA$9&gt;=8/24,AA$9&lt;14/24)</formula>
    </cfRule>
    <cfRule type="expression" dxfId="11375" priority="19">
      <formula>AA$9&lt;8/24</formula>
    </cfRule>
  </conditionalFormatting>
  <conditionalFormatting sqref="AA16:AF16">
    <cfRule type="expression" dxfId="11374" priority="15">
      <formula>AA16&gt;$AG16</formula>
    </cfRule>
  </conditionalFormatting>
  <conditionalFormatting sqref="AA33:AF33">
    <cfRule type="expression" dxfId="11373" priority="11">
      <formula>AA$9&gt;=20/24</formula>
    </cfRule>
    <cfRule type="expression" dxfId="11372" priority="12">
      <formula>AND(AA$9&gt;=14/24,AA$9&lt;20/24)</formula>
    </cfRule>
    <cfRule type="expression" dxfId="11371" priority="13">
      <formula>AND(AA$9&gt;=8/24,AA$9&lt;14/24)</formula>
    </cfRule>
    <cfRule type="expression" dxfId="11370" priority="14">
      <formula>AA$9&lt;8/24</formula>
    </cfRule>
  </conditionalFormatting>
  <conditionalFormatting sqref="AA33:AF33">
    <cfRule type="expression" dxfId="11369" priority="10">
      <formula>AA33&gt;$AG33</formula>
    </cfRule>
  </conditionalFormatting>
  <conditionalFormatting sqref="AA44:AF44">
    <cfRule type="expression" dxfId="11368" priority="6">
      <formula>AA$9&gt;=20/24</formula>
    </cfRule>
    <cfRule type="expression" dxfId="11367" priority="7">
      <formula>AND(AA$9&gt;=14/24,AA$9&lt;20/24)</formula>
    </cfRule>
    <cfRule type="expression" dxfId="11366" priority="8">
      <formula>AND(AA$9&gt;=8/24,AA$9&lt;14/24)</formula>
    </cfRule>
    <cfRule type="expression" dxfId="11365" priority="9">
      <formula>AA$9&lt;8/24</formula>
    </cfRule>
  </conditionalFormatting>
  <conditionalFormatting sqref="AA44:AF44">
    <cfRule type="expression" dxfId="11364" priority="5">
      <formula>AA44&gt;$AG44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1" id="{961026C1-8C98-4265-B391-7842B3E17D9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12" id="{F2BFB4E6-4CF8-457F-8F0A-CF95003DBE6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3" id="{D36DC9A3-331B-4ECB-8268-57C7C74B139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4" id="{2BD6918C-CB2B-40BF-9262-4408B4FB8B1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AB90:AF90 C90:Y90</xm:sqref>
        </x14:conditionalFormatting>
        <x14:conditionalFormatting xmlns:xm="http://schemas.microsoft.com/office/excel/2006/main">
          <x14:cfRule type="expression" priority="399" id="{8DD3378D-D107-43E4-BFE4-9824C4C980D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00" id="{5D9E3DC0-0E29-4DF6-9BD6-20F3026DC6E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01" id="{9EC46EF4-36FD-4754-8DF9-2C2F97D040C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2" id="{7D36C3C9-8336-4BB3-8DE1-E2E6B643D3A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  <x14:conditionalFormatting xmlns:xm="http://schemas.microsoft.com/office/excel/2006/main">
          <x14:cfRule type="expression" priority="213" id="{1C2AEDCC-80EF-4A7F-AF5B-152994E1514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4" id="{AD183507-4DED-4665-8044-E3E2D4189C8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5" id="{4E07F98D-3541-4AB4-955B-0E294CE9710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16" id="{DEC0C8C9-8382-46B2-9AFA-3F3D676BA19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Z90</xm:sqref>
        </x14:conditionalFormatting>
        <x14:conditionalFormatting xmlns:xm="http://schemas.microsoft.com/office/excel/2006/main">
          <x14:cfRule type="expression" priority="58" id="{9DA2BF39-5022-4A6A-A4F3-EF5BF0A8F9A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9" id="{9F802682-4DAD-4A78-8671-9EC9C4130F3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0" id="{5148146A-3B03-4E5A-BD5C-66FA3B7B4F0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1" id="{758071E1-350B-4B59-A0E7-B160F77B61A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AA90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CJ278"/>
  <sheetViews>
    <sheetView workbookViewId="0">
      <pane ySplit="10" topLeftCell="A34" activePane="bottomLeft" state="frozen"/>
      <selection activeCell="Z85" sqref="Z85"/>
      <selection pane="bottomLeft" activeCell="L123" sqref="L12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2080/02/7</v>
      </c>
      <c r="C4" s="191"/>
      <c r="D4" s="191"/>
      <c r="E4" s="192" t="str">
        <f ca="1">"2079/"&amp;"12/"&amp;INT(MID(CELL("filename",G6),FIND("]",CELL("filename",G6))+1,200))</f>
        <v>2079/12/7</v>
      </c>
      <c r="F4" s="192"/>
      <c r="G4" s="192"/>
      <c r="H4" s="192" t="str">
        <f ca="1">TEXT(E4,"dddd")</f>
        <v>Thursday</v>
      </c>
      <c r="I4" s="192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60</v>
      </c>
      <c r="C5" s="30">
        <f t="shared" si="0"/>
        <v>56</v>
      </c>
      <c r="D5" s="30">
        <f t="shared" si="0"/>
        <v>51</v>
      </c>
      <c r="E5" s="30">
        <f t="shared" si="0"/>
        <v>141</v>
      </c>
      <c r="F5" s="30">
        <f t="shared" si="0"/>
        <v>140</v>
      </c>
      <c r="G5" s="30">
        <f t="shared" si="0"/>
        <v>152</v>
      </c>
      <c r="H5" s="30">
        <f t="shared" si="0"/>
        <v>230</v>
      </c>
      <c r="I5" s="30">
        <f t="shared" si="0"/>
        <v>273</v>
      </c>
      <c r="J5" s="30">
        <f t="shared" si="0"/>
        <v>283</v>
      </c>
      <c r="K5" s="30">
        <f t="shared" si="0"/>
        <v>280</v>
      </c>
      <c r="L5" s="30">
        <f t="shared" si="0"/>
        <v>280</v>
      </c>
      <c r="M5" s="30">
        <f t="shared" si="0"/>
        <v>280</v>
      </c>
      <c r="N5" s="30">
        <f t="shared" si="0"/>
        <v>285</v>
      </c>
      <c r="O5" s="30">
        <f t="shared" si="0"/>
        <v>298</v>
      </c>
      <c r="P5" s="30">
        <f t="shared" si="0"/>
        <v>298</v>
      </c>
      <c r="Q5" s="30">
        <f t="shared" si="0"/>
        <v>288</v>
      </c>
      <c r="R5" s="30">
        <f t="shared" si="0"/>
        <v>271.2</v>
      </c>
      <c r="S5" s="30">
        <f t="shared" si="0"/>
        <v>280.2</v>
      </c>
      <c r="T5" s="30">
        <f t="shared" si="0"/>
        <v>301</v>
      </c>
      <c r="U5" s="30">
        <f t="shared" si="0"/>
        <v>264</v>
      </c>
      <c r="V5" s="30">
        <f t="shared" si="0"/>
        <v>279.09999999999997</v>
      </c>
      <c r="W5" s="30">
        <f t="shared" si="0"/>
        <v>275</v>
      </c>
      <c r="X5" s="30">
        <f t="shared" si="0"/>
        <v>280</v>
      </c>
      <c r="Y5" s="30">
        <f t="shared" si="0"/>
        <v>301.7</v>
      </c>
      <c r="Z5" s="30">
        <f t="shared" si="0"/>
        <v>283.8</v>
      </c>
      <c r="AA5" s="30">
        <f t="shared" si="0"/>
        <v>314.8</v>
      </c>
      <c r="AB5" s="30">
        <f t="shared" si="0"/>
        <v>165.2</v>
      </c>
      <c r="AC5" s="30">
        <f t="shared" si="0"/>
        <v>161</v>
      </c>
      <c r="AD5" s="30">
        <f t="shared" si="0"/>
        <v>82</v>
      </c>
      <c r="AE5" s="30">
        <f t="shared" si="0"/>
        <v>81</v>
      </c>
      <c r="AF5" s="30">
        <f>B82</f>
        <v>210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1348MW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Load=1151</v>
      </c>
      <c r="B7" s="35">
        <f t="shared" ref="B7:AF7" si="1">B89</f>
        <v>1244.8400000000001</v>
      </c>
      <c r="C7" s="35">
        <f t="shared" si="1"/>
        <v>1232.74</v>
      </c>
      <c r="D7" s="35">
        <f t="shared" si="1"/>
        <v>1172.6399999999999</v>
      </c>
      <c r="E7" s="35">
        <f t="shared" si="1"/>
        <v>1150.54</v>
      </c>
      <c r="F7" s="35">
        <f t="shared" si="1"/>
        <v>1157.94</v>
      </c>
      <c r="G7" s="35">
        <f t="shared" si="1"/>
        <v>1180.6399999999999</v>
      </c>
      <c r="H7" s="35">
        <f t="shared" si="1"/>
        <v>1164.8400000000001</v>
      </c>
      <c r="I7" s="35">
        <f t="shared" si="1"/>
        <v>1235.8400000000001</v>
      </c>
      <c r="J7" s="35">
        <f t="shared" si="1"/>
        <v>1240.24</v>
      </c>
      <c r="K7" s="35">
        <f t="shared" si="1"/>
        <v>1290.8400000000001</v>
      </c>
      <c r="L7" s="35">
        <f t="shared" si="1"/>
        <v>1341.64</v>
      </c>
      <c r="M7" s="35">
        <f t="shared" si="1"/>
        <v>1348.3400000000001</v>
      </c>
      <c r="N7" s="35">
        <f>N89</f>
        <v>1345.8400000000001</v>
      </c>
      <c r="O7" s="35">
        <f t="shared" si="1"/>
        <v>1362.44</v>
      </c>
      <c r="P7" s="35">
        <f t="shared" si="1"/>
        <v>1470.04</v>
      </c>
      <c r="Q7" s="35">
        <f t="shared" si="1"/>
        <v>1370.34</v>
      </c>
      <c r="R7" s="35">
        <f t="shared" si="1"/>
        <v>1387.34</v>
      </c>
      <c r="S7" s="35">
        <f t="shared" si="1"/>
        <v>1332.5400000000002</v>
      </c>
      <c r="T7" s="35">
        <f t="shared" si="1"/>
        <v>1154.3400000000001</v>
      </c>
      <c r="U7" s="35">
        <f t="shared" si="1"/>
        <v>1361.64</v>
      </c>
      <c r="V7" s="35">
        <f t="shared" si="1"/>
        <v>1317.64</v>
      </c>
      <c r="W7" s="35">
        <f t="shared" si="1"/>
        <v>1305.94</v>
      </c>
      <c r="X7" s="35">
        <f t="shared" si="1"/>
        <v>1279.0400000000002</v>
      </c>
      <c r="Y7" s="35">
        <f t="shared" si="1"/>
        <v>1370.64</v>
      </c>
      <c r="Z7" s="35">
        <f t="shared" si="1"/>
        <v>1418.4400000000003</v>
      </c>
      <c r="AA7" s="35">
        <f t="shared" si="1"/>
        <v>1415.94</v>
      </c>
      <c r="AB7" s="35">
        <f t="shared" si="1"/>
        <v>1552.04</v>
      </c>
      <c r="AC7" s="35">
        <f t="shared" si="1"/>
        <v>1511.44</v>
      </c>
      <c r="AD7" s="35">
        <f t="shared" si="1"/>
        <v>1622.84</v>
      </c>
      <c r="AE7" s="35">
        <f t="shared" si="1"/>
        <v>1544.0400000000002</v>
      </c>
      <c r="AF7" s="35">
        <f t="shared" si="1"/>
        <v>1493.0400000000002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44</v>
      </c>
      <c r="C11" s="45">
        <v>44</v>
      </c>
      <c r="D11" s="45">
        <v>56</v>
      </c>
      <c r="E11" s="45">
        <v>56</v>
      </c>
      <c r="F11" s="45">
        <v>56</v>
      </c>
      <c r="G11" s="45">
        <v>56</v>
      </c>
      <c r="H11" s="45">
        <v>56</v>
      </c>
      <c r="I11" s="45">
        <v>56</v>
      </c>
      <c r="J11" s="45">
        <v>56</v>
      </c>
      <c r="K11" s="45">
        <v>56</v>
      </c>
      <c r="L11" s="45">
        <v>49</v>
      </c>
      <c r="M11" s="45">
        <v>49</v>
      </c>
      <c r="N11" s="45">
        <v>49</v>
      </c>
      <c r="O11" s="45">
        <v>49</v>
      </c>
      <c r="P11" s="45">
        <v>49</v>
      </c>
      <c r="Q11" s="45">
        <v>49</v>
      </c>
      <c r="R11" s="45">
        <v>49</v>
      </c>
      <c r="S11" s="45">
        <v>46</v>
      </c>
      <c r="T11" s="45">
        <v>46</v>
      </c>
      <c r="U11" s="45">
        <v>46</v>
      </c>
      <c r="V11" s="45">
        <v>46</v>
      </c>
      <c r="W11" s="45">
        <v>46</v>
      </c>
      <c r="X11" s="45">
        <v>38</v>
      </c>
      <c r="Y11" s="45">
        <v>36</v>
      </c>
      <c r="Z11" s="45">
        <v>36</v>
      </c>
      <c r="AA11" s="45">
        <v>36</v>
      </c>
      <c r="AB11" s="45">
        <v>36</v>
      </c>
      <c r="AC11" s="45">
        <v>36</v>
      </c>
      <c r="AD11" s="45">
        <v>36</v>
      </c>
      <c r="AE11" s="45">
        <v>36</v>
      </c>
      <c r="AF11" s="45">
        <v>36</v>
      </c>
      <c r="AG11" s="46">
        <v>86</v>
      </c>
      <c r="AH11" s="47">
        <f t="shared" ref="AH11:AH74" si="2">MAX(B11:AF11)</f>
        <v>56</v>
      </c>
      <c r="AI11" s="48">
        <f t="shared" ref="AI11:AI74" si="3">MIN(B11:AF11)</f>
        <v>36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18</v>
      </c>
      <c r="C12" s="45">
        <v>28.8</v>
      </c>
      <c r="D12" s="45">
        <v>37.700000000000003</v>
      </c>
      <c r="E12" s="45">
        <v>37.700000000000003</v>
      </c>
      <c r="F12" s="45">
        <v>37.700000000000003</v>
      </c>
      <c r="G12" s="45">
        <v>37.700000000000003</v>
      </c>
      <c r="H12" s="45">
        <v>29</v>
      </c>
      <c r="I12" s="45">
        <v>29</v>
      </c>
      <c r="J12" s="45">
        <v>27</v>
      </c>
      <c r="K12" s="45">
        <v>27</v>
      </c>
      <c r="L12" s="45">
        <v>27</v>
      </c>
      <c r="M12" s="45">
        <v>33.700000000000003</v>
      </c>
      <c r="N12" s="45">
        <v>33.700000000000003</v>
      </c>
      <c r="O12" s="45">
        <v>25</v>
      </c>
      <c r="P12" s="45">
        <v>25</v>
      </c>
      <c r="Q12" s="45">
        <v>25</v>
      </c>
      <c r="R12" s="45">
        <v>25</v>
      </c>
      <c r="S12" s="45">
        <v>28.5</v>
      </c>
      <c r="T12" s="45">
        <v>28.5</v>
      </c>
      <c r="U12" s="45">
        <v>28.5</v>
      </c>
      <c r="V12" s="45">
        <v>28.5</v>
      </c>
      <c r="W12" s="45">
        <v>28.5</v>
      </c>
      <c r="X12" s="45">
        <v>28.5</v>
      </c>
      <c r="Y12" s="45">
        <v>21</v>
      </c>
      <c r="Z12" s="45">
        <v>21</v>
      </c>
      <c r="AA12" s="45">
        <v>21</v>
      </c>
      <c r="AB12" s="45">
        <v>21</v>
      </c>
      <c r="AC12" s="45">
        <v>21</v>
      </c>
      <c r="AD12" s="45">
        <v>21</v>
      </c>
      <c r="AE12" s="45">
        <v>21</v>
      </c>
      <c r="AF12" s="45">
        <v>21</v>
      </c>
      <c r="AG12" s="46">
        <v>52.4</v>
      </c>
      <c r="AH12" s="47">
        <f t="shared" si="2"/>
        <v>37.700000000000003</v>
      </c>
      <c r="AI12" s="48">
        <f t="shared" si="3"/>
        <v>18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50</v>
      </c>
      <c r="C13" s="45">
        <v>50</v>
      </c>
      <c r="D13" s="45">
        <v>50</v>
      </c>
      <c r="E13" s="45">
        <v>50</v>
      </c>
      <c r="F13" s="45">
        <v>50</v>
      </c>
      <c r="G13" s="45">
        <v>50</v>
      </c>
      <c r="H13" s="45">
        <v>50</v>
      </c>
      <c r="I13" s="45">
        <v>50</v>
      </c>
      <c r="J13" s="45">
        <v>50</v>
      </c>
      <c r="K13" s="45">
        <v>50</v>
      </c>
      <c r="L13" s="45">
        <v>50</v>
      </c>
      <c r="M13" s="45">
        <v>50</v>
      </c>
      <c r="N13" s="45">
        <v>50</v>
      </c>
      <c r="O13" s="45">
        <v>50</v>
      </c>
      <c r="P13" s="45">
        <v>50</v>
      </c>
      <c r="Q13" s="45">
        <v>50</v>
      </c>
      <c r="R13" s="45">
        <v>50</v>
      </c>
      <c r="S13" s="45">
        <v>50.5</v>
      </c>
      <c r="T13" s="45">
        <v>50.5</v>
      </c>
      <c r="U13" s="45">
        <v>50.5</v>
      </c>
      <c r="V13" s="45">
        <v>50.5</v>
      </c>
      <c r="W13" s="45">
        <v>50.5</v>
      </c>
      <c r="X13" s="45">
        <v>50.5</v>
      </c>
      <c r="Y13" s="45">
        <v>50.4</v>
      </c>
      <c r="Z13" s="45">
        <v>50.4</v>
      </c>
      <c r="AA13" s="45">
        <v>50.4</v>
      </c>
      <c r="AB13" s="45">
        <v>50.4</v>
      </c>
      <c r="AC13" s="45">
        <v>50.4</v>
      </c>
      <c r="AD13" s="45">
        <v>50.4</v>
      </c>
      <c r="AE13" s="45">
        <v>50.4</v>
      </c>
      <c r="AF13" s="45">
        <v>50.4</v>
      </c>
      <c r="AG13" s="50">
        <v>50</v>
      </c>
      <c r="AH13" s="47">
        <f t="shared" si="2"/>
        <v>50.5</v>
      </c>
      <c r="AI13" s="48">
        <f t="shared" si="3"/>
        <v>50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29.7</v>
      </c>
      <c r="C14" s="45">
        <v>28.5</v>
      </c>
      <c r="D14" s="45">
        <v>28.4</v>
      </c>
      <c r="E14" s="45">
        <v>28.4</v>
      </c>
      <c r="F14" s="45">
        <v>28.4</v>
      </c>
      <c r="G14" s="45">
        <v>28.4</v>
      </c>
      <c r="H14" s="45">
        <v>28.4</v>
      </c>
      <c r="I14" s="45">
        <v>28.4</v>
      </c>
      <c r="J14" s="45">
        <v>28.4</v>
      </c>
      <c r="K14" s="45">
        <v>28.4</v>
      </c>
      <c r="L14" s="45">
        <v>28.4</v>
      </c>
      <c r="M14" s="45">
        <v>24.6</v>
      </c>
      <c r="N14" s="45">
        <v>24.6</v>
      </c>
      <c r="O14" s="45">
        <v>24.6</v>
      </c>
      <c r="P14" s="45">
        <v>24.6</v>
      </c>
      <c r="Q14" s="45">
        <v>24.6</v>
      </c>
      <c r="R14" s="45">
        <v>24.6</v>
      </c>
      <c r="S14" s="45">
        <v>24.5</v>
      </c>
      <c r="T14" s="45">
        <v>24.5</v>
      </c>
      <c r="U14" s="45">
        <v>24.5</v>
      </c>
      <c r="V14" s="45">
        <v>24.5</v>
      </c>
      <c r="W14" s="45">
        <v>24.5</v>
      </c>
      <c r="X14" s="45">
        <v>24.5</v>
      </c>
      <c r="Y14" s="45">
        <v>23.9</v>
      </c>
      <c r="Z14" s="45">
        <v>23.9</v>
      </c>
      <c r="AA14" s="45">
        <v>23.9</v>
      </c>
      <c r="AB14" s="45">
        <v>23.9</v>
      </c>
      <c r="AC14" s="45">
        <v>23.9</v>
      </c>
      <c r="AD14" s="45">
        <v>23.9</v>
      </c>
      <c r="AE14" s="45">
        <v>23.9</v>
      </c>
      <c r="AF14" s="45">
        <v>23.9</v>
      </c>
      <c r="AG14" s="50">
        <v>45</v>
      </c>
      <c r="AH14" s="47">
        <f t="shared" si="2"/>
        <v>29.7</v>
      </c>
      <c r="AI14" s="48">
        <f t="shared" si="3"/>
        <v>23.9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20</v>
      </c>
      <c r="C15" s="45">
        <v>20</v>
      </c>
      <c r="D15" s="45">
        <v>20</v>
      </c>
      <c r="E15" s="45">
        <v>5</v>
      </c>
      <c r="F15" s="45">
        <v>5</v>
      </c>
      <c r="G15" s="45">
        <v>5</v>
      </c>
      <c r="H15" s="45">
        <v>5</v>
      </c>
      <c r="I15" s="45">
        <v>10</v>
      </c>
      <c r="J15" s="45">
        <v>10</v>
      </c>
      <c r="K15" s="45">
        <v>10</v>
      </c>
      <c r="L15" s="45">
        <v>25</v>
      </c>
      <c r="M15" s="45">
        <v>25</v>
      </c>
      <c r="N15" s="45">
        <v>25</v>
      </c>
      <c r="O15" s="45">
        <v>25</v>
      </c>
      <c r="P15" s="45">
        <v>25</v>
      </c>
      <c r="Q15" s="45">
        <v>25</v>
      </c>
      <c r="R15" s="45">
        <v>25</v>
      </c>
      <c r="S15" s="45">
        <v>31</v>
      </c>
      <c r="T15" s="45">
        <v>31</v>
      </c>
      <c r="U15" s="45">
        <v>31</v>
      </c>
      <c r="V15" s="45">
        <v>31</v>
      </c>
      <c r="W15" s="45">
        <v>31</v>
      </c>
      <c r="X15" s="45">
        <v>31</v>
      </c>
      <c r="Y15" s="45">
        <v>35</v>
      </c>
      <c r="Z15" s="45">
        <v>35</v>
      </c>
      <c r="AA15" s="45">
        <v>35</v>
      </c>
      <c r="AB15" s="45">
        <v>35</v>
      </c>
      <c r="AC15" s="45">
        <v>35</v>
      </c>
      <c r="AD15" s="45">
        <v>35</v>
      </c>
      <c r="AE15" s="45">
        <v>35</v>
      </c>
      <c r="AF15" s="45">
        <v>35</v>
      </c>
      <c r="AG15" s="50">
        <v>42</v>
      </c>
      <c r="AH15" s="47">
        <f t="shared" si="2"/>
        <v>35</v>
      </c>
      <c r="AI15" s="48">
        <f t="shared" si="3"/>
        <v>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22</v>
      </c>
      <c r="C16" s="45">
        <v>22</v>
      </c>
      <c r="D16" s="45">
        <v>22</v>
      </c>
      <c r="E16" s="45">
        <v>22</v>
      </c>
      <c r="F16" s="45">
        <v>22</v>
      </c>
      <c r="G16" s="45">
        <v>22</v>
      </c>
      <c r="H16" s="45">
        <v>22</v>
      </c>
      <c r="I16" s="45">
        <v>22</v>
      </c>
      <c r="J16" s="45">
        <v>22</v>
      </c>
      <c r="K16" s="45">
        <v>22</v>
      </c>
      <c r="L16" s="45">
        <v>22</v>
      </c>
      <c r="M16" s="45">
        <v>22</v>
      </c>
      <c r="N16" s="45">
        <v>22</v>
      </c>
      <c r="O16" s="45">
        <v>22</v>
      </c>
      <c r="P16" s="45">
        <v>22</v>
      </c>
      <c r="Q16" s="45">
        <v>22</v>
      </c>
      <c r="R16" s="45">
        <v>22</v>
      </c>
      <c r="S16" s="45">
        <v>22</v>
      </c>
      <c r="T16" s="45">
        <v>22</v>
      </c>
      <c r="U16" s="45">
        <v>22</v>
      </c>
      <c r="V16" s="45">
        <v>22</v>
      </c>
      <c r="W16" s="45">
        <v>22</v>
      </c>
      <c r="X16" s="45">
        <v>22</v>
      </c>
      <c r="Y16" s="45">
        <v>22</v>
      </c>
      <c r="Z16" s="45">
        <v>22</v>
      </c>
      <c r="AA16" s="45">
        <v>22</v>
      </c>
      <c r="AB16" s="45">
        <v>22</v>
      </c>
      <c r="AC16" s="45">
        <v>22</v>
      </c>
      <c r="AD16" s="45">
        <v>22</v>
      </c>
      <c r="AE16" s="45">
        <v>22</v>
      </c>
      <c r="AF16" s="45">
        <v>22</v>
      </c>
      <c r="AG16" s="50">
        <v>36</v>
      </c>
      <c r="AH16" s="47">
        <f t="shared" si="2"/>
        <v>22</v>
      </c>
      <c r="AI16" s="48">
        <f t="shared" si="3"/>
        <v>22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14.6</v>
      </c>
      <c r="C17" s="45">
        <v>14.6</v>
      </c>
      <c r="D17" s="45">
        <v>14.6</v>
      </c>
      <c r="E17" s="45">
        <v>14.6</v>
      </c>
      <c r="F17" s="45">
        <v>14.6</v>
      </c>
      <c r="G17" s="45">
        <v>14.6</v>
      </c>
      <c r="H17" s="45">
        <v>14.6</v>
      </c>
      <c r="I17" s="45">
        <v>14.6</v>
      </c>
      <c r="J17" s="45">
        <v>14.6</v>
      </c>
      <c r="K17" s="45">
        <v>14.6</v>
      </c>
      <c r="L17" s="45">
        <v>14.6</v>
      </c>
      <c r="M17" s="45">
        <v>14.6</v>
      </c>
      <c r="N17" s="45">
        <v>14.6</v>
      </c>
      <c r="O17" s="45">
        <v>14.6</v>
      </c>
      <c r="P17" s="45">
        <v>14.6</v>
      </c>
      <c r="Q17" s="45">
        <v>14.6</v>
      </c>
      <c r="R17" s="45">
        <v>14.6</v>
      </c>
      <c r="S17" s="45">
        <v>14.6</v>
      </c>
      <c r="T17" s="45">
        <v>14.6</v>
      </c>
      <c r="U17" s="45">
        <v>14.6</v>
      </c>
      <c r="V17" s="45">
        <v>14.6</v>
      </c>
      <c r="W17" s="45">
        <v>14.6</v>
      </c>
      <c r="X17" s="45">
        <v>14.6</v>
      </c>
      <c r="Y17" s="45">
        <v>14.6</v>
      </c>
      <c r="Z17" s="45">
        <v>14.6</v>
      </c>
      <c r="AA17" s="45">
        <v>14.6</v>
      </c>
      <c r="AB17" s="45">
        <v>14.6</v>
      </c>
      <c r="AC17" s="45">
        <v>14.6</v>
      </c>
      <c r="AD17" s="45">
        <v>14.6</v>
      </c>
      <c r="AE17" s="45">
        <v>14.6</v>
      </c>
      <c r="AF17" s="45">
        <v>14.6</v>
      </c>
      <c r="AG17" s="50">
        <v>36</v>
      </c>
      <c r="AH17" s="47">
        <f t="shared" si="2"/>
        <v>14.6</v>
      </c>
      <c r="AI17" s="48">
        <f t="shared" si="3"/>
        <v>14.6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15</v>
      </c>
      <c r="M18" s="45">
        <v>15</v>
      </c>
      <c r="N18" s="45">
        <v>15</v>
      </c>
      <c r="O18" s="45">
        <v>15</v>
      </c>
      <c r="P18" s="45">
        <v>15</v>
      </c>
      <c r="Q18" s="45">
        <v>15</v>
      </c>
      <c r="R18" s="45">
        <v>15</v>
      </c>
      <c r="S18" s="45">
        <v>2.8</v>
      </c>
      <c r="T18" s="45">
        <v>2.8</v>
      </c>
      <c r="U18" s="45">
        <v>2.8</v>
      </c>
      <c r="V18" s="45">
        <v>2.8</v>
      </c>
      <c r="W18" s="45">
        <v>2.8</v>
      </c>
      <c r="X18" s="45">
        <v>2.8</v>
      </c>
      <c r="Y18" s="45">
        <v>2.8</v>
      </c>
      <c r="Z18" s="45">
        <v>2.8</v>
      </c>
      <c r="AA18" s="45">
        <v>2.8</v>
      </c>
      <c r="AB18" s="45">
        <v>2.8</v>
      </c>
      <c r="AC18" s="45">
        <v>2.8</v>
      </c>
      <c r="AD18" s="45">
        <v>2.8</v>
      </c>
      <c r="AE18" s="45">
        <v>0</v>
      </c>
      <c r="AF18" s="45">
        <v>0</v>
      </c>
      <c r="AG18" s="51">
        <v>30</v>
      </c>
      <c r="AH18" s="47">
        <f t="shared" si="2"/>
        <v>15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19.399999999999999</v>
      </c>
      <c r="C19" s="45">
        <v>15</v>
      </c>
      <c r="D19" s="45">
        <v>15</v>
      </c>
      <c r="E19" s="45">
        <v>15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10.7</v>
      </c>
      <c r="T19" s="45">
        <v>10.7</v>
      </c>
      <c r="U19" s="45">
        <v>10.7</v>
      </c>
      <c r="V19" s="45">
        <v>10.7</v>
      </c>
      <c r="W19" s="45">
        <v>10.7</v>
      </c>
      <c r="X19" s="45">
        <v>10.7</v>
      </c>
      <c r="Y19" s="45">
        <v>10.7</v>
      </c>
      <c r="Z19" s="45">
        <v>10.7</v>
      </c>
      <c r="AA19" s="45">
        <v>10.7</v>
      </c>
      <c r="AB19" s="45">
        <v>10.7</v>
      </c>
      <c r="AC19" s="45">
        <v>10.7</v>
      </c>
      <c r="AD19" s="45">
        <v>10.7</v>
      </c>
      <c r="AE19" s="45">
        <v>10.7</v>
      </c>
      <c r="AF19" s="45">
        <v>10.7</v>
      </c>
      <c r="AG19" s="50">
        <v>24.2</v>
      </c>
      <c r="AH19" s="47">
        <f t="shared" si="2"/>
        <v>19.399999999999999</v>
      </c>
      <c r="AI19" s="48">
        <f t="shared" si="3"/>
        <v>10.7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</v>
      </c>
      <c r="C20" s="45">
        <v>13</v>
      </c>
      <c r="D20" s="45">
        <v>13</v>
      </c>
      <c r="E20" s="45">
        <v>13</v>
      </c>
      <c r="F20" s="45">
        <v>13</v>
      </c>
      <c r="G20" s="45">
        <v>13</v>
      </c>
      <c r="H20" s="45">
        <v>13</v>
      </c>
      <c r="I20" s="45">
        <v>13</v>
      </c>
      <c r="J20" s="45">
        <v>13</v>
      </c>
      <c r="K20" s="45">
        <v>13</v>
      </c>
      <c r="L20" s="45">
        <v>13</v>
      </c>
      <c r="M20" s="45">
        <v>13</v>
      </c>
      <c r="N20" s="45">
        <v>13</v>
      </c>
      <c r="O20" s="45">
        <v>13</v>
      </c>
      <c r="P20" s="45">
        <v>13</v>
      </c>
      <c r="Q20" s="45">
        <v>13</v>
      </c>
      <c r="R20" s="45">
        <v>13</v>
      </c>
      <c r="S20" s="45">
        <v>13</v>
      </c>
      <c r="T20" s="45">
        <v>13</v>
      </c>
      <c r="U20" s="45">
        <v>13</v>
      </c>
      <c r="V20" s="45">
        <v>13</v>
      </c>
      <c r="W20" s="45">
        <v>13</v>
      </c>
      <c r="X20" s="45">
        <v>13</v>
      </c>
      <c r="Y20" s="45">
        <v>13</v>
      </c>
      <c r="Z20" s="45">
        <v>13</v>
      </c>
      <c r="AA20" s="45">
        <v>13</v>
      </c>
      <c r="AB20" s="45">
        <v>13</v>
      </c>
      <c r="AC20" s="45">
        <v>13</v>
      </c>
      <c r="AD20" s="45">
        <v>13</v>
      </c>
      <c r="AE20" s="45">
        <v>13</v>
      </c>
      <c r="AF20" s="45">
        <v>13</v>
      </c>
      <c r="AG20" s="50">
        <v>28</v>
      </c>
      <c r="AH20" s="47">
        <f t="shared" si="2"/>
        <v>13</v>
      </c>
      <c r="AI20" s="48">
        <f t="shared" si="3"/>
        <v>13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15</v>
      </c>
      <c r="M21" s="45">
        <v>15</v>
      </c>
      <c r="N21" s="45">
        <v>15</v>
      </c>
      <c r="O21" s="45">
        <v>13</v>
      </c>
      <c r="P21" s="45">
        <v>13</v>
      </c>
      <c r="Q21" s="45">
        <v>13</v>
      </c>
      <c r="R21" s="45">
        <v>13</v>
      </c>
      <c r="S21" s="45">
        <v>16</v>
      </c>
      <c r="T21" s="45">
        <v>15</v>
      </c>
      <c r="U21" s="45">
        <v>13</v>
      </c>
      <c r="V21" s="45">
        <v>12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0</v>
      </c>
      <c r="AF21" s="45">
        <v>0</v>
      </c>
      <c r="AG21" s="51">
        <v>30</v>
      </c>
      <c r="AH21" s="47">
        <f t="shared" si="2"/>
        <v>16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26.1</v>
      </c>
      <c r="C22" s="45">
        <v>26.1</v>
      </c>
      <c r="D22" s="45">
        <v>26.1</v>
      </c>
      <c r="E22" s="45">
        <v>26.1</v>
      </c>
      <c r="F22" s="45">
        <v>20.6</v>
      </c>
      <c r="G22" s="45">
        <v>20.6</v>
      </c>
      <c r="H22" s="45">
        <v>20.6</v>
      </c>
      <c r="I22" s="45">
        <v>20.6</v>
      </c>
      <c r="J22" s="45">
        <v>20.6</v>
      </c>
      <c r="K22" s="45">
        <v>20.6</v>
      </c>
      <c r="L22" s="45">
        <v>20.6</v>
      </c>
      <c r="M22" s="45">
        <v>20.6</v>
      </c>
      <c r="N22" s="45">
        <v>20.6</v>
      </c>
      <c r="O22" s="45">
        <v>20.6</v>
      </c>
      <c r="P22" s="45">
        <v>20.6</v>
      </c>
      <c r="Q22" s="45">
        <v>20.6</v>
      </c>
      <c r="R22" s="45">
        <v>20.6</v>
      </c>
      <c r="S22" s="45">
        <v>21</v>
      </c>
      <c r="T22" s="45">
        <v>21</v>
      </c>
      <c r="U22" s="45">
        <v>21</v>
      </c>
      <c r="V22" s="45">
        <v>21</v>
      </c>
      <c r="W22" s="45">
        <v>21</v>
      </c>
      <c r="X22" s="45">
        <v>21</v>
      </c>
      <c r="Y22" s="45">
        <v>21</v>
      </c>
      <c r="Z22" s="45">
        <v>21</v>
      </c>
      <c r="AA22" s="45">
        <v>21</v>
      </c>
      <c r="AB22" s="45">
        <v>21</v>
      </c>
      <c r="AC22" s="45">
        <v>21</v>
      </c>
      <c r="AD22" s="45">
        <v>21</v>
      </c>
      <c r="AE22" s="45">
        <v>21</v>
      </c>
      <c r="AF22" s="45">
        <v>21</v>
      </c>
      <c r="AG22" s="50">
        <v>25</v>
      </c>
      <c r="AH22" s="47">
        <f t="shared" si="2"/>
        <v>26.1</v>
      </c>
      <c r="AI22" s="48">
        <f t="shared" si="3"/>
        <v>20.6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13.5</v>
      </c>
      <c r="M25" s="45">
        <v>13.5</v>
      </c>
      <c r="N25" s="45">
        <v>11</v>
      </c>
      <c r="O25" s="45">
        <v>11</v>
      </c>
      <c r="P25" s="45">
        <v>11</v>
      </c>
      <c r="Q25" s="45">
        <v>11</v>
      </c>
      <c r="R25" s="45">
        <v>11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  <c r="AC25" s="45">
        <v>1</v>
      </c>
      <c r="AD25" s="45">
        <v>0</v>
      </c>
      <c r="AE25" s="45">
        <v>0</v>
      </c>
      <c r="AF25" s="45">
        <v>0</v>
      </c>
      <c r="AG25" s="50">
        <v>25</v>
      </c>
      <c r="AH25" s="47">
        <f t="shared" si="2"/>
        <v>13.5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20.6</v>
      </c>
      <c r="C26" s="45">
        <v>17.7</v>
      </c>
      <c r="D26" s="45">
        <v>17.7</v>
      </c>
      <c r="E26" s="45">
        <v>17.7</v>
      </c>
      <c r="F26" s="45">
        <v>17.7</v>
      </c>
      <c r="G26" s="45">
        <v>17.7</v>
      </c>
      <c r="H26" s="45">
        <v>17.7</v>
      </c>
      <c r="I26" s="45">
        <v>17.7</v>
      </c>
      <c r="J26" s="45">
        <v>17.7</v>
      </c>
      <c r="K26" s="45">
        <v>17.7</v>
      </c>
      <c r="L26" s="45">
        <v>17.7</v>
      </c>
      <c r="M26" s="45">
        <v>17.7</v>
      </c>
      <c r="N26" s="45">
        <v>17.7</v>
      </c>
      <c r="O26" s="45">
        <v>17.7</v>
      </c>
      <c r="P26" s="45">
        <v>17.7</v>
      </c>
      <c r="Q26" s="45">
        <v>17.7</v>
      </c>
      <c r="R26" s="45">
        <v>17.7</v>
      </c>
      <c r="S26" s="45">
        <v>17</v>
      </c>
      <c r="T26" s="45">
        <v>17</v>
      </c>
      <c r="U26" s="45">
        <v>17</v>
      </c>
      <c r="V26" s="45">
        <v>17</v>
      </c>
      <c r="W26" s="45">
        <v>17</v>
      </c>
      <c r="X26" s="45">
        <v>17</v>
      </c>
      <c r="Y26" s="45">
        <v>17</v>
      </c>
      <c r="Z26" s="45">
        <v>17</v>
      </c>
      <c r="AA26" s="45">
        <v>17</v>
      </c>
      <c r="AB26" s="45">
        <v>17</v>
      </c>
      <c r="AC26" s="45">
        <v>17</v>
      </c>
      <c r="AD26" s="45">
        <v>17</v>
      </c>
      <c r="AE26" s="45">
        <v>17</v>
      </c>
      <c r="AF26" s="45">
        <v>17</v>
      </c>
      <c r="AG26" s="50">
        <v>23.5</v>
      </c>
      <c r="AH26" s="47">
        <f t="shared" si="2"/>
        <v>20.6</v>
      </c>
      <c r="AI26" s="48">
        <f t="shared" si="3"/>
        <v>17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>
        <v>3</v>
      </c>
      <c r="Y27" s="45">
        <v>3</v>
      </c>
      <c r="Z27" s="45">
        <v>3</v>
      </c>
      <c r="AA27" s="45">
        <v>3</v>
      </c>
      <c r="AB27" s="45">
        <v>3</v>
      </c>
      <c r="AC27" s="45">
        <v>3</v>
      </c>
      <c r="AD27" s="45">
        <v>3</v>
      </c>
      <c r="AE27" s="45">
        <v>3</v>
      </c>
      <c r="AF27" s="45">
        <v>3</v>
      </c>
      <c r="AG27" s="50">
        <v>22.2</v>
      </c>
      <c r="AH27" s="47">
        <f t="shared" si="2"/>
        <v>3</v>
      </c>
      <c r="AI27" s="48">
        <f t="shared" si="3"/>
        <v>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0">
        <v>22.1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12</v>
      </c>
      <c r="C30" s="45">
        <v>13</v>
      </c>
      <c r="D30" s="45">
        <v>13</v>
      </c>
      <c r="E30" s="45">
        <v>13</v>
      </c>
      <c r="F30" s="45">
        <v>13</v>
      </c>
      <c r="G30" s="45">
        <v>13</v>
      </c>
      <c r="H30" s="45">
        <v>13</v>
      </c>
      <c r="I30" s="45">
        <v>13</v>
      </c>
      <c r="J30" s="45">
        <v>13</v>
      </c>
      <c r="K30" s="45">
        <v>13</v>
      </c>
      <c r="L30" s="45">
        <v>13</v>
      </c>
      <c r="M30" s="45">
        <v>13</v>
      </c>
      <c r="N30" s="45">
        <v>13</v>
      </c>
      <c r="O30" s="45">
        <v>13</v>
      </c>
      <c r="P30" s="45">
        <v>13</v>
      </c>
      <c r="Q30" s="45">
        <v>13</v>
      </c>
      <c r="R30" s="45">
        <v>13</v>
      </c>
      <c r="S30" s="45">
        <v>8</v>
      </c>
      <c r="T30" s="45">
        <v>8</v>
      </c>
      <c r="U30" s="45">
        <v>8</v>
      </c>
      <c r="V30" s="45">
        <v>8</v>
      </c>
      <c r="W30" s="45">
        <v>8</v>
      </c>
      <c r="X30" s="45">
        <v>8</v>
      </c>
      <c r="Y30" s="45">
        <v>8</v>
      </c>
      <c r="Z30" s="45">
        <v>8</v>
      </c>
      <c r="AA30" s="45">
        <v>8</v>
      </c>
      <c r="AB30" s="45">
        <v>8</v>
      </c>
      <c r="AC30" s="45">
        <v>8</v>
      </c>
      <c r="AD30" s="45">
        <v>8</v>
      </c>
      <c r="AE30" s="45">
        <v>8</v>
      </c>
      <c r="AF30" s="45">
        <v>8</v>
      </c>
      <c r="AG30" s="50">
        <v>22</v>
      </c>
      <c r="AH30" s="47">
        <f t="shared" si="2"/>
        <v>13</v>
      </c>
      <c r="AI30" s="48">
        <f t="shared" si="3"/>
        <v>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5</v>
      </c>
      <c r="M31" s="45">
        <v>5</v>
      </c>
      <c r="N31" s="45">
        <v>5</v>
      </c>
      <c r="O31" s="45">
        <v>5</v>
      </c>
      <c r="P31" s="45">
        <v>5</v>
      </c>
      <c r="Q31" s="45">
        <v>5</v>
      </c>
      <c r="R31" s="45">
        <v>5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50">
        <v>20</v>
      </c>
      <c r="AH31" s="47">
        <f t="shared" si="2"/>
        <v>10</v>
      </c>
      <c r="AI31" s="48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50">
        <v>18</v>
      </c>
      <c r="AH32" s="47">
        <f t="shared" si="2"/>
        <v>8</v>
      </c>
      <c r="AI32" s="48">
        <f t="shared" si="3"/>
        <v>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2</v>
      </c>
      <c r="C35" s="45">
        <v>2</v>
      </c>
      <c r="D35" s="45">
        <v>2</v>
      </c>
      <c r="E35" s="45">
        <v>2</v>
      </c>
      <c r="F35" s="45">
        <v>2</v>
      </c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>
        <v>2</v>
      </c>
      <c r="Q35" s="45">
        <v>2</v>
      </c>
      <c r="R35" s="45">
        <v>2</v>
      </c>
      <c r="S35" s="45">
        <v>2</v>
      </c>
      <c r="T35" s="45">
        <v>2</v>
      </c>
      <c r="U35" s="45">
        <v>2</v>
      </c>
      <c r="V35" s="45">
        <v>2</v>
      </c>
      <c r="W35" s="45">
        <v>2</v>
      </c>
      <c r="X35" s="45">
        <v>2</v>
      </c>
      <c r="Y35" s="45">
        <v>2</v>
      </c>
      <c r="Z35" s="45">
        <v>2</v>
      </c>
      <c r="AA35" s="45">
        <v>2</v>
      </c>
      <c r="AB35" s="45">
        <v>2</v>
      </c>
      <c r="AC35" s="45">
        <v>2</v>
      </c>
      <c r="AD35" s="45">
        <v>2</v>
      </c>
      <c r="AE35" s="45">
        <v>2</v>
      </c>
      <c r="AF35" s="45">
        <v>2</v>
      </c>
      <c r="AG35" s="50">
        <v>13.6</v>
      </c>
      <c r="AH35" s="47">
        <f t="shared" si="2"/>
        <v>2</v>
      </c>
      <c r="AI35" s="48">
        <f t="shared" si="3"/>
        <v>2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3</v>
      </c>
      <c r="C36" s="45">
        <v>3</v>
      </c>
      <c r="D36" s="45">
        <v>3</v>
      </c>
      <c r="E36" s="45">
        <v>3</v>
      </c>
      <c r="F36" s="45">
        <v>3</v>
      </c>
      <c r="G36" s="45">
        <v>3</v>
      </c>
      <c r="H36" s="45">
        <v>3</v>
      </c>
      <c r="I36" s="45">
        <v>3</v>
      </c>
      <c r="J36" s="45">
        <v>3</v>
      </c>
      <c r="K36" s="45">
        <v>3</v>
      </c>
      <c r="L36" s="45">
        <v>3</v>
      </c>
      <c r="M36" s="45">
        <v>3</v>
      </c>
      <c r="N36" s="45">
        <v>3</v>
      </c>
      <c r="O36" s="45">
        <v>3</v>
      </c>
      <c r="P36" s="45">
        <v>3</v>
      </c>
      <c r="Q36" s="45">
        <v>3</v>
      </c>
      <c r="R36" s="45">
        <v>3</v>
      </c>
      <c r="S36" s="45">
        <v>3</v>
      </c>
      <c r="T36" s="45">
        <v>3</v>
      </c>
      <c r="U36" s="45">
        <v>3</v>
      </c>
      <c r="V36" s="45">
        <v>3</v>
      </c>
      <c r="W36" s="45">
        <v>3</v>
      </c>
      <c r="X36" s="45">
        <v>3</v>
      </c>
      <c r="Y36" s="45">
        <v>3</v>
      </c>
      <c r="Z36" s="45">
        <v>3</v>
      </c>
      <c r="AA36" s="45">
        <v>3</v>
      </c>
      <c r="AB36" s="45">
        <v>3</v>
      </c>
      <c r="AC36" s="45">
        <v>3</v>
      </c>
      <c r="AD36" s="45">
        <v>3</v>
      </c>
      <c r="AE36" s="45">
        <v>3</v>
      </c>
      <c r="AF36" s="45">
        <v>3</v>
      </c>
      <c r="AG36" s="50">
        <v>13</v>
      </c>
      <c r="AH36" s="47">
        <f t="shared" si="2"/>
        <v>3</v>
      </c>
      <c r="AI36" s="48">
        <f t="shared" si="3"/>
        <v>3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0">
        <v>12</v>
      </c>
      <c r="AH37" s="47">
        <f t="shared" si="2"/>
        <v>0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4</v>
      </c>
      <c r="C38" s="45">
        <v>4</v>
      </c>
      <c r="D38" s="45">
        <v>4</v>
      </c>
      <c r="E38" s="45">
        <v>4</v>
      </c>
      <c r="F38" s="45">
        <v>4</v>
      </c>
      <c r="G38" s="45">
        <v>4</v>
      </c>
      <c r="H38" s="45">
        <v>4</v>
      </c>
      <c r="I38" s="45">
        <v>4</v>
      </c>
      <c r="J38" s="45">
        <v>4</v>
      </c>
      <c r="K38" s="45">
        <v>4</v>
      </c>
      <c r="L38" s="45">
        <v>4</v>
      </c>
      <c r="M38" s="45">
        <v>4</v>
      </c>
      <c r="N38" s="45">
        <v>4</v>
      </c>
      <c r="O38" s="45">
        <v>4</v>
      </c>
      <c r="P38" s="45">
        <v>4</v>
      </c>
      <c r="Q38" s="45">
        <v>4</v>
      </c>
      <c r="R38" s="45">
        <v>4</v>
      </c>
      <c r="S38" s="45">
        <v>4</v>
      </c>
      <c r="T38" s="45">
        <v>4</v>
      </c>
      <c r="U38" s="45">
        <v>4</v>
      </c>
      <c r="V38" s="45">
        <v>4</v>
      </c>
      <c r="W38" s="45">
        <v>4</v>
      </c>
      <c r="X38" s="45">
        <v>4</v>
      </c>
      <c r="Y38" s="45">
        <v>4</v>
      </c>
      <c r="Z38" s="45">
        <v>4</v>
      </c>
      <c r="AA38" s="45">
        <v>4</v>
      </c>
      <c r="AB38" s="45">
        <v>4</v>
      </c>
      <c r="AC38" s="45">
        <v>4</v>
      </c>
      <c r="AD38" s="45">
        <v>4</v>
      </c>
      <c r="AE38" s="45">
        <v>4</v>
      </c>
      <c r="AF38" s="45">
        <v>4</v>
      </c>
      <c r="AG38" s="50">
        <v>12</v>
      </c>
      <c r="AH38" s="47">
        <f t="shared" si="2"/>
        <v>4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>
        <v>3</v>
      </c>
      <c r="AB39" s="45">
        <v>3</v>
      </c>
      <c r="AC39" s="45">
        <v>3</v>
      </c>
      <c r="AD39" s="45">
        <v>3</v>
      </c>
      <c r="AE39" s="45">
        <v>3</v>
      </c>
      <c r="AF39" s="45">
        <v>3</v>
      </c>
      <c r="AG39" s="50">
        <v>12</v>
      </c>
      <c r="AH39" s="47">
        <f t="shared" si="2"/>
        <v>3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52">
        <v>22</v>
      </c>
      <c r="AH40" s="47">
        <f t="shared" si="2"/>
        <v>2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>
        <v>3.6</v>
      </c>
      <c r="Q41" s="45">
        <v>3.6</v>
      </c>
      <c r="R41" s="45">
        <v>3.6</v>
      </c>
      <c r="S41" s="45">
        <v>3.6</v>
      </c>
      <c r="T41" s="45">
        <v>3.6</v>
      </c>
      <c r="U41" s="45">
        <v>3.6</v>
      </c>
      <c r="V41" s="45">
        <v>3.6</v>
      </c>
      <c r="W41" s="45">
        <v>3.6</v>
      </c>
      <c r="X41" s="45">
        <v>3.6</v>
      </c>
      <c r="Y41" s="45">
        <v>3.6</v>
      </c>
      <c r="Z41" s="45">
        <v>3.6</v>
      </c>
      <c r="AA41" s="45">
        <v>3.6</v>
      </c>
      <c r="AB41" s="45">
        <v>3.6</v>
      </c>
      <c r="AC41" s="45">
        <v>3.6</v>
      </c>
      <c r="AD41" s="45">
        <v>3.6</v>
      </c>
      <c r="AE41" s="45">
        <v>3.6</v>
      </c>
      <c r="AF41" s="45">
        <v>3.6</v>
      </c>
      <c r="AG41" s="51">
        <v>11.88</v>
      </c>
      <c r="AH41" s="47">
        <f t="shared" si="2"/>
        <v>3.6</v>
      </c>
      <c r="AI41" s="48">
        <f t="shared" si="3"/>
        <v>3.6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3</v>
      </c>
      <c r="C43" s="45">
        <v>3</v>
      </c>
      <c r="D43" s="45">
        <v>3</v>
      </c>
      <c r="E43" s="45">
        <v>3</v>
      </c>
      <c r="F43" s="45">
        <v>3</v>
      </c>
      <c r="G43" s="45">
        <v>3</v>
      </c>
      <c r="H43" s="45">
        <v>3</v>
      </c>
      <c r="I43" s="45">
        <v>3</v>
      </c>
      <c r="J43" s="45">
        <v>3</v>
      </c>
      <c r="K43" s="45">
        <v>3</v>
      </c>
      <c r="L43" s="45">
        <v>3</v>
      </c>
      <c r="M43" s="45">
        <v>3</v>
      </c>
      <c r="N43" s="45">
        <v>3</v>
      </c>
      <c r="O43" s="45">
        <v>3</v>
      </c>
      <c r="P43" s="45">
        <v>3</v>
      </c>
      <c r="Q43" s="45">
        <v>3</v>
      </c>
      <c r="R43" s="45">
        <v>3</v>
      </c>
      <c r="S43" s="45">
        <v>3</v>
      </c>
      <c r="T43" s="45">
        <v>3</v>
      </c>
      <c r="U43" s="45">
        <v>3</v>
      </c>
      <c r="V43" s="45">
        <v>3</v>
      </c>
      <c r="W43" s="45">
        <v>3</v>
      </c>
      <c r="X43" s="45">
        <v>3</v>
      </c>
      <c r="Y43" s="45">
        <v>3</v>
      </c>
      <c r="Z43" s="45">
        <v>3</v>
      </c>
      <c r="AA43" s="45">
        <v>3</v>
      </c>
      <c r="AB43" s="45">
        <v>3</v>
      </c>
      <c r="AC43" s="45">
        <v>3</v>
      </c>
      <c r="AD43" s="45">
        <v>3</v>
      </c>
      <c r="AE43" s="45">
        <v>3</v>
      </c>
      <c r="AF43" s="45">
        <v>3</v>
      </c>
      <c r="AG43" s="54">
        <v>10</v>
      </c>
      <c r="AH43" s="47">
        <f t="shared" si="2"/>
        <v>3</v>
      </c>
      <c r="AI43" s="48">
        <f t="shared" si="3"/>
        <v>3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>
        <v>3</v>
      </c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>
        <v>3</v>
      </c>
      <c r="Y44" s="45">
        <v>3</v>
      </c>
      <c r="Z44" s="45">
        <v>3</v>
      </c>
      <c r="AA44" s="45">
        <v>3</v>
      </c>
      <c r="AB44" s="45">
        <v>3</v>
      </c>
      <c r="AC44" s="45">
        <v>3</v>
      </c>
      <c r="AD44" s="45">
        <v>3</v>
      </c>
      <c r="AE44" s="45">
        <v>3</v>
      </c>
      <c r="AF44" s="45">
        <v>3</v>
      </c>
      <c r="AG44" s="54">
        <v>10</v>
      </c>
      <c r="AH44" s="47">
        <f t="shared" si="2"/>
        <v>3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154</v>
      </c>
      <c r="C46" s="56">
        <v>154</v>
      </c>
      <c r="D46" s="56">
        <v>154</v>
      </c>
      <c r="E46" s="56">
        <v>154</v>
      </c>
      <c r="F46" s="56">
        <v>154</v>
      </c>
      <c r="G46" s="56">
        <v>154</v>
      </c>
      <c r="H46" s="56">
        <v>154</v>
      </c>
      <c r="I46" s="56">
        <v>154</v>
      </c>
      <c r="J46" s="56">
        <v>154</v>
      </c>
      <c r="K46" s="56">
        <v>154</v>
      </c>
      <c r="L46" s="56">
        <v>154</v>
      </c>
      <c r="M46" s="56">
        <v>154</v>
      </c>
      <c r="N46" s="56">
        <v>154</v>
      </c>
      <c r="O46" s="56">
        <v>154</v>
      </c>
      <c r="P46" s="56">
        <v>154</v>
      </c>
      <c r="Q46" s="56">
        <v>154</v>
      </c>
      <c r="R46" s="56">
        <v>154</v>
      </c>
      <c r="S46" s="56">
        <v>154</v>
      </c>
      <c r="T46" s="56">
        <v>154</v>
      </c>
      <c r="U46" s="56">
        <v>154</v>
      </c>
      <c r="V46" s="56">
        <v>154</v>
      </c>
      <c r="W46" s="56">
        <v>154</v>
      </c>
      <c r="X46" s="56">
        <v>154</v>
      </c>
      <c r="Y46" s="56">
        <v>154</v>
      </c>
      <c r="Z46" s="56">
        <v>225</v>
      </c>
      <c r="AA46" s="56">
        <v>225</v>
      </c>
      <c r="AB46" s="56">
        <v>225</v>
      </c>
      <c r="AC46" s="56">
        <v>225</v>
      </c>
      <c r="AD46" s="56">
        <v>225</v>
      </c>
      <c r="AE46" s="56">
        <v>225</v>
      </c>
      <c r="AF46" s="56">
        <v>225</v>
      </c>
      <c r="AG46" s="54">
        <v>85</v>
      </c>
      <c r="AH46" s="47">
        <f t="shared" si="2"/>
        <v>225</v>
      </c>
      <c r="AI46" s="48">
        <f t="shared" si="3"/>
        <v>154</v>
      </c>
      <c r="AK46" s="49"/>
    </row>
    <row r="47" spans="1:88" ht="15.75" thickBot="1" x14ac:dyDescent="0.3">
      <c r="A47" s="57" t="s">
        <v>55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56</v>
      </c>
      <c r="B48" s="60">
        <f>SUM(B11:B46)</f>
        <v>521.70000000000005</v>
      </c>
      <c r="C48" s="60">
        <f t="shared" ref="C48:AF48" si="4">SUM(C11:C46)</f>
        <v>525</v>
      </c>
      <c r="D48" s="60">
        <f>SUM(D11:D46)</f>
        <v>545.79999999999995</v>
      </c>
      <c r="E48" s="60">
        <f t="shared" si="4"/>
        <v>530.79999999999995</v>
      </c>
      <c r="F48" s="60">
        <f t="shared" si="4"/>
        <v>523.29999999999995</v>
      </c>
      <c r="G48" s="60">
        <f t="shared" si="4"/>
        <v>523.29999999999995</v>
      </c>
      <c r="H48" s="60">
        <f t="shared" si="4"/>
        <v>514.6</v>
      </c>
      <c r="I48" s="60">
        <f t="shared" si="4"/>
        <v>519.6</v>
      </c>
      <c r="J48" s="60">
        <f t="shared" si="4"/>
        <v>517.6</v>
      </c>
      <c r="K48" s="60">
        <f t="shared" si="4"/>
        <v>517.6</v>
      </c>
      <c r="L48" s="60">
        <f t="shared" si="4"/>
        <v>574.1</v>
      </c>
      <c r="M48" s="60">
        <f t="shared" si="4"/>
        <v>577</v>
      </c>
      <c r="N48" s="60">
        <f t="shared" si="4"/>
        <v>574.5</v>
      </c>
      <c r="O48" s="60">
        <f t="shared" si="4"/>
        <v>563.79999999999995</v>
      </c>
      <c r="P48" s="60">
        <f t="shared" si="4"/>
        <v>563.79999999999995</v>
      </c>
      <c r="Q48" s="60">
        <f t="shared" si="4"/>
        <v>563.79999999999995</v>
      </c>
      <c r="R48" s="60">
        <f t="shared" si="4"/>
        <v>563.79999999999995</v>
      </c>
      <c r="S48" s="60">
        <f t="shared" si="4"/>
        <v>548.90000000000009</v>
      </c>
      <c r="T48" s="60">
        <f t="shared" si="4"/>
        <v>547.90000000000009</v>
      </c>
      <c r="U48" s="60">
        <f t="shared" si="4"/>
        <v>545.90000000000009</v>
      </c>
      <c r="V48" s="60">
        <f t="shared" si="4"/>
        <v>544.90000000000009</v>
      </c>
      <c r="W48" s="60">
        <f t="shared" si="4"/>
        <v>545.90000000000009</v>
      </c>
      <c r="X48" s="60">
        <f t="shared" si="4"/>
        <v>537.90000000000009</v>
      </c>
      <c r="Y48" s="60">
        <f t="shared" si="4"/>
        <v>531.70000000000005</v>
      </c>
      <c r="Z48" s="60">
        <f t="shared" si="4"/>
        <v>602.70000000000005</v>
      </c>
      <c r="AA48" s="60">
        <f t="shared" si="4"/>
        <v>602.70000000000005</v>
      </c>
      <c r="AB48" s="60">
        <f t="shared" si="4"/>
        <v>602.70000000000005</v>
      </c>
      <c r="AC48" s="60">
        <f t="shared" si="4"/>
        <v>602.70000000000005</v>
      </c>
      <c r="AD48" s="60">
        <f t="shared" si="4"/>
        <v>601.70000000000005</v>
      </c>
      <c r="AE48" s="60">
        <f t="shared" si="4"/>
        <v>585.90000000000009</v>
      </c>
      <c r="AF48" s="60">
        <f t="shared" si="4"/>
        <v>585.90000000000009</v>
      </c>
      <c r="AG48" s="61">
        <f>SUM(AG12:AG46)</f>
        <v>875.68</v>
      </c>
      <c r="AH48" s="47">
        <f t="shared" si="2"/>
        <v>602.70000000000005</v>
      </c>
      <c r="AI48" s="48">
        <f t="shared" si="3"/>
        <v>514.6</v>
      </c>
      <c r="AK48" s="49"/>
    </row>
    <row r="49" spans="1:41" x14ac:dyDescent="0.25">
      <c r="A49" s="62" t="s">
        <v>57</v>
      </c>
      <c r="B49" s="45">
        <v>100</v>
      </c>
      <c r="C49" s="45">
        <v>228</v>
      </c>
      <c r="D49" s="45">
        <v>165</v>
      </c>
      <c r="E49" s="45">
        <v>180</v>
      </c>
      <c r="F49" s="45">
        <v>100</v>
      </c>
      <c r="G49" s="45">
        <v>80</v>
      </c>
      <c r="H49" s="45">
        <v>50</v>
      </c>
      <c r="I49" s="45">
        <v>20</v>
      </c>
      <c r="J49" s="45">
        <v>0</v>
      </c>
      <c r="K49" s="45">
        <v>0</v>
      </c>
      <c r="L49" s="45">
        <v>0</v>
      </c>
      <c r="M49" s="45">
        <v>15</v>
      </c>
      <c r="N49" s="45">
        <v>15</v>
      </c>
      <c r="O49" s="45">
        <v>15</v>
      </c>
      <c r="P49" s="45">
        <v>75</v>
      </c>
      <c r="Q49" s="45">
        <v>35</v>
      </c>
      <c r="R49" s="45">
        <v>60</v>
      </c>
      <c r="S49" s="45">
        <v>40</v>
      </c>
      <c r="T49" s="45">
        <v>40</v>
      </c>
      <c r="U49" s="45">
        <v>40</v>
      </c>
      <c r="V49" s="45">
        <v>40</v>
      </c>
      <c r="W49" s="45">
        <v>40</v>
      </c>
      <c r="X49" s="45">
        <v>20</v>
      </c>
      <c r="Y49" s="45">
        <v>20</v>
      </c>
      <c r="Z49" s="45">
        <v>50</v>
      </c>
      <c r="AA49" s="45">
        <v>145</v>
      </c>
      <c r="AB49" s="45">
        <v>165</v>
      </c>
      <c r="AC49" s="45">
        <v>230</v>
      </c>
      <c r="AD49" s="45">
        <v>380</v>
      </c>
      <c r="AE49" s="45">
        <v>410</v>
      </c>
      <c r="AF49" s="45">
        <v>360</v>
      </c>
      <c r="AG49" s="51">
        <v>456</v>
      </c>
      <c r="AH49" s="47">
        <f t="shared" si="2"/>
        <v>410</v>
      </c>
      <c r="AI49" s="48">
        <f t="shared" si="3"/>
        <v>0</v>
      </c>
      <c r="AK49" s="49"/>
    </row>
    <row r="50" spans="1:41" x14ac:dyDescent="0.25">
      <c r="A50" s="64" t="s">
        <v>58</v>
      </c>
      <c r="B50" s="65">
        <v>45</v>
      </c>
      <c r="C50" s="65">
        <v>60</v>
      </c>
      <c r="D50" s="65">
        <v>60</v>
      </c>
      <c r="E50" s="65">
        <v>55</v>
      </c>
      <c r="F50" s="65">
        <v>55</v>
      </c>
      <c r="G50" s="65">
        <v>55</v>
      </c>
      <c r="H50" s="65">
        <v>55</v>
      </c>
      <c r="I50" s="65">
        <v>55</v>
      </c>
      <c r="J50" s="65">
        <v>55</v>
      </c>
      <c r="K50" s="65">
        <v>55</v>
      </c>
      <c r="L50" s="65">
        <v>55</v>
      </c>
      <c r="M50" s="65">
        <v>55</v>
      </c>
      <c r="N50" s="65">
        <v>55</v>
      </c>
      <c r="O50" s="65">
        <v>55</v>
      </c>
      <c r="P50" s="65">
        <v>55</v>
      </c>
      <c r="Q50" s="65">
        <v>55</v>
      </c>
      <c r="R50" s="65">
        <v>55</v>
      </c>
      <c r="S50" s="65">
        <v>55</v>
      </c>
      <c r="T50" s="65">
        <v>55</v>
      </c>
      <c r="U50" s="65">
        <v>55</v>
      </c>
      <c r="V50" s="65">
        <v>55</v>
      </c>
      <c r="W50" s="65">
        <v>55</v>
      </c>
      <c r="X50" s="65">
        <v>55</v>
      </c>
      <c r="Y50" s="65">
        <v>55</v>
      </c>
      <c r="Z50" s="65">
        <v>55</v>
      </c>
      <c r="AA50" s="65">
        <v>55</v>
      </c>
      <c r="AB50" s="65">
        <v>55</v>
      </c>
      <c r="AC50" s="65">
        <v>55</v>
      </c>
      <c r="AD50" s="65">
        <v>55</v>
      </c>
      <c r="AE50" s="65">
        <v>55</v>
      </c>
      <c r="AF50" s="65">
        <v>55</v>
      </c>
      <c r="AG50" s="54">
        <v>60</v>
      </c>
      <c r="AH50" s="47">
        <f t="shared" si="2"/>
        <v>60</v>
      </c>
      <c r="AI50" s="48">
        <f t="shared" si="3"/>
        <v>45</v>
      </c>
      <c r="AK50" s="49"/>
    </row>
    <row r="51" spans="1:41" ht="15.75" thickBot="1" x14ac:dyDescent="0.3">
      <c r="A51" s="66" t="s">
        <v>59</v>
      </c>
      <c r="B51" s="67">
        <v>22</v>
      </c>
      <c r="C51" s="67">
        <v>22</v>
      </c>
      <c r="D51" s="67">
        <v>22</v>
      </c>
      <c r="E51" s="67">
        <v>22</v>
      </c>
      <c r="F51" s="67">
        <v>22</v>
      </c>
      <c r="G51" s="67">
        <v>22</v>
      </c>
      <c r="H51" s="67">
        <v>22</v>
      </c>
      <c r="I51" s="67">
        <v>22</v>
      </c>
      <c r="J51" s="67">
        <v>22</v>
      </c>
      <c r="K51" s="67">
        <v>22</v>
      </c>
      <c r="L51" s="67">
        <v>22</v>
      </c>
      <c r="M51" s="67">
        <v>22</v>
      </c>
      <c r="N51" s="67">
        <v>22</v>
      </c>
      <c r="O51" s="67">
        <v>22</v>
      </c>
      <c r="P51" s="67">
        <v>22</v>
      </c>
      <c r="Q51" s="67">
        <v>22</v>
      </c>
      <c r="R51" s="67">
        <v>22</v>
      </c>
      <c r="S51" s="67">
        <v>22</v>
      </c>
      <c r="T51" s="67">
        <v>22</v>
      </c>
      <c r="U51" s="67">
        <v>22</v>
      </c>
      <c r="V51" s="67">
        <v>22</v>
      </c>
      <c r="W51" s="67">
        <v>22</v>
      </c>
      <c r="X51" s="67">
        <v>22</v>
      </c>
      <c r="Y51" s="67">
        <v>22</v>
      </c>
      <c r="Z51" s="67">
        <v>22.4</v>
      </c>
      <c r="AA51" s="67">
        <v>22.4</v>
      </c>
      <c r="AB51" s="67">
        <v>22.4</v>
      </c>
      <c r="AC51" s="67">
        <v>22.4</v>
      </c>
      <c r="AD51" s="67">
        <v>22.4</v>
      </c>
      <c r="AE51" s="67">
        <v>22.4</v>
      </c>
      <c r="AF51" s="67">
        <v>22.4</v>
      </c>
      <c r="AG51" s="68">
        <v>22.1</v>
      </c>
      <c r="AH51" s="47">
        <f t="shared" si="2"/>
        <v>22.4</v>
      </c>
      <c r="AI51" s="48">
        <f t="shared" si="3"/>
        <v>22</v>
      </c>
      <c r="AK51" s="49"/>
    </row>
    <row r="52" spans="1:41" ht="15.75" thickBot="1" x14ac:dyDescent="0.3">
      <c r="A52" s="69" t="s">
        <v>60</v>
      </c>
      <c r="B52" s="60">
        <f>SUM(B49:B51)</f>
        <v>167</v>
      </c>
      <c r="C52" s="60">
        <f t="shared" ref="C52:AG52" si="5">SUM(C49:C51)</f>
        <v>310</v>
      </c>
      <c r="D52" s="60">
        <f>SUM(D49:D51)</f>
        <v>247</v>
      </c>
      <c r="E52" s="60">
        <f t="shared" si="5"/>
        <v>257</v>
      </c>
      <c r="F52" s="60">
        <f t="shared" si="5"/>
        <v>177</v>
      </c>
      <c r="G52" s="60">
        <f t="shared" si="5"/>
        <v>157</v>
      </c>
      <c r="H52" s="60">
        <f t="shared" si="5"/>
        <v>127</v>
      </c>
      <c r="I52" s="60">
        <f t="shared" si="5"/>
        <v>97</v>
      </c>
      <c r="J52" s="60">
        <f t="shared" si="5"/>
        <v>77</v>
      </c>
      <c r="K52" s="60">
        <f t="shared" si="5"/>
        <v>77</v>
      </c>
      <c r="L52" s="60">
        <f t="shared" si="5"/>
        <v>77</v>
      </c>
      <c r="M52" s="60">
        <f t="shared" si="5"/>
        <v>92</v>
      </c>
      <c r="N52" s="60">
        <f t="shared" si="5"/>
        <v>92</v>
      </c>
      <c r="O52" s="60">
        <f t="shared" si="5"/>
        <v>92</v>
      </c>
      <c r="P52" s="60">
        <f t="shared" si="5"/>
        <v>152</v>
      </c>
      <c r="Q52" s="60">
        <f t="shared" si="5"/>
        <v>112</v>
      </c>
      <c r="R52" s="60">
        <f t="shared" si="5"/>
        <v>137</v>
      </c>
      <c r="S52" s="60">
        <f t="shared" si="5"/>
        <v>117</v>
      </c>
      <c r="T52" s="60">
        <f t="shared" si="5"/>
        <v>117</v>
      </c>
      <c r="U52" s="60">
        <f t="shared" si="5"/>
        <v>117</v>
      </c>
      <c r="V52" s="60">
        <f t="shared" si="5"/>
        <v>117</v>
      </c>
      <c r="W52" s="60">
        <f t="shared" si="5"/>
        <v>117</v>
      </c>
      <c r="X52" s="60">
        <f t="shared" si="5"/>
        <v>97</v>
      </c>
      <c r="Y52" s="60">
        <f t="shared" si="5"/>
        <v>97</v>
      </c>
      <c r="Z52" s="60">
        <f t="shared" si="5"/>
        <v>127.4</v>
      </c>
      <c r="AA52" s="60">
        <f t="shared" si="5"/>
        <v>222.4</v>
      </c>
      <c r="AB52" s="60">
        <f t="shared" si="5"/>
        <v>242.4</v>
      </c>
      <c r="AC52" s="60">
        <f t="shared" si="5"/>
        <v>307.39999999999998</v>
      </c>
      <c r="AD52" s="60">
        <f t="shared" si="5"/>
        <v>457.4</v>
      </c>
      <c r="AE52" s="60">
        <f t="shared" si="5"/>
        <v>487.4</v>
      </c>
      <c r="AF52" s="60">
        <f t="shared" si="5"/>
        <v>437.4</v>
      </c>
      <c r="AG52" s="61">
        <f t="shared" si="5"/>
        <v>538.1</v>
      </c>
      <c r="AH52" s="47">
        <f t="shared" si="2"/>
        <v>487.4</v>
      </c>
      <c r="AI52" s="48">
        <f t="shared" si="3"/>
        <v>77</v>
      </c>
      <c r="AK52" s="49"/>
    </row>
    <row r="53" spans="1:41" x14ac:dyDescent="0.25">
      <c r="A53" s="44" t="s">
        <v>61</v>
      </c>
      <c r="B53" s="45">
        <v>133.80000000000001</v>
      </c>
      <c r="C53" s="45">
        <v>143.69999999999999</v>
      </c>
      <c r="D53" s="45">
        <v>143.1</v>
      </c>
      <c r="E53" s="45">
        <v>131</v>
      </c>
      <c r="F53" s="45">
        <v>131</v>
      </c>
      <c r="G53" s="45">
        <v>133</v>
      </c>
      <c r="H53" s="45">
        <v>138</v>
      </c>
      <c r="I53" s="45">
        <v>135</v>
      </c>
      <c r="J53" s="45">
        <v>138</v>
      </c>
      <c r="K53" s="45">
        <v>145</v>
      </c>
      <c r="L53" s="45">
        <v>145</v>
      </c>
      <c r="M53" s="45">
        <v>145</v>
      </c>
      <c r="N53" s="45">
        <v>145</v>
      </c>
      <c r="O53" s="45">
        <v>145</v>
      </c>
      <c r="P53" s="45">
        <v>145</v>
      </c>
      <c r="Q53" s="45">
        <v>145</v>
      </c>
      <c r="R53" s="45">
        <v>145</v>
      </c>
      <c r="S53" s="45">
        <v>142</v>
      </c>
      <c r="T53" s="45">
        <v>0</v>
      </c>
      <c r="U53" s="45">
        <v>130</v>
      </c>
      <c r="V53" s="45">
        <v>130</v>
      </c>
      <c r="W53" s="45">
        <v>140</v>
      </c>
      <c r="X53" s="45">
        <v>120</v>
      </c>
      <c r="Y53" s="45">
        <v>142</v>
      </c>
      <c r="Z53" s="45">
        <v>142</v>
      </c>
      <c r="AA53" s="45">
        <v>0</v>
      </c>
      <c r="AB53" s="45">
        <v>0</v>
      </c>
      <c r="AC53" s="45">
        <v>144</v>
      </c>
      <c r="AD53" s="45">
        <v>144</v>
      </c>
      <c r="AE53" s="45">
        <v>144</v>
      </c>
      <c r="AF53" s="45">
        <v>144</v>
      </c>
      <c r="AG53" s="51">
        <v>144</v>
      </c>
      <c r="AH53" s="47">
        <f t="shared" si="2"/>
        <v>145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45.2</v>
      </c>
      <c r="C54" s="65">
        <v>35</v>
      </c>
      <c r="D54" s="65">
        <v>24.9</v>
      </c>
      <c r="E54" s="65">
        <v>24.9</v>
      </c>
      <c r="F54" s="65">
        <v>29.8</v>
      </c>
      <c r="G54" s="65">
        <v>60.6</v>
      </c>
      <c r="H54" s="65">
        <v>71.5</v>
      </c>
      <c r="I54" s="65">
        <v>71.5</v>
      </c>
      <c r="J54" s="65">
        <v>71.5</v>
      </c>
      <c r="K54" s="65">
        <v>71.5</v>
      </c>
      <c r="L54" s="65">
        <v>71.5</v>
      </c>
      <c r="M54" s="65">
        <v>65</v>
      </c>
      <c r="N54" s="65">
        <v>65</v>
      </c>
      <c r="O54" s="65">
        <v>66</v>
      </c>
      <c r="P54" s="65">
        <v>71</v>
      </c>
      <c r="Q54" s="65">
        <v>50.2</v>
      </c>
      <c r="R54" s="65">
        <v>50.2</v>
      </c>
      <c r="S54" s="45">
        <v>48</v>
      </c>
      <c r="T54" s="45">
        <v>50</v>
      </c>
      <c r="U54" s="45">
        <v>50</v>
      </c>
      <c r="V54" s="45">
        <v>50</v>
      </c>
      <c r="W54" s="45">
        <v>45</v>
      </c>
      <c r="X54" s="45">
        <v>55</v>
      </c>
      <c r="Y54" s="45">
        <v>46.7</v>
      </c>
      <c r="Z54" s="45">
        <v>46.7</v>
      </c>
      <c r="AA54" s="45">
        <v>46.7</v>
      </c>
      <c r="AB54" s="45">
        <v>60.2</v>
      </c>
      <c r="AC54" s="45">
        <v>60.2</v>
      </c>
      <c r="AD54" s="45">
        <v>60.2</v>
      </c>
      <c r="AE54" s="45">
        <v>60.2</v>
      </c>
      <c r="AF54" s="45">
        <v>60.2</v>
      </c>
      <c r="AG54" s="54">
        <v>70</v>
      </c>
      <c r="AH54" s="47">
        <f t="shared" si="2"/>
        <v>71.5</v>
      </c>
      <c r="AI54" s="48">
        <f t="shared" si="3"/>
        <v>24.9</v>
      </c>
      <c r="AK54" s="49"/>
    </row>
    <row r="55" spans="1:41" x14ac:dyDescent="0.25">
      <c r="A55" s="53" t="s">
        <v>63</v>
      </c>
      <c r="B55" s="65">
        <v>60.9</v>
      </c>
      <c r="C55" s="65">
        <v>52.8</v>
      </c>
      <c r="D55" s="65">
        <v>49.4</v>
      </c>
      <c r="E55" s="65">
        <v>49.4</v>
      </c>
      <c r="F55" s="65">
        <v>49.4</v>
      </c>
      <c r="G55" s="65">
        <v>61</v>
      </c>
      <c r="H55" s="65">
        <v>61</v>
      </c>
      <c r="I55" s="65">
        <v>61</v>
      </c>
      <c r="J55" s="65">
        <v>54</v>
      </c>
      <c r="K55" s="65">
        <v>70</v>
      </c>
      <c r="L55" s="65">
        <v>62</v>
      </c>
      <c r="M55" s="65">
        <v>61.9</v>
      </c>
      <c r="N55" s="65">
        <v>61.9</v>
      </c>
      <c r="O55" s="65">
        <v>61.5</v>
      </c>
      <c r="P55" s="65">
        <v>70</v>
      </c>
      <c r="Q55" s="65">
        <v>51.2</v>
      </c>
      <c r="R55" s="65">
        <v>51.2</v>
      </c>
      <c r="S55" s="45">
        <v>52.4</v>
      </c>
      <c r="T55" s="45">
        <v>62.6</v>
      </c>
      <c r="U55" s="45">
        <v>61.6</v>
      </c>
      <c r="V55" s="45">
        <v>61.6</v>
      </c>
      <c r="W55" s="45">
        <v>53.7</v>
      </c>
      <c r="X55" s="45">
        <v>70.900000000000006</v>
      </c>
      <c r="Y55" s="45">
        <v>50</v>
      </c>
      <c r="Z55" s="45">
        <v>50</v>
      </c>
      <c r="AA55" s="45">
        <v>50</v>
      </c>
      <c r="AB55" s="45">
        <v>45.3</v>
      </c>
      <c r="AC55" s="45">
        <v>45.3</v>
      </c>
      <c r="AD55" s="45">
        <v>45.3</v>
      </c>
      <c r="AE55" s="45">
        <v>45.3</v>
      </c>
      <c r="AF55" s="45">
        <v>45.3</v>
      </c>
      <c r="AG55" s="54">
        <v>69</v>
      </c>
      <c r="AH55" s="47">
        <f t="shared" si="2"/>
        <v>70.900000000000006</v>
      </c>
      <c r="AI55" s="48">
        <f t="shared" si="3"/>
        <v>45.3</v>
      </c>
      <c r="AK55" s="49"/>
    </row>
    <row r="56" spans="1:41" x14ac:dyDescent="0.25">
      <c r="A56" s="53" t="s">
        <v>64</v>
      </c>
      <c r="B56" s="65">
        <v>40.299999999999997</v>
      </c>
      <c r="C56" s="65">
        <v>40.299999999999997</v>
      </c>
      <c r="D56" s="65">
        <v>40.299999999999997</v>
      </c>
      <c r="E56" s="65">
        <v>40.299999999999997</v>
      </c>
      <c r="F56" s="65">
        <v>40.299999999999997</v>
      </c>
      <c r="G56" s="65">
        <v>39.6</v>
      </c>
      <c r="H56" s="65">
        <v>39.6</v>
      </c>
      <c r="I56" s="65">
        <v>39.6</v>
      </c>
      <c r="J56" s="65">
        <v>46</v>
      </c>
      <c r="K56" s="65">
        <v>60</v>
      </c>
      <c r="L56" s="65">
        <v>60</v>
      </c>
      <c r="M56" s="65">
        <v>60</v>
      </c>
      <c r="N56" s="65">
        <v>60</v>
      </c>
      <c r="O56" s="65">
        <v>60.4</v>
      </c>
      <c r="P56" s="65">
        <v>60.4</v>
      </c>
      <c r="Q56" s="65">
        <v>60.9</v>
      </c>
      <c r="R56" s="65">
        <v>60.9</v>
      </c>
      <c r="S56" s="45">
        <v>60.4</v>
      </c>
      <c r="T56" s="45">
        <v>0</v>
      </c>
      <c r="U56" s="45">
        <v>62.4</v>
      </c>
      <c r="V56" s="45">
        <v>62.4</v>
      </c>
      <c r="W56" s="45">
        <v>62</v>
      </c>
      <c r="X56" s="45">
        <v>62</v>
      </c>
      <c r="Y56" s="45">
        <v>62</v>
      </c>
      <c r="Z56" s="45">
        <v>62</v>
      </c>
      <c r="AA56" s="45">
        <v>62</v>
      </c>
      <c r="AB56" s="45">
        <v>62</v>
      </c>
      <c r="AC56" s="45">
        <v>62</v>
      </c>
      <c r="AD56" s="45">
        <v>62</v>
      </c>
      <c r="AE56" s="45">
        <v>62</v>
      </c>
      <c r="AF56" s="45">
        <v>62</v>
      </c>
      <c r="AG56" s="54">
        <v>60</v>
      </c>
      <c r="AH56" s="47">
        <f t="shared" si="2"/>
        <v>62.4</v>
      </c>
      <c r="AI56" s="48">
        <f t="shared" si="3"/>
        <v>0</v>
      </c>
      <c r="AK56" s="49"/>
    </row>
    <row r="57" spans="1:41" x14ac:dyDescent="0.25">
      <c r="A57" s="53" t="s">
        <v>65</v>
      </c>
      <c r="B57" s="65">
        <v>15</v>
      </c>
      <c r="C57" s="65">
        <v>15</v>
      </c>
      <c r="D57" s="65">
        <v>15</v>
      </c>
      <c r="E57" s="65">
        <v>15</v>
      </c>
      <c r="F57" s="65">
        <v>15</v>
      </c>
      <c r="G57" s="65">
        <v>15</v>
      </c>
      <c r="H57" s="65">
        <v>10</v>
      </c>
      <c r="I57" s="65">
        <v>10</v>
      </c>
      <c r="J57" s="65">
        <v>10</v>
      </c>
      <c r="K57" s="65">
        <v>10</v>
      </c>
      <c r="L57" s="65">
        <v>10</v>
      </c>
      <c r="M57" s="65">
        <v>10</v>
      </c>
      <c r="N57" s="65">
        <v>10</v>
      </c>
      <c r="O57" s="65">
        <v>10</v>
      </c>
      <c r="P57" s="65">
        <v>10</v>
      </c>
      <c r="Q57" s="65">
        <v>10</v>
      </c>
      <c r="R57" s="65">
        <v>10</v>
      </c>
      <c r="S57" s="45">
        <v>10</v>
      </c>
      <c r="T57" s="45">
        <v>15</v>
      </c>
      <c r="U57" s="45">
        <v>15</v>
      </c>
      <c r="V57" s="45">
        <v>15</v>
      </c>
      <c r="W57" s="45">
        <v>10</v>
      </c>
      <c r="X57" s="45">
        <v>10</v>
      </c>
      <c r="Y57" s="45">
        <v>10</v>
      </c>
      <c r="Z57" s="45">
        <v>10</v>
      </c>
      <c r="AA57" s="45">
        <v>10</v>
      </c>
      <c r="AB57" s="45">
        <v>24</v>
      </c>
      <c r="AC57" s="45">
        <v>24</v>
      </c>
      <c r="AD57" s="45">
        <v>24</v>
      </c>
      <c r="AE57" s="45">
        <v>10</v>
      </c>
      <c r="AF57" s="45">
        <v>10</v>
      </c>
      <c r="AG57" s="54">
        <v>30</v>
      </c>
      <c r="AH57" s="47">
        <f t="shared" si="2"/>
        <v>24</v>
      </c>
      <c r="AI57" s="48">
        <f t="shared" si="3"/>
        <v>10</v>
      </c>
      <c r="AK57" s="49"/>
    </row>
    <row r="58" spans="1:41" x14ac:dyDescent="0.25">
      <c r="A58" s="53" t="s">
        <v>66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1</v>
      </c>
      <c r="J58" s="65">
        <v>2</v>
      </c>
      <c r="K58" s="65">
        <v>5.6</v>
      </c>
      <c r="L58" s="65">
        <v>6.3</v>
      </c>
      <c r="M58" s="65">
        <v>6.3</v>
      </c>
      <c r="N58" s="65">
        <v>6.3</v>
      </c>
      <c r="O58" s="65">
        <v>12</v>
      </c>
      <c r="P58" s="65">
        <v>14</v>
      </c>
      <c r="Q58" s="65">
        <v>14</v>
      </c>
      <c r="R58" s="65">
        <v>16</v>
      </c>
      <c r="S58" s="65">
        <v>16</v>
      </c>
      <c r="T58" s="45">
        <v>15</v>
      </c>
      <c r="U58" s="45">
        <v>12</v>
      </c>
      <c r="V58" s="45">
        <v>6</v>
      </c>
      <c r="W58" s="45">
        <v>2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54">
        <v>25</v>
      </c>
      <c r="AH58" s="47">
        <f t="shared" si="2"/>
        <v>16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15</v>
      </c>
      <c r="C59" s="65">
        <v>15</v>
      </c>
      <c r="D59" s="65">
        <v>15</v>
      </c>
      <c r="E59" s="65">
        <v>15</v>
      </c>
      <c r="F59" s="65">
        <v>15</v>
      </c>
      <c r="G59" s="65">
        <v>15</v>
      </c>
      <c r="H59" s="65">
        <v>15</v>
      </c>
      <c r="I59" s="65">
        <v>15</v>
      </c>
      <c r="J59" s="65">
        <v>15</v>
      </c>
      <c r="K59" s="65">
        <v>15</v>
      </c>
      <c r="L59" s="65">
        <v>15</v>
      </c>
      <c r="M59" s="65">
        <v>15</v>
      </c>
      <c r="N59" s="65">
        <v>15</v>
      </c>
      <c r="O59" s="65">
        <v>15</v>
      </c>
      <c r="P59" s="65">
        <v>15</v>
      </c>
      <c r="Q59" s="65">
        <v>15</v>
      </c>
      <c r="R59" s="65">
        <v>15</v>
      </c>
      <c r="S59" s="65">
        <v>15</v>
      </c>
      <c r="T59" s="65">
        <v>15</v>
      </c>
      <c r="U59" s="65">
        <v>15</v>
      </c>
      <c r="V59" s="65">
        <v>15</v>
      </c>
      <c r="W59" s="65">
        <v>15</v>
      </c>
      <c r="X59" s="65">
        <v>15</v>
      </c>
      <c r="Y59" s="65">
        <v>15</v>
      </c>
      <c r="Z59" s="65">
        <v>15</v>
      </c>
      <c r="AA59" s="65">
        <v>15</v>
      </c>
      <c r="AB59" s="65">
        <v>15</v>
      </c>
      <c r="AC59" s="65">
        <v>15</v>
      </c>
      <c r="AD59" s="65">
        <v>15</v>
      </c>
      <c r="AE59" s="65">
        <v>15</v>
      </c>
      <c r="AF59" s="65">
        <v>15</v>
      </c>
      <c r="AG59" s="54">
        <v>24</v>
      </c>
      <c r="AH59" s="47">
        <f t="shared" si="2"/>
        <v>15</v>
      </c>
      <c r="AI59" s="48">
        <f t="shared" si="3"/>
        <v>15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13.3</v>
      </c>
      <c r="C61" s="65">
        <v>13.3</v>
      </c>
      <c r="D61" s="65">
        <v>13.5</v>
      </c>
      <c r="E61" s="65">
        <v>13.5</v>
      </c>
      <c r="F61" s="65">
        <v>13.5</v>
      </c>
      <c r="G61" s="65">
        <v>13.5</v>
      </c>
      <c r="H61" s="65">
        <v>13.5</v>
      </c>
      <c r="I61" s="65">
        <v>13.5</v>
      </c>
      <c r="J61" s="65">
        <v>13.5</v>
      </c>
      <c r="K61" s="65">
        <v>13.5</v>
      </c>
      <c r="L61" s="65">
        <v>13.5</v>
      </c>
      <c r="M61" s="65">
        <v>13.5</v>
      </c>
      <c r="N61" s="65">
        <v>13.5</v>
      </c>
      <c r="O61" s="65">
        <v>13.5</v>
      </c>
      <c r="P61" s="65">
        <v>13.5</v>
      </c>
      <c r="Q61" s="65">
        <v>13.5</v>
      </c>
      <c r="R61" s="65">
        <v>13.5</v>
      </c>
      <c r="S61" s="65">
        <v>13.5</v>
      </c>
      <c r="T61" s="65">
        <v>13.5</v>
      </c>
      <c r="U61" s="65">
        <v>13.6</v>
      </c>
      <c r="V61" s="65">
        <v>13.6</v>
      </c>
      <c r="W61" s="65">
        <v>13.6</v>
      </c>
      <c r="X61" s="65">
        <v>13.6</v>
      </c>
      <c r="Y61" s="65">
        <v>13.6</v>
      </c>
      <c r="Z61" s="65">
        <v>13.6</v>
      </c>
      <c r="AA61" s="65">
        <v>13.6</v>
      </c>
      <c r="AB61" s="65">
        <v>13.6</v>
      </c>
      <c r="AC61" s="65">
        <v>13.6</v>
      </c>
      <c r="AD61" s="65">
        <v>13.6</v>
      </c>
      <c r="AE61" s="65">
        <v>13.6</v>
      </c>
      <c r="AF61" s="65">
        <v>13.6</v>
      </c>
      <c r="AG61" s="54">
        <v>14.1</v>
      </c>
      <c r="AH61" s="47">
        <f t="shared" si="2"/>
        <v>13.6</v>
      </c>
      <c r="AI61" s="48">
        <f t="shared" si="3"/>
        <v>13.3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13</v>
      </c>
      <c r="C62" s="65">
        <v>13</v>
      </c>
      <c r="D62" s="65">
        <v>13</v>
      </c>
      <c r="E62" s="65">
        <v>13</v>
      </c>
      <c r="F62" s="65">
        <v>13</v>
      </c>
      <c r="G62" s="65">
        <v>13</v>
      </c>
      <c r="H62" s="65">
        <v>13</v>
      </c>
      <c r="I62" s="65">
        <v>13</v>
      </c>
      <c r="J62" s="65">
        <v>13</v>
      </c>
      <c r="K62" s="65">
        <v>13</v>
      </c>
      <c r="L62" s="65">
        <v>13</v>
      </c>
      <c r="M62" s="65">
        <v>13</v>
      </c>
      <c r="N62" s="65">
        <v>13</v>
      </c>
      <c r="O62" s="65">
        <v>13</v>
      </c>
      <c r="P62" s="65">
        <v>13</v>
      </c>
      <c r="Q62" s="65">
        <v>13</v>
      </c>
      <c r="R62" s="65">
        <v>13</v>
      </c>
      <c r="S62" s="65">
        <v>13</v>
      </c>
      <c r="T62" s="65">
        <v>13</v>
      </c>
      <c r="U62" s="65">
        <v>13</v>
      </c>
      <c r="V62" s="65">
        <v>13</v>
      </c>
      <c r="W62" s="65">
        <v>13</v>
      </c>
      <c r="X62" s="65">
        <v>13</v>
      </c>
      <c r="Y62" s="65">
        <v>13</v>
      </c>
      <c r="Z62" s="65">
        <v>13</v>
      </c>
      <c r="AA62" s="65">
        <v>13</v>
      </c>
      <c r="AB62" s="65">
        <v>13</v>
      </c>
      <c r="AC62" s="65">
        <v>13</v>
      </c>
      <c r="AD62" s="65">
        <v>13</v>
      </c>
      <c r="AE62" s="65">
        <v>13</v>
      </c>
      <c r="AF62" s="65">
        <v>13</v>
      </c>
      <c r="AG62" s="54">
        <v>14</v>
      </c>
      <c r="AH62" s="47">
        <f t="shared" si="2"/>
        <v>13</v>
      </c>
      <c r="AI62" s="48">
        <f t="shared" si="3"/>
        <v>13</v>
      </c>
      <c r="AK62" s="49"/>
    </row>
    <row r="63" spans="1:41" x14ac:dyDescent="0.25">
      <c r="A63" s="53" t="s">
        <v>71</v>
      </c>
      <c r="B63" s="65">
        <v>4.0999999999999996</v>
      </c>
      <c r="C63" s="65">
        <v>4.0999999999999996</v>
      </c>
      <c r="D63" s="65">
        <v>4.0999999999999996</v>
      </c>
      <c r="E63" s="65">
        <v>4.0999999999999996</v>
      </c>
      <c r="F63" s="65">
        <v>4.0999999999999996</v>
      </c>
      <c r="G63" s="65">
        <v>4.0999999999999996</v>
      </c>
      <c r="H63" s="65">
        <v>4.0999999999999996</v>
      </c>
      <c r="I63" s="65">
        <v>4.0999999999999996</v>
      </c>
      <c r="J63" s="65">
        <v>4.0999999999999996</v>
      </c>
      <c r="K63" s="65">
        <v>4.0999999999999996</v>
      </c>
      <c r="L63" s="65">
        <v>4.0999999999999996</v>
      </c>
      <c r="M63" s="65">
        <v>4.0999999999999996</v>
      </c>
      <c r="N63" s="65">
        <v>4.0999999999999996</v>
      </c>
      <c r="O63" s="65">
        <v>4.0999999999999996</v>
      </c>
      <c r="P63" s="65">
        <v>4.0999999999999996</v>
      </c>
      <c r="Q63" s="65">
        <v>4.0999999999999996</v>
      </c>
      <c r="R63" s="65">
        <v>4.0999999999999996</v>
      </c>
      <c r="S63" s="65">
        <v>4.0999999999999996</v>
      </c>
      <c r="T63" s="65">
        <v>4.0999999999999996</v>
      </c>
      <c r="U63" s="65">
        <v>4.0999999999999996</v>
      </c>
      <c r="V63" s="65">
        <v>4.0999999999999996</v>
      </c>
      <c r="W63" s="65">
        <v>4.0999999999999996</v>
      </c>
      <c r="X63" s="65">
        <v>4.0999999999999996</v>
      </c>
      <c r="Y63" s="65">
        <v>4.0999999999999996</v>
      </c>
      <c r="Z63" s="65">
        <v>4.0999999999999996</v>
      </c>
      <c r="AA63" s="65">
        <v>4.0999999999999996</v>
      </c>
      <c r="AB63" s="65">
        <v>4.0999999999999996</v>
      </c>
      <c r="AC63" s="65">
        <v>4.0999999999999996</v>
      </c>
      <c r="AD63" s="65">
        <v>4.0999999999999996</v>
      </c>
      <c r="AE63" s="65">
        <v>4.0999999999999996</v>
      </c>
      <c r="AF63" s="65">
        <v>4.0999999999999996</v>
      </c>
      <c r="AG63" s="54">
        <v>10.050000000000001</v>
      </c>
      <c r="AH63" s="47">
        <f t="shared" si="2"/>
        <v>4.0999999999999996</v>
      </c>
      <c r="AI63" s="48">
        <f t="shared" si="3"/>
        <v>4.0999999999999996</v>
      </c>
      <c r="AK63" s="49"/>
    </row>
    <row r="64" spans="1:41" x14ac:dyDescent="0.25">
      <c r="A64" s="53" t="s">
        <v>72</v>
      </c>
      <c r="B64" s="65">
        <v>2</v>
      </c>
      <c r="C64" s="65">
        <v>2</v>
      </c>
      <c r="D64" s="65">
        <v>2</v>
      </c>
      <c r="E64" s="65">
        <v>2</v>
      </c>
      <c r="F64" s="65">
        <v>2</v>
      </c>
      <c r="G64" s="65">
        <v>2</v>
      </c>
      <c r="H64" s="65">
        <v>2</v>
      </c>
      <c r="I64" s="65">
        <v>2</v>
      </c>
      <c r="J64" s="65">
        <v>2</v>
      </c>
      <c r="K64" s="65">
        <v>2</v>
      </c>
      <c r="L64" s="65">
        <v>2</v>
      </c>
      <c r="M64" s="65">
        <v>2</v>
      </c>
      <c r="N64" s="65">
        <v>2</v>
      </c>
      <c r="O64" s="65">
        <v>2</v>
      </c>
      <c r="P64" s="65">
        <v>2</v>
      </c>
      <c r="Q64" s="65">
        <v>2</v>
      </c>
      <c r="R64" s="65">
        <v>2</v>
      </c>
      <c r="S64" s="65">
        <v>2</v>
      </c>
      <c r="T64" s="65">
        <v>2</v>
      </c>
      <c r="U64" s="65">
        <v>2</v>
      </c>
      <c r="V64" s="65">
        <v>2</v>
      </c>
      <c r="W64" s="65">
        <v>2</v>
      </c>
      <c r="X64" s="65">
        <v>2</v>
      </c>
      <c r="Y64" s="65">
        <v>2</v>
      </c>
      <c r="Z64" s="65">
        <v>2</v>
      </c>
      <c r="AA64" s="65">
        <v>2</v>
      </c>
      <c r="AB64" s="65">
        <v>2</v>
      </c>
      <c r="AC64" s="65">
        <v>2</v>
      </c>
      <c r="AD64" s="65">
        <v>2</v>
      </c>
      <c r="AE64" s="65">
        <v>2</v>
      </c>
      <c r="AF64" s="65">
        <v>2</v>
      </c>
      <c r="AG64" s="54">
        <v>6.2</v>
      </c>
      <c r="AH64" s="47">
        <f t="shared" si="2"/>
        <v>2</v>
      </c>
      <c r="AI64" s="48">
        <f t="shared" si="3"/>
        <v>2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f>SUM(B53:B65)</f>
        <v>346.14000000000004</v>
      </c>
      <c r="C66" s="60">
        <f t="shared" ref="C66:AG66" si="6">SUM(C53:C65)</f>
        <v>337.74000000000007</v>
      </c>
      <c r="D66" s="60">
        <f>SUM(D53:D65)</f>
        <v>323.84000000000003</v>
      </c>
      <c r="E66" s="60">
        <f t="shared" si="6"/>
        <v>311.74000000000007</v>
      </c>
      <c r="F66" s="60">
        <f t="shared" si="6"/>
        <v>316.64000000000004</v>
      </c>
      <c r="G66" s="60">
        <f t="shared" si="6"/>
        <v>360.34000000000003</v>
      </c>
      <c r="H66" s="60">
        <f t="shared" si="6"/>
        <v>371.24000000000007</v>
      </c>
      <c r="I66" s="60">
        <f t="shared" si="6"/>
        <v>369.24000000000007</v>
      </c>
      <c r="J66" s="60">
        <f t="shared" si="6"/>
        <v>372.64000000000004</v>
      </c>
      <c r="K66" s="60">
        <f t="shared" si="6"/>
        <v>413.24000000000007</v>
      </c>
      <c r="L66" s="60">
        <f t="shared" si="6"/>
        <v>405.94000000000005</v>
      </c>
      <c r="M66" s="60">
        <f t="shared" si="6"/>
        <v>399.34000000000003</v>
      </c>
      <c r="N66" s="60">
        <f t="shared" si="6"/>
        <v>399.34000000000003</v>
      </c>
      <c r="O66" s="60">
        <f t="shared" si="6"/>
        <v>406.04</v>
      </c>
      <c r="P66" s="60">
        <f t="shared" si="6"/>
        <v>421.54</v>
      </c>
      <c r="Q66" s="60">
        <f t="shared" si="6"/>
        <v>382.44</v>
      </c>
      <c r="R66" s="60">
        <f t="shared" si="6"/>
        <v>384.44</v>
      </c>
      <c r="S66" s="60">
        <f t="shared" si="6"/>
        <v>379.94000000000005</v>
      </c>
      <c r="T66" s="60">
        <f t="shared" si="6"/>
        <v>193.73999999999998</v>
      </c>
      <c r="U66" s="60">
        <f t="shared" si="6"/>
        <v>382.24000000000007</v>
      </c>
      <c r="V66" s="60">
        <f t="shared" si="6"/>
        <v>376.24000000000007</v>
      </c>
      <c r="W66" s="60">
        <f t="shared" si="6"/>
        <v>363.94000000000005</v>
      </c>
      <c r="X66" s="60">
        <f t="shared" si="6"/>
        <v>369.14000000000004</v>
      </c>
      <c r="Y66" s="60">
        <f t="shared" si="6"/>
        <v>361.94000000000005</v>
      </c>
      <c r="Z66" s="60">
        <f t="shared" si="6"/>
        <v>361.94000000000005</v>
      </c>
      <c r="AA66" s="60">
        <f t="shared" si="6"/>
        <v>219.93999999999997</v>
      </c>
      <c r="AB66" s="60">
        <f t="shared" si="6"/>
        <v>242.73999999999998</v>
      </c>
      <c r="AC66" s="60">
        <f t="shared" si="6"/>
        <v>386.74000000000007</v>
      </c>
      <c r="AD66" s="60">
        <f t="shared" si="6"/>
        <v>386.74000000000007</v>
      </c>
      <c r="AE66" s="60">
        <f t="shared" si="6"/>
        <v>372.74000000000007</v>
      </c>
      <c r="AF66" s="60">
        <f t="shared" si="6"/>
        <v>372.74000000000007</v>
      </c>
      <c r="AG66" s="61">
        <f t="shared" si="6"/>
        <v>489.91</v>
      </c>
      <c r="AH66" s="47">
        <f t="shared" si="2"/>
        <v>421.54</v>
      </c>
      <c r="AI66" s="48">
        <f t="shared" si="3"/>
        <v>193.73999999999998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11</v>
      </c>
      <c r="P67" s="45">
        <v>30</v>
      </c>
      <c r="Q67" s="45">
        <v>10</v>
      </c>
      <c r="R67" s="45">
        <v>10</v>
      </c>
      <c r="S67" s="45">
        <v>10</v>
      </c>
      <c r="T67" s="45">
        <v>10</v>
      </c>
      <c r="U67" s="45">
        <v>10</v>
      </c>
      <c r="V67" s="45">
        <v>10</v>
      </c>
      <c r="W67" s="45">
        <v>0</v>
      </c>
      <c r="X67" s="45">
        <v>0</v>
      </c>
      <c r="Y67" s="45">
        <v>0</v>
      </c>
      <c r="Z67" s="45">
        <v>14</v>
      </c>
      <c r="AA67" s="45">
        <v>55</v>
      </c>
      <c r="AB67" s="45">
        <v>30</v>
      </c>
      <c r="AC67" s="45">
        <v>30</v>
      </c>
      <c r="AD67" s="45">
        <v>10</v>
      </c>
      <c r="AE67" s="45">
        <v>10</v>
      </c>
      <c r="AF67" s="45">
        <v>10</v>
      </c>
      <c r="AG67" s="51">
        <v>60</v>
      </c>
      <c r="AH67" s="47">
        <f t="shared" si="2"/>
        <v>55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3.4</v>
      </c>
      <c r="L68" s="65">
        <v>3.4</v>
      </c>
      <c r="M68" s="65">
        <v>0</v>
      </c>
      <c r="N68" s="65">
        <v>0</v>
      </c>
      <c r="O68" s="65">
        <v>3.4</v>
      </c>
      <c r="P68" s="65">
        <v>3.4</v>
      </c>
      <c r="Q68" s="45">
        <v>3</v>
      </c>
      <c r="R68" s="45">
        <v>3</v>
      </c>
      <c r="S68" s="45">
        <v>4</v>
      </c>
      <c r="T68" s="45">
        <v>4</v>
      </c>
      <c r="U68" s="45">
        <v>4</v>
      </c>
      <c r="V68" s="45">
        <v>4</v>
      </c>
      <c r="W68" s="65">
        <v>0</v>
      </c>
      <c r="X68" s="65">
        <v>0</v>
      </c>
      <c r="Y68" s="65">
        <v>0</v>
      </c>
      <c r="Z68" s="65">
        <v>7.5</v>
      </c>
      <c r="AA68" s="65">
        <v>23.5</v>
      </c>
      <c r="AB68" s="65">
        <v>14.2</v>
      </c>
      <c r="AC68" s="65">
        <v>14.2</v>
      </c>
      <c r="AD68" s="65">
        <v>4</v>
      </c>
      <c r="AE68" s="65">
        <v>4</v>
      </c>
      <c r="AF68" s="65">
        <v>4</v>
      </c>
      <c r="AG68" s="54">
        <v>32</v>
      </c>
      <c r="AH68" s="47">
        <f t="shared" si="2"/>
        <v>23.5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1.2</v>
      </c>
      <c r="L69" s="67">
        <v>1.2</v>
      </c>
      <c r="M69" s="67">
        <v>0</v>
      </c>
      <c r="N69" s="67">
        <v>0</v>
      </c>
      <c r="O69" s="67">
        <v>1.2</v>
      </c>
      <c r="P69" s="67">
        <v>1.3</v>
      </c>
      <c r="Q69" s="45">
        <v>1.1000000000000001</v>
      </c>
      <c r="R69" s="45">
        <v>1.1000000000000001</v>
      </c>
      <c r="S69" s="45">
        <v>1.5</v>
      </c>
      <c r="T69" s="45">
        <v>1.5</v>
      </c>
      <c r="U69" s="45">
        <v>1.5</v>
      </c>
      <c r="V69" s="45">
        <v>1.5</v>
      </c>
      <c r="W69" s="67">
        <v>0</v>
      </c>
      <c r="X69" s="67">
        <v>0</v>
      </c>
      <c r="Y69" s="67">
        <v>0</v>
      </c>
      <c r="Z69" s="67">
        <v>3.2</v>
      </c>
      <c r="AA69" s="67">
        <v>8.6</v>
      </c>
      <c r="AB69" s="67">
        <v>5.2</v>
      </c>
      <c r="AC69" s="67">
        <v>5.2</v>
      </c>
      <c r="AD69" s="67">
        <v>2</v>
      </c>
      <c r="AE69" s="67">
        <v>2</v>
      </c>
      <c r="AF69" s="67">
        <v>2</v>
      </c>
      <c r="AG69" s="68">
        <v>14</v>
      </c>
      <c r="AH69" s="47">
        <f t="shared" si="2"/>
        <v>8.6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f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4.5999999999999996</v>
      </c>
      <c r="M70" s="60">
        <f t="shared" ref="M70:AF70" si="7">M67+M68+M69</f>
        <v>0</v>
      </c>
      <c r="N70" s="60">
        <f t="shared" si="7"/>
        <v>0</v>
      </c>
      <c r="O70" s="60">
        <f t="shared" si="7"/>
        <v>15.6</v>
      </c>
      <c r="P70" s="60">
        <f t="shared" si="7"/>
        <v>34.699999999999996</v>
      </c>
      <c r="Q70" s="60">
        <f t="shared" si="7"/>
        <v>14.1</v>
      </c>
      <c r="R70" s="60">
        <f t="shared" si="7"/>
        <v>14.1</v>
      </c>
      <c r="S70" s="60">
        <f t="shared" si="7"/>
        <v>15.5</v>
      </c>
      <c r="T70" s="60">
        <f t="shared" si="7"/>
        <v>15.5</v>
      </c>
      <c r="U70" s="60">
        <f t="shared" si="7"/>
        <v>15.5</v>
      </c>
      <c r="V70" s="60">
        <f t="shared" si="7"/>
        <v>15.5</v>
      </c>
      <c r="W70" s="60">
        <f t="shared" si="7"/>
        <v>0</v>
      </c>
      <c r="X70" s="60">
        <f t="shared" si="7"/>
        <v>0</v>
      </c>
      <c r="Y70" s="60">
        <f t="shared" si="7"/>
        <v>0</v>
      </c>
      <c r="Z70" s="60">
        <f t="shared" si="7"/>
        <v>24.7</v>
      </c>
      <c r="AA70" s="60">
        <f t="shared" si="7"/>
        <v>87.1</v>
      </c>
      <c r="AB70" s="60">
        <f t="shared" si="7"/>
        <v>49.400000000000006</v>
      </c>
      <c r="AC70" s="60">
        <f t="shared" si="7"/>
        <v>49.400000000000006</v>
      </c>
      <c r="AD70" s="60">
        <f t="shared" si="7"/>
        <v>16</v>
      </c>
      <c r="AE70" s="60">
        <f t="shared" si="7"/>
        <v>16</v>
      </c>
      <c r="AF70" s="60">
        <f t="shared" si="7"/>
        <v>16</v>
      </c>
      <c r="AG70" s="61">
        <f>SUM(AG67:AG69)</f>
        <v>106</v>
      </c>
      <c r="AH70" s="47">
        <f t="shared" si="2"/>
        <v>87.1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63</v>
      </c>
      <c r="C71" s="45">
        <v>60</v>
      </c>
      <c r="D71" s="45">
        <v>56</v>
      </c>
      <c r="E71" s="45">
        <v>51</v>
      </c>
      <c r="F71" s="45">
        <v>51</v>
      </c>
      <c r="G71" s="45">
        <v>60</v>
      </c>
      <c r="H71" s="45">
        <v>58</v>
      </c>
      <c r="I71" s="45">
        <v>58</v>
      </c>
      <c r="J71" s="45">
        <v>58</v>
      </c>
      <c r="K71" s="45">
        <v>58</v>
      </c>
      <c r="L71" s="45">
        <v>65</v>
      </c>
      <c r="M71" s="45">
        <v>57</v>
      </c>
      <c r="N71" s="45">
        <v>57</v>
      </c>
      <c r="O71" s="45">
        <v>57</v>
      </c>
      <c r="P71" s="45">
        <v>70</v>
      </c>
      <c r="Q71" s="45">
        <v>70</v>
      </c>
      <c r="R71" s="45">
        <v>65</v>
      </c>
      <c r="S71" s="45">
        <v>49.2</v>
      </c>
      <c r="T71" s="45">
        <v>72.2</v>
      </c>
      <c r="U71" s="45">
        <v>63</v>
      </c>
      <c r="V71" s="45">
        <v>55</v>
      </c>
      <c r="W71" s="45">
        <v>51.9</v>
      </c>
      <c r="X71" s="45">
        <v>59</v>
      </c>
      <c r="Y71" s="45">
        <v>40</v>
      </c>
      <c r="Z71" s="45">
        <v>70.7</v>
      </c>
      <c r="AA71" s="45">
        <v>76.8</v>
      </c>
      <c r="AB71" s="45">
        <v>76.8</v>
      </c>
      <c r="AC71" s="45">
        <v>69.2</v>
      </c>
      <c r="AD71" s="45">
        <v>65</v>
      </c>
      <c r="AE71" s="45">
        <v>64</v>
      </c>
      <c r="AF71" s="45">
        <v>63</v>
      </c>
      <c r="AG71" s="51"/>
      <c r="AH71" s="47">
        <f t="shared" si="2"/>
        <v>76.8</v>
      </c>
      <c r="AI71" s="48">
        <f t="shared" si="3"/>
        <v>40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147</v>
      </c>
      <c r="C73" s="65">
        <v>0</v>
      </c>
      <c r="D73" s="65">
        <v>0</v>
      </c>
      <c r="E73" s="65">
        <v>0</v>
      </c>
      <c r="F73" s="65">
        <v>90</v>
      </c>
      <c r="G73" s="65">
        <v>80</v>
      </c>
      <c r="H73" s="65">
        <v>94</v>
      </c>
      <c r="I73" s="65">
        <v>172</v>
      </c>
      <c r="J73" s="65">
        <v>215</v>
      </c>
      <c r="K73" s="65">
        <v>225</v>
      </c>
      <c r="L73" s="65">
        <v>215</v>
      </c>
      <c r="M73" s="65">
        <v>223</v>
      </c>
      <c r="N73" s="65">
        <v>223</v>
      </c>
      <c r="O73" s="65">
        <v>228</v>
      </c>
      <c r="P73" s="65">
        <v>228</v>
      </c>
      <c r="Q73" s="65">
        <v>228</v>
      </c>
      <c r="R73" s="65">
        <v>218</v>
      </c>
      <c r="S73" s="65">
        <v>217</v>
      </c>
      <c r="T73" s="65">
        <v>199</v>
      </c>
      <c r="U73" s="65">
        <v>229</v>
      </c>
      <c r="V73" s="65">
        <v>195</v>
      </c>
      <c r="W73" s="65">
        <v>213.2</v>
      </c>
      <c r="X73" s="65">
        <v>202</v>
      </c>
      <c r="Y73" s="65">
        <v>226</v>
      </c>
      <c r="Z73" s="65">
        <v>214</v>
      </c>
      <c r="AA73" s="65">
        <v>190</v>
      </c>
      <c r="AB73" s="65">
        <v>190</v>
      </c>
      <c r="AC73" s="65">
        <v>78</v>
      </c>
      <c r="AD73" s="65">
        <v>78</v>
      </c>
      <c r="AE73" s="65">
        <v>0</v>
      </c>
      <c r="AF73" s="65">
        <v>0</v>
      </c>
      <c r="AG73" s="75"/>
      <c r="AH73" s="47">
        <f t="shared" si="2"/>
        <v>229</v>
      </c>
      <c r="AI73" s="48">
        <f t="shared" si="3"/>
        <v>0</v>
      </c>
      <c r="AK73" s="49"/>
    </row>
    <row r="74" spans="1:40" x14ac:dyDescent="0.25">
      <c r="A74" s="53" t="s">
        <v>82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65">
        <v>0</v>
      </c>
      <c r="AB74" s="65">
        <v>40</v>
      </c>
      <c r="AC74" s="65">
        <v>10</v>
      </c>
      <c r="AD74" s="65">
        <v>10</v>
      </c>
      <c r="AE74" s="65">
        <v>10</v>
      </c>
      <c r="AF74" s="65">
        <v>10</v>
      </c>
      <c r="AG74" s="75"/>
      <c r="AH74" s="47">
        <f t="shared" si="2"/>
        <v>40</v>
      </c>
      <c r="AI74" s="48">
        <f t="shared" si="3"/>
        <v>0</v>
      </c>
      <c r="AK74" s="49"/>
    </row>
    <row r="75" spans="1:40" x14ac:dyDescent="0.25">
      <c r="A75" s="53" t="s">
        <v>83</v>
      </c>
      <c r="B75" s="45">
        <v>0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>
        <v>0</v>
      </c>
      <c r="T75" s="45">
        <v>0</v>
      </c>
      <c r="U75" s="45">
        <v>0</v>
      </c>
      <c r="V75" s="45">
        <v>0</v>
      </c>
      <c r="W75" s="45">
        <v>0</v>
      </c>
      <c r="X75" s="45">
        <v>0</v>
      </c>
      <c r="Y75" s="45">
        <v>0</v>
      </c>
      <c r="Z75" s="45">
        <v>0</v>
      </c>
      <c r="AA75" s="45">
        <v>0</v>
      </c>
      <c r="AB75" s="45">
        <v>0</v>
      </c>
      <c r="AC75" s="45">
        <v>0</v>
      </c>
      <c r="AD75" s="45">
        <v>0</v>
      </c>
      <c r="AE75" s="45">
        <v>0</v>
      </c>
      <c r="AF75" s="45">
        <v>0</v>
      </c>
      <c r="AG75" s="75"/>
      <c r="AH75" s="47">
        <f t="shared" ref="AH75:AH117" si="8">MAX(B75:AF75)</f>
        <v>0</v>
      </c>
      <c r="AI75" s="48">
        <f t="shared" ref="AI75:AI117" si="9">MIN(B75:AF75)</f>
        <v>0</v>
      </c>
      <c r="AK75" s="49"/>
    </row>
    <row r="76" spans="1:40" x14ac:dyDescent="0.25">
      <c r="A76" s="53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5</v>
      </c>
      <c r="S76" s="77">
        <v>5</v>
      </c>
      <c r="T76" s="77">
        <v>9</v>
      </c>
      <c r="U76" s="77">
        <v>9</v>
      </c>
      <c r="V76" s="77">
        <v>9</v>
      </c>
      <c r="W76" s="77">
        <v>9</v>
      </c>
      <c r="X76" s="77">
        <v>9</v>
      </c>
      <c r="Y76" s="77">
        <v>9</v>
      </c>
      <c r="Z76" s="77">
        <v>8</v>
      </c>
      <c r="AA76" s="77">
        <v>8</v>
      </c>
      <c r="AB76" s="77">
        <v>8</v>
      </c>
      <c r="AC76" s="77">
        <v>8</v>
      </c>
      <c r="AD76" s="77">
        <v>8</v>
      </c>
      <c r="AE76" s="77">
        <v>8</v>
      </c>
      <c r="AF76" s="77">
        <v>8</v>
      </c>
      <c r="AG76" s="75"/>
      <c r="AH76" s="47">
        <f t="shared" si="8"/>
        <v>9</v>
      </c>
      <c r="AI76" s="48">
        <f t="shared" si="9"/>
        <v>0</v>
      </c>
      <c r="AK76" s="49"/>
    </row>
    <row r="77" spans="1:40" ht="15.75" thickBot="1" x14ac:dyDescent="0.3">
      <c r="A77" s="53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8"/>
        <v>0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5</v>
      </c>
      <c r="W78" s="77">
        <v>5</v>
      </c>
      <c r="X78" s="77">
        <v>5</v>
      </c>
      <c r="Y78" s="77">
        <v>5</v>
      </c>
      <c r="Z78" s="77">
        <v>9</v>
      </c>
      <c r="AA78" s="77">
        <v>9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8"/>
        <v>9</v>
      </c>
      <c r="AI78" s="48">
        <f t="shared" si="9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8"/>
        <v>0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f>SUMIF(B71:B81,"&gt;0")</f>
        <v>210</v>
      </c>
      <c r="C82" s="60">
        <f t="shared" ref="C82:AF82" si="10">SUMIF(C71:C81,"&gt;0")</f>
        <v>60</v>
      </c>
      <c r="D82" s="60">
        <f>SUMIF(D71:D81,"&gt;0")</f>
        <v>56</v>
      </c>
      <c r="E82" s="60">
        <f t="shared" si="10"/>
        <v>51</v>
      </c>
      <c r="F82" s="60">
        <f t="shared" si="10"/>
        <v>141</v>
      </c>
      <c r="G82" s="60">
        <f t="shared" si="10"/>
        <v>140</v>
      </c>
      <c r="H82" s="60">
        <f t="shared" si="10"/>
        <v>152</v>
      </c>
      <c r="I82" s="60">
        <f t="shared" si="10"/>
        <v>230</v>
      </c>
      <c r="J82" s="60">
        <f t="shared" si="10"/>
        <v>273</v>
      </c>
      <c r="K82" s="60">
        <f t="shared" si="10"/>
        <v>283</v>
      </c>
      <c r="L82" s="60">
        <f t="shared" si="10"/>
        <v>280</v>
      </c>
      <c r="M82" s="60">
        <f t="shared" si="10"/>
        <v>280</v>
      </c>
      <c r="N82" s="60">
        <f t="shared" si="10"/>
        <v>280</v>
      </c>
      <c r="O82" s="60">
        <f t="shared" si="10"/>
        <v>285</v>
      </c>
      <c r="P82" s="60">
        <f t="shared" si="10"/>
        <v>298</v>
      </c>
      <c r="Q82" s="60">
        <f t="shared" si="10"/>
        <v>298</v>
      </c>
      <c r="R82" s="60">
        <f t="shared" si="10"/>
        <v>288</v>
      </c>
      <c r="S82" s="60">
        <f t="shared" si="10"/>
        <v>271.2</v>
      </c>
      <c r="T82" s="60">
        <f t="shared" si="10"/>
        <v>280.2</v>
      </c>
      <c r="U82" s="60">
        <f t="shared" si="10"/>
        <v>301</v>
      </c>
      <c r="V82" s="60">
        <f t="shared" si="10"/>
        <v>264</v>
      </c>
      <c r="W82" s="60">
        <f t="shared" si="10"/>
        <v>279.09999999999997</v>
      </c>
      <c r="X82" s="60">
        <f t="shared" si="10"/>
        <v>275</v>
      </c>
      <c r="Y82" s="60">
        <f t="shared" si="10"/>
        <v>280</v>
      </c>
      <c r="Z82" s="60">
        <f t="shared" si="10"/>
        <v>301.7</v>
      </c>
      <c r="AA82" s="60">
        <f t="shared" si="10"/>
        <v>283.8</v>
      </c>
      <c r="AB82" s="60">
        <f t="shared" si="10"/>
        <v>314.8</v>
      </c>
      <c r="AC82" s="60">
        <f t="shared" si="10"/>
        <v>165.2</v>
      </c>
      <c r="AD82" s="60">
        <f t="shared" si="10"/>
        <v>161</v>
      </c>
      <c r="AE82" s="60">
        <f t="shared" si="10"/>
        <v>82</v>
      </c>
      <c r="AF82" s="60">
        <f t="shared" si="10"/>
        <v>81</v>
      </c>
      <c r="AG82" s="88">
        <f>SUM(AG71:AG81)</f>
        <v>0</v>
      </c>
      <c r="AH82" s="47">
        <f t="shared" si="8"/>
        <v>314.8</v>
      </c>
      <c r="AI82" s="48">
        <f t="shared" si="9"/>
        <v>51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f>B48+B52+B70+B66+B82+B86</f>
        <v>1244.8400000000001</v>
      </c>
      <c r="C87" s="95">
        <f t="shared" ref="C87:AG87" si="11">C48+C52+C70+C66+C82+C86</f>
        <v>1232.74</v>
      </c>
      <c r="D87" s="95">
        <f>D48+D52+D70+D66+D82+D86</f>
        <v>1172.6399999999999</v>
      </c>
      <c r="E87" s="95">
        <f t="shared" si="11"/>
        <v>1150.54</v>
      </c>
      <c r="F87" s="95">
        <f t="shared" si="11"/>
        <v>1157.94</v>
      </c>
      <c r="G87" s="95">
        <f t="shared" si="11"/>
        <v>1180.6399999999999</v>
      </c>
      <c r="H87" s="95">
        <f t="shared" si="11"/>
        <v>1164.8400000000001</v>
      </c>
      <c r="I87" s="95">
        <f t="shared" si="11"/>
        <v>1215.8400000000001</v>
      </c>
      <c r="J87" s="95">
        <f t="shared" si="11"/>
        <v>1240.24</v>
      </c>
      <c r="K87" s="95">
        <f t="shared" si="11"/>
        <v>1290.8400000000001</v>
      </c>
      <c r="L87" s="95">
        <f t="shared" si="11"/>
        <v>1341.64</v>
      </c>
      <c r="M87" s="95">
        <f t="shared" si="11"/>
        <v>1348.3400000000001</v>
      </c>
      <c r="N87" s="95">
        <f t="shared" si="11"/>
        <v>1345.8400000000001</v>
      </c>
      <c r="O87" s="95">
        <f t="shared" si="11"/>
        <v>1362.44</v>
      </c>
      <c r="P87" s="95">
        <f t="shared" si="11"/>
        <v>1470.04</v>
      </c>
      <c r="Q87" s="95">
        <f t="shared" si="11"/>
        <v>1370.34</v>
      </c>
      <c r="R87" s="95">
        <f t="shared" si="11"/>
        <v>1387.34</v>
      </c>
      <c r="S87" s="95">
        <f t="shared" si="11"/>
        <v>1332.5400000000002</v>
      </c>
      <c r="T87" s="95">
        <f t="shared" si="11"/>
        <v>1154.3400000000001</v>
      </c>
      <c r="U87" s="95">
        <f t="shared" si="11"/>
        <v>1361.64</v>
      </c>
      <c r="V87" s="95">
        <f t="shared" si="11"/>
        <v>1317.64</v>
      </c>
      <c r="W87" s="95">
        <f t="shared" si="11"/>
        <v>1305.94</v>
      </c>
      <c r="X87" s="95">
        <f t="shared" si="11"/>
        <v>1279.0400000000002</v>
      </c>
      <c r="Y87" s="95">
        <f t="shared" si="11"/>
        <v>1270.6400000000001</v>
      </c>
      <c r="Z87" s="95">
        <f t="shared" si="11"/>
        <v>1418.4400000000003</v>
      </c>
      <c r="AA87" s="95">
        <f t="shared" si="11"/>
        <v>1415.94</v>
      </c>
      <c r="AB87" s="95">
        <f t="shared" si="11"/>
        <v>1452.04</v>
      </c>
      <c r="AC87" s="95">
        <f t="shared" si="11"/>
        <v>1511.44</v>
      </c>
      <c r="AD87" s="95">
        <f t="shared" si="11"/>
        <v>1622.84</v>
      </c>
      <c r="AE87" s="95">
        <f t="shared" si="11"/>
        <v>1544.0400000000002</v>
      </c>
      <c r="AF87" s="95">
        <f t="shared" si="11"/>
        <v>1493.0400000000002</v>
      </c>
      <c r="AG87" s="61">
        <f t="shared" si="11"/>
        <v>2065.09</v>
      </c>
      <c r="AH87" s="47">
        <f>MAX(B87:AF87)</f>
        <v>1622.84</v>
      </c>
      <c r="AI87" s="48">
        <f>MIN(B87:AF87)</f>
        <v>1150.54</v>
      </c>
    </row>
    <row r="88" spans="1:40" ht="15.75" thickBot="1" x14ac:dyDescent="0.3">
      <c r="A88" s="96" t="s">
        <v>99</v>
      </c>
      <c r="B88" s="97"/>
      <c r="C88" s="97"/>
      <c r="D88" s="97"/>
      <c r="E88" s="97"/>
      <c r="F88" s="97"/>
      <c r="G88" s="97"/>
      <c r="H88" s="97"/>
      <c r="I88" s="97">
        <v>20</v>
      </c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>
        <v>100</v>
      </c>
      <c r="Z88" s="97"/>
      <c r="AA88" s="97"/>
      <c r="AB88" s="97">
        <v>100</v>
      </c>
      <c r="AC88" s="97"/>
      <c r="AD88" s="97"/>
      <c r="AE88" s="97"/>
      <c r="AF88" s="97"/>
      <c r="AG88" s="88"/>
      <c r="AH88" s="47">
        <f t="shared" si="8"/>
        <v>100</v>
      </c>
      <c r="AI88" s="48">
        <f t="shared" si="9"/>
        <v>20</v>
      </c>
    </row>
    <row r="89" spans="1:40" ht="15.75" thickBot="1" x14ac:dyDescent="0.3">
      <c r="A89" s="74" t="s">
        <v>100</v>
      </c>
      <c r="B89" s="95">
        <f>B87+B88</f>
        <v>1244.8400000000001</v>
      </c>
      <c r="C89" s="95">
        <f t="shared" ref="C89:AF89" si="12">C87+C88</f>
        <v>1232.74</v>
      </c>
      <c r="D89" s="95">
        <f>D87+D88</f>
        <v>1172.6399999999999</v>
      </c>
      <c r="E89" s="95">
        <f t="shared" si="12"/>
        <v>1150.54</v>
      </c>
      <c r="F89" s="95">
        <f t="shared" si="12"/>
        <v>1157.94</v>
      </c>
      <c r="G89" s="95">
        <f t="shared" si="12"/>
        <v>1180.6399999999999</v>
      </c>
      <c r="H89" s="95">
        <f t="shared" si="12"/>
        <v>1164.8400000000001</v>
      </c>
      <c r="I89" s="95">
        <f t="shared" si="12"/>
        <v>1235.8400000000001</v>
      </c>
      <c r="J89" s="95">
        <f t="shared" si="12"/>
        <v>1240.24</v>
      </c>
      <c r="K89" s="95">
        <f t="shared" si="12"/>
        <v>1290.8400000000001</v>
      </c>
      <c r="L89" s="95">
        <f t="shared" si="12"/>
        <v>1341.64</v>
      </c>
      <c r="M89" s="95">
        <f t="shared" si="12"/>
        <v>1348.3400000000001</v>
      </c>
      <c r="N89" s="95">
        <f t="shared" si="12"/>
        <v>1345.8400000000001</v>
      </c>
      <c r="O89" s="95">
        <f t="shared" si="12"/>
        <v>1362.44</v>
      </c>
      <c r="P89" s="95">
        <f t="shared" si="12"/>
        <v>1470.04</v>
      </c>
      <c r="Q89" s="95">
        <f t="shared" si="12"/>
        <v>1370.34</v>
      </c>
      <c r="R89" s="95">
        <f t="shared" si="12"/>
        <v>1387.34</v>
      </c>
      <c r="S89" s="95">
        <f t="shared" si="12"/>
        <v>1332.5400000000002</v>
      </c>
      <c r="T89" s="95">
        <f t="shared" si="12"/>
        <v>1154.3400000000001</v>
      </c>
      <c r="U89" s="95">
        <f t="shared" si="12"/>
        <v>1361.64</v>
      </c>
      <c r="V89" s="95">
        <f t="shared" si="12"/>
        <v>1317.64</v>
      </c>
      <c r="W89" s="95">
        <f t="shared" si="12"/>
        <v>1305.94</v>
      </c>
      <c r="X89" s="95">
        <f t="shared" si="12"/>
        <v>1279.0400000000002</v>
      </c>
      <c r="Y89" s="95">
        <f t="shared" si="12"/>
        <v>1370.64</v>
      </c>
      <c r="Z89" s="95">
        <f t="shared" si="12"/>
        <v>1418.4400000000003</v>
      </c>
      <c r="AA89" s="95">
        <f t="shared" si="12"/>
        <v>1415.94</v>
      </c>
      <c r="AB89" s="95">
        <f t="shared" si="12"/>
        <v>1552.04</v>
      </c>
      <c r="AC89" s="95">
        <f t="shared" si="12"/>
        <v>1511.44</v>
      </c>
      <c r="AD89" s="95">
        <f t="shared" si="12"/>
        <v>1622.84</v>
      </c>
      <c r="AE89" s="95">
        <f t="shared" si="12"/>
        <v>1544.0400000000002</v>
      </c>
      <c r="AF89" s="95">
        <f t="shared" si="12"/>
        <v>1493.0400000000002</v>
      </c>
      <c r="AG89" s="88">
        <f>AG86+AG82+AG70+AG66+AG48+AG88</f>
        <v>1526.99</v>
      </c>
      <c r="AH89" s="47">
        <f t="shared" si="8"/>
        <v>1622.84</v>
      </c>
      <c r="AI89" s="48">
        <f t="shared" si="9"/>
        <v>1150.54</v>
      </c>
    </row>
    <row r="90" spans="1:40" ht="15.75" thickBot="1" x14ac:dyDescent="0.3">
      <c r="A90" s="74" t="s">
        <v>101</v>
      </c>
      <c r="B90" s="95">
        <f>B89-B97</f>
        <v>1244.8400000000001</v>
      </c>
      <c r="C90" s="95">
        <f t="shared" ref="C90:AF90" si="13">C89-C97</f>
        <v>1232.74</v>
      </c>
      <c r="D90" s="95">
        <f>D89-D97</f>
        <v>1172.6399999999999</v>
      </c>
      <c r="E90" s="95">
        <f t="shared" si="13"/>
        <v>1150.54</v>
      </c>
      <c r="F90" s="95">
        <f t="shared" si="13"/>
        <v>1157.94</v>
      </c>
      <c r="G90" s="95">
        <f t="shared" si="13"/>
        <v>1180.6399999999999</v>
      </c>
      <c r="H90" s="95">
        <f t="shared" si="13"/>
        <v>1164.8400000000001</v>
      </c>
      <c r="I90" s="95">
        <f t="shared" si="13"/>
        <v>1235.8400000000001</v>
      </c>
      <c r="J90" s="95">
        <f t="shared" si="13"/>
        <v>1240.24</v>
      </c>
      <c r="K90" s="95">
        <f t="shared" si="13"/>
        <v>1290.8400000000001</v>
      </c>
      <c r="L90" s="95">
        <f t="shared" si="13"/>
        <v>1341.64</v>
      </c>
      <c r="M90" s="95">
        <f t="shared" si="13"/>
        <v>1348.3400000000001</v>
      </c>
      <c r="N90" s="95">
        <f t="shared" si="13"/>
        <v>1345.8400000000001</v>
      </c>
      <c r="O90" s="95">
        <f t="shared" si="13"/>
        <v>1362.44</v>
      </c>
      <c r="P90" s="95">
        <f t="shared" si="13"/>
        <v>1470.04</v>
      </c>
      <c r="Q90" s="95">
        <f t="shared" si="13"/>
        <v>1370.34</v>
      </c>
      <c r="R90" s="95">
        <f t="shared" si="13"/>
        <v>1387.34</v>
      </c>
      <c r="S90" s="95">
        <f t="shared" si="13"/>
        <v>1332.5400000000002</v>
      </c>
      <c r="T90" s="95">
        <f t="shared" si="13"/>
        <v>1154.3400000000001</v>
      </c>
      <c r="U90" s="95">
        <f t="shared" si="13"/>
        <v>1361.64</v>
      </c>
      <c r="V90" s="95">
        <f t="shared" si="13"/>
        <v>1317.64</v>
      </c>
      <c r="W90" s="95">
        <f t="shared" si="13"/>
        <v>1305.94</v>
      </c>
      <c r="X90" s="95">
        <f t="shared" si="13"/>
        <v>1279.0400000000002</v>
      </c>
      <c r="Y90" s="95">
        <f t="shared" si="13"/>
        <v>1370.64</v>
      </c>
      <c r="Z90" s="95">
        <f t="shared" si="13"/>
        <v>1418.4400000000003</v>
      </c>
      <c r="AA90" s="95">
        <f t="shared" si="13"/>
        <v>1415.94</v>
      </c>
      <c r="AB90" s="95">
        <f t="shared" si="13"/>
        <v>1552.04</v>
      </c>
      <c r="AC90" s="95">
        <f t="shared" si="13"/>
        <v>1511.44</v>
      </c>
      <c r="AD90" s="95">
        <f t="shared" si="13"/>
        <v>1622.84</v>
      </c>
      <c r="AE90" s="95">
        <f t="shared" si="13"/>
        <v>1544.0400000000002</v>
      </c>
      <c r="AF90" s="95">
        <f t="shared" si="13"/>
        <v>1493.0400000000002</v>
      </c>
      <c r="AG90" s="88"/>
      <c r="AH90" s="47">
        <f t="shared" si="8"/>
        <v>1622.84</v>
      </c>
      <c r="AI90" s="48">
        <f t="shared" si="9"/>
        <v>1150.54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f>B82-B97</f>
        <v>210</v>
      </c>
      <c r="C98" s="60">
        <f t="shared" ref="C98:AF98" si="14">C82-C97</f>
        <v>60</v>
      </c>
      <c r="D98" s="60">
        <f>D82-D97</f>
        <v>56</v>
      </c>
      <c r="E98" s="60">
        <f t="shared" si="14"/>
        <v>51</v>
      </c>
      <c r="F98" s="60">
        <f t="shared" si="14"/>
        <v>141</v>
      </c>
      <c r="G98" s="60">
        <f t="shared" si="14"/>
        <v>140</v>
      </c>
      <c r="H98" s="60">
        <f t="shared" si="14"/>
        <v>152</v>
      </c>
      <c r="I98" s="60">
        <f t="shared" si="14"/>
        <v>230</v>
      </c>
      <c r="J98" s="60">
        <f t="shared" si="14"/>
        <v>273</v>
      </c>
      <c r="K98" s="60">
        <f t="shared" si="14"/>
        <v>283</v>
      </c>
      <c r="L98" s="60">
        <f t="shared" si="14"/>
        <v>280</v>
      </c>
      <c r="M98" s="60">
        <f t="shared" si="14"/>
        <v>280</v>
      </c>
      <c r="N98" s="60">
        <f t="shared" si="14"/>
        <v>280</v>
      </c>
      <c r="O98" s="60">
        <f t="shared" si="14"/>
        <v>285</v>
      </c>
      <c r="P98" s="60">
        <f t="shared" si="14"/>
        <v>298</v>
      </c>
      <c r="Q98" s="60">
        <f t="shared" si="14"/>
        <v>298</v>
      </c>
      <c r="R98" s="60">
        <f t="shared" si="14"/>
        <v>288</v>
      </c>
      <c r="S98" s="60">
        <f t="shared" si="14"/>
        <v>271.2</v>
      </c>
      <c r="T98" s="60">
        <f t="shared" si="14"/>
        <v>280.2</v>
      </c>
      <c r="U98" s="60">
        <f t="shared" si="14"/>
        <v>301</v>
      </c>
      <c r="V98" s="60">
        <f t="shared" si="14"/>
        <v>264</v>
      </c>
      <c r="W98" s="60">
        <f t="shared" si="14"/>
        <v>279.09999999999997</v>
      </c>
      <c r="X98" s="60">
        <f t="shared" si="14"/>
        <v>275</v>
      </c>
      <c r="Y98" s="60">
        <f t="shared" si="14"/>
        <v>280</v>
      </c>
      <c r="Z98" s="60">
        <f t="shared" si="14"/>
        <v>301.7</v>
      </c>
      <c r="AA98" s="60">
        <f t="shared" si="14"/>
        <v>283.8</v>
      </c>
      <c r="AB98" s="60">
        <f t="shared" si="14"/>
        <v>314.8</v>
      </c>
      <c r="AC98" s="60">
        <f t="shared" si="14"/>
        <v>165.2</v>
      </c>
      <c r="AD98" s="60">
        <f t="shared" si="14"/>
        <v>161</v>
      </c>
      <c r="AE98" s="60">
        <f t="shared" si="14"/>
        <v>82</v>
      </c>
      <c r="AF98" s="60">
        <f t="shared" si="14"/>
        <v>81</v>
      </c>
      <c r="AG98" s="88"/>
      <c r="AH98" s="47">
        <f t="shared" si="8"/>
        <v>314.8</v>
      </c>
      <c r="AI98" s="48">
        <f t="shared" si="9"/>
        <v>51</v>
      </c>
    </row>
    <row r="99" spans="1:37" x14ac:dyDescent="0.25">
      <c r="A99" s="100" t="s">
        <v>107</v>
      </c>
      <c r="B99" s="101">
        <v>49.99</v>
      </c>
      <c r="C99" s="101">
        <v>50</v>
      </c>
      <c r="D99" s="101">
        <v>49.98</v>
      </c>
      <c r="E99" s="101">
        <v>49.98</v>
      </c>
      <c r="F99" s="101">
        <v>49.936999999999998</v>
      </c>
      <c r="G99" s="101">
        <v>49.936</v>
      </c>
      <c r="H99" s="101">
        <v>50.045999999999999</v>
      </c>
      <c r="I99" s="101">
        <v>49.978000000000002</v>
      </c>
      <c r="J99" s="101">
        <v>49.978000000000002</v>
      </c>
      <c r="K99" s="101">
        <v>49.978000000000002</v>
      </c>
      <c r="L99" s="101">
        <v>50.036999999999999</v>
      </c>
      <c r="M99" s="101">
        <v>50.036999999999999</v>
      </c>
      <c r="N99" s="101">
        <v>50.110999999999997</v>
      </c>
      <c r="O99" s="101">
        <v>49.975999999999999</v>
      </c>
      <c r="P99" s="101">
        <v>49.996000000000002</v>
      </c>
      <c r="Q99" s="101">
        <v>49.996000000000002</v>
      </c>
      <c r="R99" s="101">
        <v>49.892000000000003</v>
      </c>
      <c r="S99" s="101">
        <v>50.713999999999999</v>
      </c>
      <c r="T99" s="101">
        <v>49.957999999999998</v>
      </c>
      <c r="U99" s="101">
        <v>49.98</v>
      </c>
      <c r="V99" s="101">
        <v>49.996000000000002</v>
      </c>
      <c r="W99" s="101">
        <v>50.094000000000001</v>
      </c>
      <c r="X99" s="101">
        <v>49.99</v>
      </c>
      <c r="Y99" s="101">
        <v>49.966000000000001</v>
      </c>
      <c r="Z99" s="101"/>
      <c r="AA99" s="101">
        <v>50.033999999999999</v>
      </c>
      <c r="AB99" s="101">
        <v>50.018000000000001</v>
      </c>
      <c r="AC99" s="101">
        <v>49.929000000000002</v>
      </c>
      <c r="AD99" s="101">
        <v>49.929000000000002</v>
      </c>
      <c r="AE99" s="101">
        <v>49.929000000000002</v>
      </c>
      <c r="AF99" s="101">
        <v>49.929000000000002</v>
      </c>
      <c r="AG99" s="102"/>
      <c r="AH99" s="47">
        <f t="shared" si="8"/>
        <v>50.713999999999999</v>
      </c>
      <c r="AI99" s="48">
        <f t="shared" si="9"/>
        <v>49.892000000000003</v>
      </c>
    </row>
    <row r="100" spans="1:37" x14ac:dyDescent="0.25">
      <c r="A100" s="103" t="s">
        <v>108</v>
      </c>
      <c r="B100" s="65">
        <v>122.6</v>
      </c>
      <c r="C100" s="65">
        <v>1232.9000000000001</v>
      </c>
      <c r="D100" s="65">
        <v>124.1</v>
      </c>
      <c r="E100" s="65">
        <v>125.8</v>
      </c>
      <c r="F100" s="65">
        <v>125.9</v>
      </c>
      <c r="G100" s="65">
        <v>124.7</v>
      </c>
      <c r="H100" s="65">
        <v>125.6</v>
      </c>
      <c r="I100" s="65">
        <v>124.1</v>
      </c>
      <c r="J100" s="65">
        <v>124.1</v>
      </c>
      <c r="K100" s="65">
        <v>124.1</v>
      </c>
      <c r="L100" s="65">
        <v>122</v>
      </c>
      <c r="M100" s="65">
        <v>119.9</v>
      </c>
      <c r="N100" s="65">
        <v>120.3</v>
      </c>
      <c r="O100" s="65">
        <v>119.6</v>
      </c>
      <c r="P100" s="65">
        <v>118.3</v>
      </c>
      <c r="Q100" s="65">
        <v>118.3</v>
      </c>
      <c r="R100" s="65">
        <v>120.1</v>
      </c>
      <c r="S100" s="65">
        <v>117.6</v>
      </c>
      <c r="T100" s="65">
        <v>122.6</v>
      </c>
      <c r="U100" s="65">
        <v>219.5</v>
      </c>
      <c r="V100" s="65">
        <v>121.6</v>
      </c>
      <c r="W100" s="65">
        <v>121.6</v>
      </c>
      <c r="X100" s="65">
        <v>122</v>
      </c>
      <c r="Y100" s="65">
        <v>127.1</v>
      </c>
      <c r="Z100" s="65"/>
      <c r="AA100" s="65">
        <v>126.2</v>
      </c>
      <c r="AB100" s="65">
        <v>125</v>
      </c>
      <c r="AC100" s="65">
        <v>123.8</v>
      </c>
      <c r="AD100" s="65">
        <v>123.8</v>
      </c>
      <c r="AE100" s="65">
        <v>123.8</v>
      </c>
      <c r="AF100" s="65">
        <v>123.8</v>
      </c>
      <c r="AG100" s="104"/>
      <c r="AH100" s="47">
        <f t="shared" si="8"/>
        <v>1232.9000000000001</v>
      </c>
      <c r="AI100" s="48">
        <f t="shared" si="9"/>
        <v>117.6</v>
      </c>
    </row>
    <row r="101" spans="1:37" x14ac:dyDescent="0.25">
      <c r="A101" s="103" t="s">
        <v>109</v>
      </c>
      <c r="B101" s="65">
        <v>129.4</v>
      </c>
      <c r="C101" s="65">
        <v>129.1</v>
      </c>
      <c r="D101" s="65">
        <v>130.19999999999999</v>
      </c>
      <c r="E101" s="65">
        <v>130.80000000000001</v>
      </c>
      <c r="F101" s="65">
        <v>131.1</v>
      </c>
      <c r="G101" s="65">
        <v>129.69999999999999</v>
      </c>
      <c r="H101" s="65">
        <v>130</v>
      </c>
      <c r="I101" s="65">
        <v>128.6</v>
      </c>
      <c r="J101" s="65">
        <v>128.6</v>
      </c>
      <c r="K101" s="65">
        <v>128.6</v>
      </c>
      <c r="L101" s="65">
        <v>126.2</v>
      </c>
      <c r="M101" s="65">
        <v>125.3</v>
      </c>
      <c r="N101" s="65">
        <v>126</v>
      </c>
      <c r="O101" s="65">
        <v>124.8</v>
      </c>
      <c r="P101" s="65">
        <v>118.6</v>
      </c>
      <c r="Q101" s="65">
        <v>118.6</v>
      </c>
      <c r="R101" s="65">
        <v>125.6</v>
      </c>
      <c r="S101" s="65">
        <v>124</v>
      </c>
      <c r="T101" s="65">
        <v>127.7</v>
      </c>
      <c r="U101" s="65">
        <v>125.1</v>
      </c>
      <c r="V101" s="65">
        <v>126.9</v>
      </c>
      <c r="W101" s="65">
        <v>126.8</v>
      </c>
      <c r="X101" s="65">
        <v>127</v>
      </c>
      <c r="Y101" s="65">
        <v>129.9</v>
      </c>
      <c r="Z101" s="65"/>
      <c r="AA101" s="65">
        <v>129.5</v>
      </c>
      <c r="AB101" s="65">
        <v>129</v>
      </c>
      <c r="AC101" s="65">
        <v>128.5</v>
      </c>
      <c r="AD101" s="65">
        <v>128.5</v>
      </c>
      <c r="AE101" s="65">
        <v>128.5</v>
      </c>
      <c r="AF101" s="65">
        <v>128.5</v>
      </c>
      <c r="AG101" s="104"/>
      <c r="AH101" s="47">
        <f t="shared" si="8"/>
        <v>131.1</v>
      </c>
      <c r="AI101" s="48">
        <f t="shared" si="9"/>
        <v>118.6</v>
      </c>
    </row>
    <row r="102" spans="1:37" x14ac:dyDescent="0.25">
      <c r="A102" s="103" t="s">
        <v>110</v>
      </c>
      <c r="B102" s="65">
        <v>129.19999999999999</v>
      </c>
      <c r="C102" s="65">
        <v>128.80000000000001</v>
      </c>
      <c r="D102" s="65">
        <v>130.4</v>
      </c>
      <c r="E102" s="65">
        <v>131.69999999999999</v>
      </c>
      <c r="F102" s="65">
        <v>131.1</v>
      </c>
      <c r="G102" s="65">
        <v>131.19999999999999</v>
      </c>
      <c r="H102" s="65">
        <v>131</v>
      </c>
      <c r="I102" s="65">
        <v>126.3</v>
      </c>
      <c r="J102" s="65">
        <v>126.3</v>
      </c>
      <c r="K102" s="65">
        <v>126.3</v>
      </c>
      <c r="L102" s="65">
        <v>127.4</v>
      </c>
      <c r="M102" s="65">
        <v>124.6</v>
      </c>
      <c r="N102" s="65">
        <v>126.9</v>
      </c>
      <c r="O102" s="65">
        <v>126.1</v>
      </c>
      <c r="P102" s="65">
        <v>124.5</v>
      </c>
      <c r="Q102" s="65">
        <v>124.5</v>
      </c>
      <c r="R102" s="65">
        <v>126.5</v>
      </c>
      <c r="S102" s="65">
        <v>127</v>
      </c>
      <c r="T102" s="65">
        <v>128.19999999999999</v>
      </c>
      <c r="U102" s="65">
        <v>128.30000000000001</v>
      </c>
      <c r="V102" s="65">
        <v>129.5</v>
      </c>
      <c r="W102" s="65">
        <v>129</v>
      </c>
      <c r="X102" s="65">
        <v>129.6</v>
      </c>
      <c r="Y102" s="65">
        <v>131.69999999999999</v>
      </c>
      <c r="Z102" s="65"/>
      <c r="AA102" s="65">
        <v>130</v>
      </c>
      <c r="AB102" s="65">
        <v>129</v>
      </c>
      <c r="AC102" s="65">
        <v>125.7</v>
      </c>
      <c r="AD102" s="65">
        <v>125.7</v>
      </c>
      <c r="AE102" s="65">
        <v>125.7</v>
      </c>
      <c r="AF102" s="65">
        <v>125.7</v>
      </c>
      <c r="AG102" s="104"/>
      <c r="AH102" s="47">
        <f t="shared" si="8"/>
        <v>131.69999999999999</v>
      </c>
      <c r="AI102" s="48">
        <f t="shared" si="9"/>
        <v>124.5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>
        <v>128.80000000000001</v>
      </c>
      <c r="C104" s="106">
        <v>130.1</v>
      </c>
      <c r="D104" s="106">
        <v>131.19999999999999</v>
      </c>
      <c r="E104" s="106">
        <v>132.6</v>
      </c>
      <c r="F104" s="106">
        <v>134.9</v>
      </c>
      <c r="G104" s="106">
        <v>131.6</v>
      </c>
      <c r="H104" s="106">
        <v>131</v>
      </c>
      <c r="I104" s="106">
        <v>133.1</v>
      </c>
      <c r="J104" s="106">
        <v>133.1</v>
      </c>
      <c r="K104" s="106">
        <v>133.1</v>
      </c>
      <c r="L104" s="106">
        <v>130.4</v>
      </c>
      <c r="M104" s="106">
        <v>129.80000000000001</v>
      </c>
      <c r="N104" s="106">
        <v>130.19999999999999</v>
      </c>
      <c r="O104" s="106">
        <v>132.19999999999999</v>
      </c>
      <c r="P104" s="106">
        <v>127.6</v>
      </c>
      <c r="Q104" s="106">
        <v>127.6</v>
      </c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7"/>
      <c r="AH104" s="47">
        <f t="shared" si="8"/>
        <v>134.9</v>
      </c>
      <c r="AI104" s="48">
        <f t="shared" si="9"/>
        <v>127.6</v>
      </c>
    </row>
    <row r="105" spans="1:37" x14ac:dyDescent="0.25">
      <c r="A105" s="103" t="s">
        <v>113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>
        <v>132</v>
      </c>
      <c r="T105" s="65">
        <v>131.6</v>
      </c>
      <c r="U105" s="65">
        <v>124.5</v>
      </c>
      <c r="V105" s="65">
        <v>129.1</v>
      </c>
      <c r="W105" s="65">
        <v>130.9</v>
      </c>
      <c r="X105" s="65">
        <v>129</v>
      </c>
      <c r="Y105" s="65">
        <v>132.69999999999999</v>
      </c>
      <c r="Z105" s="65"/>
      <c r="AA105" s="65">
        <v>132.30000000000001</v>
      </c>
      <c r="AB105" s="65">
        <v>131</v>
      </c>
      <c r="AC105" s="65">
        <v>125.2</v>
      </c>
      <c r="AD105" s="65">
        <v>125.2</v>
      </c>
      <c r="AE105" s="65">
        <v>125.2</v>
      </c>
      <c r="AF105" s="65">
        <v>125.2</v>
      </c>
      <c r="AG105" s="104"/>
      <c r="AH105" s="47">
        <f t="shared" si="8"/>
        <v>132.69999999999999</v>
      </c>
      <c r="AI105" s="48">
        <f t="shared" si="9"/>
        <v>124.5</v>
      </c>
    </row>
    <row r="106" spans="1:37" ht="15.75" thickBot="1" x14ac:dyDescent="0.3">
      <c r="A106" s="103" t="s">
        <v>114</v>
      </c>
      <c r="B106" s="92">
        <v>65.3</v>
      </c>
      <c r="C106" s="92">
        <v>65.2</v>
      </c>
      <c r="D106" s="92">
        <v>65.7</v>
      </c>
      <c r="E106" s="92">
        <v>65.900000000000006</v>
      </c>
      <c r="F106" s="92">
        <v>66</v>
      </c>
      <c r="G106" s="92">
        <v>65.2</v>
      </c>
      <c r="H106" s="92">
        <v>65.099999999999994</v>
      </c>
      <c r="I106" s="92">
        <v>64.8</v>
      </c>
      <c r="J106" s="92">
        <v>64.8</v>
      </c>
      <c r="K106" s="92">
        <v>64.8</v>
      </c>
      <c r="L106" s="92">
        <v>63.4</v>
      </c>
      <c r="M106" s="92">
        <v>62.7</v>
      </c>
      <c r="N106" s="92">
        <v>62.7</v>
      </c>
      <c r="O106" s="92">
        <v>62</v>
      </c>
      <c r="P106" s="92">
        <v>62.6</v>
      </c>
      <c r="Q106" s="92">
        <v>62.6</v>
      </c>
      <c r="R106" s="92">
        <v>62.6</v>
      </c>
      <c r="S106" s="92">
        <v>62.3</v>
      </c>
      <c r="T106" s="92">
        <v>63.8</v>
      </c>
      <c r="U106" s="92">
        <v>62.3</v>
      </c>
      <c r="V106" s="92">
        <v>63.4</v>
      </c>
      <c r="W106" s="92">
        <v>63.3</v>
      </c>
      <c r="X106" s="92">
        <v>63.7</v>
      </c>
      <c r="Y106" s="92">
        <v>64.8</v>
      </c>
      <c r="Z106" s="92"/>
      <c r="AA106" s="92">
        <v>64.900000000000006</v>
      </c>
      <c r="AB106" s="92">
        <v>64.8</v>
      </c>
      <c r="AC106" s="92">
        <v>64.599999999999994</v>
      </c>
      <c r="AD106" s="92">
        <v>64.599999999999994</v>
      </c>
      <c r="AE106" s="92">
        <v>64.599999999999994</v>
      </c>
      <c r="AF106" s="92">
        <v>64.599999999999994</v>
      </c>
      <c r="AG106" s="108"/>
      <c r="AH106" s="47">
        <f t="shared" si="8"/>
        <v>66</v>
      </c>
      <c r="AI106" s="48">
        <f t="shared" si="9"/>
        <v>62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f>SUM(B18,B24,B27:B28,B56,B58:B59,B61,B63,B109:B113,B135,B141,B147,B156,B158,B170,B177,B180:B181,B188,B190,B192,B196:B198,B200:B202,B207,B213:B214,B216:B218,B226,B231)</f>
        <v>26.6</v>
      </c>
      <c r="C108" s="111">
        <f t="shared" ref="C108:AF108" si="15">SUM(C18,C24,C27:C28,C56,C58:C59,C61,C63,C109:C113,C135,C141,C147,C156,C158,C170,C177,C180:C181,C188,C190,C192,C196:C198,C200:C202,C207,C213:C214,C216:C218,C226,C231)</f>
        <v>25.540000000000003</v>
      </c>
      <c r="D108" s="111">
        <f t="shared" si="15"/>
        <v>30.639999999999997</v>
      </c>
      <c r="E108" s="111">
        <f t="shared" si="15"/>
        <v>20.739999999999984</v>
      </c>
      <c r="F108" s="111">
        <f t="shared" si="15"/>
        <v>26.739999999999984</v>
      </c>
      <c r="G108" s="111">
        <f t="shared" si="15"/>
        <v>61.44</v>
      </c>
      <c r="H108" s="111">
        <f t="shared" si="15"/>
        <v>88.639999999999986</v>
      </c>
      <c r="I108" s="111">
        <f t="shared" si="15"/>
        <v>134.03999999999996</v>
      </c>
      <c r="J108" s="111">
        <f t="shared" si="15"/>
        <v>141.43999999999994</v>
      </c>
      <c r="K108" s="111">
        <f t="shared" si="15"/>
        <v>159.03999999999996</v>
      </c>
      <c r="L108" s="111">
        <f t="shared" si="15"/>
        <v>214.93999999999994</v>
      </c>
      <c r="M108" s="111">
        <f t="shared" si="15"/>
        <v>212.14000000000001</v>
      </c>
      <c r="N108" s="111">
        <f t="shared" si="15"/>
        <v>196.24</v>
      </c>
      <c r="O108" s="111">
        <f t="shared" si="15"/>
        <v>220.14000000000001</v>
      </c>
      <c r="P108" s="111">
        <v>42</v>
      </c>
      <c r="Q108" s="111">
        <f t="shared" si="15"/>
        <v>223.10000000000002</v>
      </c>
      <c r="R108" s="111">
        <f t="shared" si="15"/>
        <v>171.50000000000006</v>
      </c>
      <c r="S108" s="111">
        <f t="shared" si="15"/>
        <v>197.9</v>
      </c>
      <c r="T108" s="111">
        <f t="shared" si="15"/>
        <v>144</v>
      </c>
      <c r="U108" s="111">
        <f t="shared" si="15"/>
        <v>191.20000000000005</v>
      </c>
      <c r="V108" s="111">
        <f t="shared" si="15"/>
        <v>203.2</v>
      </c>
      <c r="W108" s="111">
        <f t="shared" si="15"/>
        <v>215.09999999999997</v>
      </c>
      <c r="X108" s="111">
        <f t="shared" si="15"/>
        <v>206.19999999999996</v>
      </c>
      <c r="Y108" s="111">
        <f t="shared" si="15"/>
        <v>241.99999999999997</v>
      </c>
      <c r="Z108" s="111">
        <f t="shared" si="15"/>
        <v>109.99999999999999</v>
      </c>
      <c r="AA108" s="111">
        <f t="shared" si="15"/>
        <v>494.6</v>
      </c>
      <c r="AB108" s="111">
        <f t="shared" si="15"/>
        <v>269.60000000000002</v>
      </c>
      <c r="AC108" s="111">
        <f t="shared" si="15"/>
        <v>226.1</v>
      </c>
      <c r="AD108" s="111">
        <f t="shared" si="15"/>
        <v>226.1</v>
      </c>
      <c r="AE108" s="111">
        <f t="shared" si="15"/>
        <v>223.29999999999998</v>
      </c>
      <c r="AF108" s="111">
        <f t="shared" si="15"/>
        <v>223.29999999999998</v>
      </c>
      <c r="AG108" s="112"/>
      <c r="AH108" s="47">
        <f t="shared" si="8"/>
        <v>494.6</v>
      </c>
      <c r="AI108" s="48">
        <f t="shared" si="9"/>
        <v>20.739999999999984</v>
      </c>
    </row>
    <row r="109" spans="1:37" x14ac:dyDescent="0.25">
      <c r="A109" s="100" t="s">
        <v>117</v>
      </c>
      <c r="B109" s="113">
        <v>55.8</v>
      </c>
      <c r="C109" s="113">
        <v>56.8</v>
      </c>
      <c r="D109" s="113">
        <v>53.1</v>
      </c>
      <c r="E109" s="113">
        <v>47</v>
      </c>
      <c r="F109" s="113">
        <v>49.5</v>
      </c>
      <c r="G109" s="113">
        <v>62.4</v>
      </c>
      <c r="H109" s="113">
        <v>64</v>
      </c>
      <c r="I109" s="113">
        <v>67.599999999999994</v>
      </c>
      <c r="J109" s="113">
        <v>67.599999999999994</v>
      </c>
      <c r="K109" s="113">
        <v>67.599999999999994</v>
      </c>
      <c r="L109" s="113">
        <v>87</v>
      </c>
      <c r="M109" s="113">
        <v>92.6</v>
      </c>
      <c r="N109" s="113">
        <v>91.8</v>
      </c>
      <c r="O109" s="113">
        <v>89.9</v>
      </c>
      <c r="P109" s="113">
        <v>90.5</v>
      </c>
      <c r="Q109" s="113">
        <v>90.5</v>
      </c>
      <c r="R109" s="113">
        <v>85.3</v>
      </c>
      <c r="S109" s="113">
        <v>84</v>
      </c>
      <c r="T109" s="113">
        <v>83</v>
      </c>
      <c r="U109" s="113">
        <v>57.2</v>
      </c>
      <c r="V109" s="113">
        <v>78.7</v>
      </c>
      <c r="W109" s="113">
        <v>78.599999999999994</v>
      </c>
      <c r="X109" s="113">
        <v>83</v>
      </c>
      <c r="Y109" s="113">
        <v>37.1</v>
      </c>
      <c r="Z109" s="113"/>
      <c r="AA109" s="113">
        <v>274.10000000000002</v>
      </c>
      <c r="AB109" s="113">
        <v>33.200000000000003</v>
      </c>
      <c r="AC109" s="113">
        <v>36</v>
      </c>
      <c r="AD109" s="113">
        <v>36</v>
      </c>
      <c r="AE109" s="113">
        <v>36</v>
      </c>
      <c r="AF109" s="113">
        <v>36</v>
      </c>
      <c r="AG109" s="114">
        <v>75</v>
      </c>
      <c r="AH109" s="47">
        <f t="shared" si="8"/>
        <v>274.10000000000002</v>
      </c>
      <c r="AI109" s="48">
        <f t="shared" si="9"/>
        <v>33.200000000000003</v>
      </c>
    </row>
    <row r="110" spans="1:37" x14ac:dyDescent="0.25">
      <c r="A110" s="103" t="s">
        <v>118</v>
      </c>
      <c r="B110" s="115">
        <v>83.2</v>
      </c>
      <c r="C110" s="115">
        <v>85.4</v>
      </c>
      <c r="D110" s="115">
        <v>81.599999999999994</v>
      </c>
      <c r="E110" s="115">
        <v>71.400000000000006</v>
      </c>
      <c r="F110" s="115">
        <v>74.900000000000006</v>
      </c>
      <c r="G110" s="115">
        <v>93.4</v>
      </c>
      <c r="H110" s="115">
        <v>95</v>
      </c>
      <c r="I110" s="115">
        <v>102.1</v>
      </c>
      <c r="J110" s="115">
        <v>102.1</v>
      </c>
      <c r="K110" s="115">
        <v>102.1</v>
      </c>
      <c r="L110" s="115">
        <v>125.4</v>
      </c>
      <c r="M110" s="115">
        <v>132.6</v>
      </c>
      <c r="N110" s="115">
        <v>132.80000000000001</v>
      </c>
      <c r="O110" s="115">
        <v>127.9</v>
      </c>
      <c r="P110" s="115">
        <v>128.30000000000001</v>
      </c>
      <c r="Q110" s="115">
        <v>128.30000000000001</v>
      </c>
      <c r="R110" s="115">
        <v>84.9</v>
      </c>
      <c r="S110" s="115">
        <v>121</v>
      </c>
      <c r="T110" s="115">
        <v>118.2</v>
      </c>
      <c r="U110" s="115">
        <v>119.2</v>
      </c>
      <c r="V110" s="115">
        <v>109.9</v>
      </c>
      <c r="W110" s="115">
        <v>109.7</v>
      </c>
      <c r="X110" s="115">
        <v>116.9</v>
      </c>
      <c r="Y110" s="115">
        <v>55.6</v>
      </c>
      <c r="Z110" s="115"/>
      <c r="AA110" s="115">
        <v>41.7</v>
      </c>
      <c r="AB110" s="115">
        <v>80.400000000000006</v>
      </c>
      <c r="AC110" s="115">
        <v>55.1</v>
      </c>
      <c r="AD110" s="115">
        <v>55.1</v>
      </c>
      <c r="AE110" s="115">
        <v>55.1</v>
      </c>
      <c r="AF110" s="115">
        <v>55.1</v>
      </c>
      <c r="AG110" s="114">
        <v>240</v>
      </c>
      <c r="AH110" s="47">
        <f t="shared" si="8"/>
        <v>132.80000000000001</v>
      </c>
      <c r="AI110" s="48">
        <f t="shared" si="9"/>
        <v>41.7</v>
      </c>
    </row>
    <row r="111" spans="1:37" x14ac:dyDescent="0.25">
      <c r="A111" s="103" t="s">
        <v>119</v>
      </c>
      <c r="B111" s="115">
        <f>-88.1-93.6</f>
        <v>-181.7</v>
      </c>
      <c r="C111" s="115">
        <f>-89.5-94.9</f>
        <v>-184.4</v>
      </c>
      <c r="D111" s="115">
        <f>-87.1-87.9</f>
        <v>-175</v>
      </c>
      <c r="E111" s="115">
        <v>-171</v>
      </c>
      <c r="F111" s="115">
        <v>-173</v>
      </c>
      <c r="G111" s="115">
        <v>-170</v>
      </c>
      <c r="H111" s="115">
        <v>-150</v>
      </c>
      <c r="I111" s="115">
        <v>-164</v>
      </c>
      <c r="J111" s="115">
        <v>-164</v>
      </c>
      <c r="K111" s="115">
        <v>-164</v>
      </c>
      <c r="L111" s="115">
        <v>-164</v>
      </c>
      <c r="M111" s="115">
        <v>-175</v>
      </c>
      <c r="N111" s="115">
        <v>-180</v>
      </c>
      <c r="O111" s="115">
        <v>-174</v>
      </c>
      <c r="P111" s="115">
        <v>-170</v>
      </c>
      <c r="Q111" s="115">
        <v>-170</v>
      </c>
      <c r="R111" s="115">
        <v>-175</v>
      </c>
      <c r="S111" s="115">
        <v>-170</v>
      </c>
      <c r="T111" s="115">
        <v>-166</v>
      </c>
      <c r="U111" s="115">
        <v>-161.1</v>
      </c>
      <c r="V111" s="115">
        <v>-149.6</v>
      </c>
      <c r="W111" s="115">
        <v>-140</v>
      </c>
      <c r="X111" s="115">
        <v>-149</v>
      </c>
      <c r="Y111" s="115">
        <v>-41.5</v>
      </c>
      <c r="Z111" s="115"/>
      <c r="AA111" s="115">
        <v>-63.5</v>
      </c>
      <c r="AB111" s="115">
        <v>-51</v>
      </c>
      <c r="AC111" s="115">
        <v>-66</v>
      </c>
      <c r="AD111" s="115">
        <v>-66</v>
      </c>
      <c r="AE111" s="115">
        <v>-66</v>
      </c>
      <c r="AF111" s="115">
        <v>-66</v>
      </c>
      <c r="AG111" s="114">
        <v>240</v>
      </c>
      <c r="AH111" s="47">
        <f t="shared" si="8"/>
        <v>-41.5</v>
      </c>
      <c r="AI111" s="48">
        <f t="shared" si="9"/>
        <v>-184.4</v>
      </c>
    </row>
    <row r="112" spans="1:37" x14ac:dyDescent="0.25">
      <c r="A112" s="103" t="s">
        <v>120</v>
      </c>
      <c r="B112" s="115">
        <v>-15.9</v>
      </c>
      <c r="C112" s="115">
        <v>-18.399999999999999</v>
      </c>
      <c r="D112" s="115">
        <v>-15.4</v>
      </c>
      <c r="E112" s="115">
        <v>-13</v>
      </c>
      <c r="F112" s="115">
        <v>-11</v>
      </c>
      <c r="G112" s="115">
        <v>-10</v>
      </c>
      <c r="H112" s="115">
        <v>-6</v>
      </c>
      <c r="I112" s="115">
        <v>-5.7</v>
      </c>
      <c r="J112" s="115">
        <v>-5.7</v>
      </c>
      <c r="K112" s="115">
        <v>-5.7</v>
      </c>
      <c r="L112" s="115">
        <v>-8</v>
      </c>
      <c r="M112" s="115">
        <v>-11.8</v>
      </c>
      <c r="N112" s="115">
        <v>-14.2</v>
      </c>
      <c r="O112" s="115">
        <v>-5.6</v>
      </c>
      <c r="P112" s="115">
        <v>8.5</v>
      </c>
      <c r="Q112" s="115">
        <v>8.5</v>
      </c>
      <c r="R112" s="115">
        <v>-3.4</v>
      </c>
      <c r="S112" s="115">
        <v>-4</v>
      </c>
      <c r="T112" s="115">
        <v>3.6</v>
      </c>
      <c r="U112" s="115">
        <v>0.8</v>
      </c>
      <c r="V112" s="115">
        <v>-4.8</v>
      </c>
      <c r="W112" s="115">
        <v>-5.9</v>
      </c>
      <c r="X112" s="115">
        <v>-6.3</v>
      </c>
      <c r="Y112" s="115">
        <v>4.7</v>
      </c>
      <c r="Z112" s="115"/>
      <c r="AA112" s="115">
        <v>40.299999999999997</v>
      </c>
      <c r="AB112" s="115">
        <v>23</v>
      </c>
      <c r="AC112" s="115">
        <v>17</v>
      </c>
      <c r="AD112" s="115">
        <v>17</v>
      </c>
      <c r="AE112" s="115">
        <v>17</v>
      </c>
      <c r="AF112" s="115">
        <v>17</v>
      </c>
      <c r="AG112" s="114">
        <v>60</v>
      </c>
      <c r="AH112" s="47">
        <f t="shared" si="8"/>
        <v>40.299999999999997</v>
      </c>
      <c r="AI112" s="48">
        <f t="shared" si="9"/>
        <v>-18.399999999999999</v>
      </c>
    </row>
    <row r="113" spans="1:37" x14ac:dyDescent="0.25">
      <c r="A113" s="116" t="s">
        <v>121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47.4</v>
      </c>
      <c r="J113" s="117">
        <v>47.4</v>
      </c>
      <c r="K113" s="117">
        <v>47.4</v>
      </c>
      <c r="L113" s="117">
        <v>47.2</v>
      </c>
      <c r="M113" s="117">
        <v>46.4</v>
      </c>
      <c r="N113" s="117">
        <v>38.5</v>
      </c>
      <c r="O113" s="117">
        <v>48.5</v>
      </c>
      <c r="P113" s="117">
        <v>30.8</v>
      </c>
      <c r="Q113" s="117">
        <v>30.8</v>
      </c>
      <c r="R113" s="117">
        <v>42.7</v>
      </c>
      <c r="S113" s="117">
        <v>42.6</v>
      </c>
      <c r="T113" s="117">
        <v>42.3</v>
      </c>
      <c r="U113" s="117">
        <v>52.7</v>
      </c>
      <c r="V113" s="117">
        <v>52.6</v>
      </c>
      <c r="W113" s="117">
        <v>60.7</v>
      </c>
      <c r="X113" s="117">
        <v>51.6</v>
      </c>
      <c r="Y113" s="117">
        <v>76.099999999999994</v>
      </c>
      <c r="Z113" s="117"/>
      <c r="AA113" s="117">
        <v>92</v>
      </c>
      <c r="AB113" s="117">
        <v>74</v>
      </c>
      <c r="AC113" s="117">
        <v>74</v>
      </c>
      <c r="AD113" s="117">
        <v>74</v>
      </c>
      <c r="AE113" s="117">
        <v>74</v>
      </c>
      <c r="AF113" s="117">
        <v>74</v>
      </c>
      <c r="AG113" s="118">
        <v>120</v>
      </c>
      <c r="AH113" s="47">
        <f t="shared" si="8"/>
        <v>92</v>
      </c>
      <c r="AI113" s="48">
        <f t="shared" si="9"/>
        <v>0</v>
      </c>
    </row>
    <row r="114" spans="1:37" x14ac:dyDescent="0.25">
      <c r="A114" s="116" t="s">
        <v>122</v>
      </c>
      <c r="B114" s="117">
        <v>89.1</v>
      </c>
      <c r="C114" s="117">
        <v>80.7</v>
      </c>
      <c r="D114" s="117">
        <v>90.4</v>
      </c>
      <c r="E114" s="117">
        <v>81</v>
      </c>
      <c r="F114" s="117">
        <v>89</v>
      </c>
      <c r="G114" s="117">
        <v>77</v>
      </c>
      <c r="H114" s="117">
        <v>75</v>
      </c>
      <c r="I114" s="117">
        <v>77</v>
      </c>
      <c r="J114" s="117">
        <v>77</v>
      </c>
      <c r="K114" s="117">
        <v>77</v>
      </c>
      <c r="L114" s="117">
        <v>72</v>
      </c>
      <c r="M114" s="117">
        <v>77.8</v>
      </c>
      <c r="N114" s="117">
        <v>78.400000000000006</v>
      </c>
      <c r="O114" s="117">
        <v>82.1</v>
      </c>
      <c r="P114" s="117">
        <v>64.7</v>
      </c>
      <c r="Q114" s="117">
        <v>64.7</v>
      </c>
      <c r="R114" s="117">
        <v>72.400000000000006</v>
      </c>
      <c r="S114" s="117">
        <v>77</v>
      </c>
      <c r="T114" s="117">
        <v>64.7</v>
      </c>
      <c r="U114" s="117">
        <v>80.7</v>
      </c>
      <c r="V114" s="117">
        <v>77</v>
      </c>
      <c r="W114" s="117">
        <v>76.2</v>
      </c>
      <c r="X114" s="117">
        <v>73.2</v>
      </c>
      <c r="Y114" s="117">
        <v>74.5</v>
      </c>
      <c r="Z114" s="117"/>
      <c r="AA114" s="117">
        <v>77.2</v>
      </c>
      <c r="AB114" s="117">
        <v>67</v>
      </c>
      <c r="AC114" s="117">
        <v>68</v>
      </c>
      <c r="AD114" s="117">
        <v>68</v>
      </c>
      <c r="AE114" s="117">
        <v>68</v>
      </c>
      <c r="AF114" s="117">
        <v>68</v>
      </c>
      <c r="AG114" s="118"/>
      <c r="AH114" s="47">
        <f t="shared" si="8"/>
        <v>90.4</v>
      </c>
      <c r="AI114" s="48">
        <f t="shared" si="9"/>
        <v>64.7</v>
      </c>
    </row>
    <row r="115" spans="1:37" x14ac:dyDescent="0.25">
      <c r="A115" s="116" t="s">
        <v>123</v>
      </c>
      <c r="B115" s="117">
        <v>16</v>
      </c>
      <c r="C115" s="117">
        <v>13</v>
      </c>
      <c r="D115" s="117">
        <v>10.3</v>
      </c>
      <c r="E115" s="117">
        <v>18</v>
      </c>
      <c r="F115" s="117">
        <v>15</v>
      </c>
      <c r="G115" s="117">
        <v>12.8</v>
      </c>
      <c r="H115" s="117">
        <v>13</v>
      </c>
      <c r="I115" s="117">
        <v>2</v>
      </c>
      <c r="J115" s="117">
        <v>2</v>
      </c>
      <c r="K115" s="117">
        <v>2</v>
      </c>
      <c r="L115" s="117">
        <v>-5</v>
      </c>
      <c r="M115" s="117">
        <v>-11.4</v>
      </c>
      <c r="N115" s="117">
        <v>-4.0999999999999996</v>
      </c>
      <c r="O115" s="117">
        <v>-8.3000000000000007</v>
      </c>
      <c r="P115" s="117">
        <v>-5.2</v>
      </c>
      <c r="Q115" s="117">
        <v>-5.2</v>
      </c>
      <c r="R115" s="117">
        <v>0.4</v>
      </c>
      <c r="S115" s="117">
        <v>2.6</v>
      </c>
      <c r="T115" s="117">
        <v>-0.5</v>
      </c>
      <c r="U115" s="117">
        <v>-4.7</v>
      </c>
      <c r="V115" s="117">
        <v>-3.3</v>
      </c>
      <c r="W115" s="117">
        <v>-1.5</v>
      </c>
      <c r="X115" s="117">
        <v>2</v>
      </c>
      <c r="Y115" s="117">
        <v>5.6</v>
      </c>
      <c r="Z115" s="117"/>
      <c r="AA115" s="117">
        <v>19.3</v>
      </c>
      <c r="AB115" s="117">
        <v>-5</v>
      </c>
      <c r="AC115" s="117">
        <v>0.1</v>
      </c>
      <c r="AD115" s="117">
        <v>0.1</v>
      </c>
      <c r="AE115" s="117">
        <v>0.1</v>
      </c>
      <c r="AF115" s="117">
        <v>0.1</v>
      </c>
      <c r="AG115" s="119"/>
      <c r="AH115" s="47">
        <f t="shared" si="8"/>
        <v>19.3</v>
      </c>
      <c r="AI115" s="48">
        <f t="shared" si="9"/>
        <v>-11.4</v>
      </c>
    </row>
    <row r="116" spans="1:37" x14ac:dyDescent="0.25">
      <c r="A116" s="120" t="s">
        <v>124</v>
      </c>
      <c r="B116" s="106">
        <v>30.6</v>
      </c>
      <c r="C116" s="106">
        <v>32.700000000000003</v>
      </c>
      <c r="D116" s="106">
        <v>37.5</v>
      </c>
      <c r="E116" s="106">
        <v>43</v>
      </c>
      <c r="F116" s="106">
        <v>38</v>
      </c>
      <c r="G116" s="106">
        <v>36</v>
      </c>
      <c r="H116" s="106">
        <v>21.4</v>
      </c>
      <c r="I116" s="106">
        <v>21</v>
      </c>
      <c r="J116" s="106">
        <v>21</v>
      </c>
      <c r="K116" s="106">
        <v>21</v>
      </c>
      <c r="L116" s="106">
        <v>-3</v>
      </c>
      <c r="M116" s="106">
        <v>2.9</v>
      </c>
      <c r="N116" s="106">
        <v>5.7</v>
      </c>
      <c r="O116" s="106">
        <v>7.5</v>
      </c>
      <c r="P116" s="106">
        <v>3</v>
      </c>
      <c r="Q116" s="106">
        <v>3</v>
      </c>
      <c r="R116" s="106">
        <v>2.7</v>
      </c>
      <c r="S116" s="106">
        <v>0.7</v>
      </c>
      <c r="T116" s="106">
        <v>7.3</v>
      </c>
      <c r="U116" s="106">
        <v>9.1999999999999993</v>
      </c>
      <c r="V116" s="106">
        <v>-15.9</v>
      </c>
      <c r="W116" s="106">
        <v>5</v>
      </c>
      <c r="X116" s="106">
        <v>6.5</v>
      </c>
      <c r="Y116" s="106">
        <v>9.1</v>
      </c>
      <c r="Z116" s="106"/>
      <c r="AA116" s="106">
        <v>5.8</v>
      </c>
      <c r="AB116" s="106">
        <v>8</v>
      </c>
      <c r="AC116" s="106">
        <v>11</v>
      </c>
      <c r="AD116" s="106">
        <v>11</v>
      </c>
      <c r="AE116" s="106">
        <v>11</v>
      </c>
      <c r="AF116" s="106">
        <v>11</v>
      </c>
      <c r="AG116" s="119"/>
      <c r="AH116" s="47">
        <f t="shared" si="8"/>
        <v>43</v>
      </c>
      <c r="AI116" s="48">
        <f t="shared" si="9"/>
        <v>-15.9</v>
      </c>
    </row>
    <row r="117" spans="1:37" ht="15.75" thickBot="1" x14ac:dyDescent="0.3">
      <c r="A117" s="120" t="s">
        <v>125</v>
      </c>
      <c r="B117" s="106">
        <v>50.9</v>
      </c>
      <c r="C117" s="106">
        <v>58.2</v>
      </c>
      <c r="D117" s="106">
        <v>35.9</v>
      </c>
      <c r="E117" s="106">
        <v>27</v>
      </c>
      <c r="F117" s="106">
        <v>33</v>
      </c>
      <c r="G117" s="106">
        <v>31</v>
      </c>
      <c r="H117" s="106">
        <v>28</v>
      </c>
      <c r="I117" s="106">
        <v>44</v>
      </c>
      <c r="J117" s="106">
        <v>44</v>
      </c>
      <c r="K117" s="106">
        <v>44</v>
      </c>
      <c r="L117" s="106">
        <v>64</v>
      </c>
      <c r="M117" s="106">
        <v>67.7</v>
      </c>
      <c r="N117" s="106">
        <v>67.7</v>
      </c>
      <c r="O117" s="106">
        <v>72.599999999999994</v>
      </c>
      <c r="P117" s="106">
        <v>74.099999999999994</v>
      </c>
      <c r="Q117" s="106">
        <v>74.099999999999994</v>
      </c>
      <c r="R117" s="106">
        <v>73.3</v>
      </c>
      <c r="S117" s="106">
        <v>81</v>
      </c>
      <c r="T117" s="106">
        <v>62.3</v>
      </c>
      <c r="U117" s="106">
        <v>78.8</v>
      </c>
      <c r="V117" s="106">
        <v>43.9</v>
      </c>
      <c r="W117" s="106">
        <v>45.8</v>
      </c>
      <c r="X117" s="106">
        <v>47</v>
      </c>
      <c r="Y117" s="106">
        <v>42.7</v>
      </c>
      <c r="Z117" s="106"/>
      <c r="AA117" s="106">
        <v>62</v>
      </c>
      <c r="AB117" s="106">
        <v>71</v>
      </c>
      <c r="AC117" s="106">
        <v>70</v>
      </c>
      <c r="AD117" s="106">
        <v>70</v>
      </c>
      <c r="AE117" s="106">
        <v>70</v>
      </c>
      <c r="AF117" s="106">
        <v>70</v>
      </c>
      <c r="AG117" s="119"/>
      <c r="AH117" s="47">
        <f t="shared" si="8"/>
        <v>81</v>
      </c>
      <c r="AI117" s="48">
        <f t="shared" si="9"/>
        <v>27</v>
      </c>
    </row>
    <row r="118" spans="1:37" ht="15.75" thickBot="1" x14ac:dyDescent="0.3">
      <c r="A118" s="121" t="s">
        <v>126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230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231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232</v>
      </c>
      <c r="B224" s="135">
        <f t="shared" ref="B224:AG224" si="16">SUM(B119:B223)</f>
        <v>0</v>
      </c>
      <c r="C224" s="136">
        <f t="shared" si="16"/>
        <v>0</v>
      </c>
      <c r="D224" s="136">
        <f t="shared" si="16"/>
        <v>0</v>
      </c>
      <c r="E224" s="136">
        <f t="shared" si="16"/>
        <v>0</v>
      </c>
      <c r="F224" s="136">
        <f t="shared" si="16"/>
        <v>0</v>
      </c>
      <c r="G224" s="136">
        <f t="shared" si="16"/>
        <v>0</v>
      </c>
      <c r="H224" s="136">
        <f t="shared" si="16"/>
        <v>0</v>
      </c>
      <c r="I224" s="136">
        <f t="shared" si="16"/>
        <v>0</v>
      </c>
      <c r="J224" s="136">
        <f t="shared" si="16"/>
        <v>0</v>
      </c>
      <c r="K224" s="136">
        <f t="shared" si="16"/>
        <v>0</v>
      </c>
      <c r="L224" s="136">
        <f t="shared" si="16"/>
        <v>0</v>
      </c>
      <c r="M224" s="136">
        <f t="shared" si="16"/>
        <v>0</v>
      </c>
      <c r="N224" s="136">
        <f t="shared" si="16"/>
        <v>0</v>
      </c>
      <c r="O224" s="136">
        <f t="shared" si="16"/>
        <v>0</v>
      </c>
      <c r="P224" s="136">
        <f t="shared" si="16"/>
        <v>0</v>
      </c>
      <c r="Q224" s="136">
        <f t="shared" si="16"/>
        <v>0</v>
      </c>
      <c r="R224" s="136">
        <f t="shared" si="16"/>
        <v>0</v>
      </c>
      <c r="S224" s="136">
        <f t="shared" si="16"/>
        <v>0</v>
      </c>
      <c r="T224" s="136">
        <f t="shared" si="16"/>
        <v>0</v>
      </c>
      <c r="U224" s="136">
        <f t="shared" si="16"/>
        <v>0</v>
      </c>
      <c r="V224" s="136">
        <f t="shared" si="16"/>
        <v>0</v>
      </c>
      <c r="W224" s="136">
        <f t="shared" si="16"/>
        <v>0</v>
      </c>
      <c r="X224" s="136">
        <f t="shared" si="16"/>
        <v>0</v>
      </c>
      <c r="Y224" s="136">
        <f t="shared" si="16"/>
        <v>0</v>
      </c>
      <c r="Z224" s="136">
        <f t="shared" si="16"/>
        <v>0</v>
      </c>
      <c r="AA224" s="136">
        <f t="shared" si="16"/>
        <v>0</v>
      </c>
      <c r="AB224" s="136">
        <f t="shared" si="16"/>
        <v>0</v>
      </c>
      <c r="AC224" s="136">
        <f t="shared" si="16"/>
        <v>0</v>
      </c>
      <c r="AD224" s="136">
        <f t="shared" si="16"/>
        <v>0</v>
      </c>
      <c r="AE224" s="136">
        <f t="shared" si="16"/>
        <v>0</v>
      </c>
      <c r="AF224" s="137">
        <f t="shared" si="16"/>
        <v>0</v>
      </c>
      <c r="AG224" s="138">
        <f t="shared" si="16"/>
        <v>412.72299999999984</v>
      </c>
      <c r="AH224" s="47"/>
      <c r="AI224" s="48"/>
      <c r="AK224" s="49"/>
    </row>
    <row r="225" spans="1:37" ht="15.75" thickBot="1" x14ac:dyDescent="0.3">
      <c r="A225" s="26" t="s">
        <v>73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233</v>
      </c>
      <c r="B226" s="140">
        <f t="shared" ref="B226:B231" si="17">AF226</f>
        <v>0</v>
      </c>
      <c r="C226" s="140">
        <v>0.3</v>
      </c>
      <c r="D226" s="140">
        <f t="shared" ref="D226:P231" si="18">C226</f>
        <v>0.3</v>
      </c>
      <c r="E226" s="140">
        <f t="shared" si="18"/>
        <v>0.3</v>
      </c>
      <c r="F226" s="140">
        <f t="shared" si="18"/>
        <v>0.3</v>
      </c>
      <c r="G226" s="140">
        <f t="shared" si="18"/>
        <v>0.3</v>
      </c>
      <c r="H226" s="140">
        <f t="shared" si="18"/>
        <v>0.3</v>
      </c>
      <c r="I226" s="140">
        <f t="shared" si="18"/>
        <v>0.3</v>
      </c>
      <c r="J226" s="140">
        <f t="shared" si="18"/>
        <v>0.3</v>
      </c>
      <c r="K226" s="140">
        <f t="shared" si="18"/>
        <v>0.3</v>
      </c>
      <c r="L226" s="140">
        <f t="shared" si="18"/>
        <v>0.3</v>
      </c>
      <c r="M226" s="140">
        <f t="shared" si="18"/>
        <v>0.3</v>
      </c>
      <c r="N226" s="140">
        <f t="shared" si="18"/>
        <v>0.3</v>
      </c>
      <c r="O226" s="140">
        <f t="shared" si="18"/>
        <v>0.3</v>
      </c>
      <c r="P226" s="140">
        <f t="shared" si="18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234</v>
      </c>
      <c r="B227" s="128">
        <f t="shared" si="17"/>
        <v>0</v>
      </c>
      <c r="C227" s="128">
        <v>0.4</v>
      </c>
      <c r="D227" s="128">
        <f t="shared" si="18"/>
        <v>0.4</v>
      </c>
      <c r="E227" s="128">
        <f t="shared" si="18"/>
        <v>0.4</v>
      </c>
      <c r="F227" s="128">
        <f t="shared" si="18"/>
        <v>0.4</v>
      </c>
      <c r="G227" s="128">
        <f t="shared" si="18"/>
        <v>0.4</v>
      </c>
      <c r="H227" s="128">
        <f t="shared" si="18"/>
        <v>0.4</v>
      </c>
      <c r="I227" s="128">
        <f t="shared" si="18"/>
        <v>0.4</v>
      </c>
      <c r="J227" s="128">
        <f t="shared" si="18"/>
        <v>0.4</v>
      </c>
      <c r="K227" s="128">
        <f t="shared" si="18"/>
        <v>0.4</v>
      </c>
      <c r="L227" s="128">
        <f t="shared" si="18"/>
        <v>0.4</v>
      </c>
      <c r="M227" s="128">
        <f t="shared" si="18"/>
        <v>0.4</v>
      </c>
      <c r="N227" s="128">
        <f t="shared" si="18"/>
        <v>0.4</v>
      </c>
      <c r="O227" s="128">
        <f t="shared" si="18"/>
        <v>0.4</v>
      </c>
      <c r="P227" s="128">
        <f t="shared" si="18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235</v>
      </c>
      <c r="B228" s="128">
        <f t="shared" si="17"/>
        <v>0</v>
      </c>
      <c r="C228" s="128">
        <v>1.5</v>
      </c>
      <c r="D228" s="128">
        <f t="shared" si="18"/>
        <v>1.5</v>
      </c>
      <c r="E228" s="128">
        <f t="shared" si="18"/>
        <v>1.5</v>
      </c>
      <c r="F228" s="128">
        <f t="shared" si="18"/>
        <v>1.5</v>
      </c>
      <c r="G228" s="128">
        <f t="shared" si="18"/>
        <v>1.5</v>
      </c>
      <c r="H228" s="128">
        <f t="shared" si="18"/>
        <v>1.5</v>
      </c>
      <c r="I228" s="111">
        <f ca="1">SUM(I140,I146,I149:I150,I176,I178:I179,I181,I183,I229:I233,I255,I261,I267,I276,I278,I290,I297,I300:I301,I308,I310,I312,I316:I318,I320:I322,I327,I333:I334,I336:I338,I346,I351)</f>
        <v>123.21900000000009</v>
      </c>
      <c r="J228" s="128">
        <f t="shared" ca="1" si="18"/>
        <v>123.21900000000009</v>
      </c>
      <c r="K228" s="128">
        <f t="shared" ca="1" si="18"/>
        <v>123.21900000000009</v>
      </c>
      <c r="L228" s="128">
        <f t="shared" ca="1" si="18"/>
        <v>123.21900000000009</v>
      </c>
      <c r="M228" s="128">
        <f t="shared" ca="1" si="18"/>
        <v>123.21900000000009</v>
      </c>
      <c r="N228" s="128">
        <f t="shared" ca="1" si="18"/>
        <v>115.17900000000007</v>
      </c>
      <c r="O228" s="128">
        <f t="shared" ca="1" si="18"/>
        <v>115.17900000000007</v>
      </c>
      <c r="P228" s="128">
        <f t="shared" ca="1" si="18"/>
        <v>115.17900000000007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236</v>
      </c>
      <c r="B229" s="128">
        <f t="shared" si="17"/>
        <v>0</v>
      </c>
      <c r="C229" s="128">
        <v>0.3</v>
      </c>
      <c r="D229" s="128">
        <f t="shared" si="18"/>
        <v>0.3</v>
      </c>
      <c r="E229" s="128">
        <f t="shared" si="18"/>
        <v>0.3</v>
      </c>
      <c r="F229" s="128">
        <f t="shared" si="18"/>
        <v>0.3</v>
      </c>
      <c r="G229" s="128">
        <f t="shared" si="18"/>
        <v>0.3</v>
      </c>
      <c r="H229" s="128">
        <f t="shared" si="18"/>
        <v>0.3</v>
      </c>
      <c r="I229" s="128">
        <f t="shared" si="18"/>
        <v>0.3</v>
      </c>
      <c r="J229" s="128">
        <f t="shared" si="18"/>
        <v>0.3</v>
      </c>
      <c r="K229" s="128">
        <f t="shared" si="18"/>
        <v>0.3</v>
      </c>
      <c r="L229" s="128">
        <f t="shared" si="18"/>
        <v>0.3</v>
      </c>
      <c r="M229" s="128">
        <f t="shared" si="18"/>
        <v>0.3</v>
      </c>
      <c r="N229" s="128">
        <f t="shared" si="18"/>
        <v>0.3</v>
      </c>
      <c r="O229" s="128">
        <f t="shared" si="18"/>
        <v>0.3</v>
      </c>
      <c r="P229" s="128">
        <f t="shared" si="18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237</v>
      </c>
      <c r="B230" s="128">
        <f t="shared" si="17"/>
        <v>0</v>
      </c>
      <c r="C230" s="128">
        <v>0.4</v>
      </c>
      <c r="D230" s="128">
        <f t="shared" si="18"/>
        <v>0.4</v>
      </c>
      <c r="E230" s="128">
        <f t="shared" si="18"/>
        <v>0.4</v>
      </c>
      <c r="F230" s="128">
        <f t="shared" si="18"/>
        <v>0.4</v>
      </c>
      <c r="G230" s="128">
        <f t="shared" si="18"/>
        <v>0.4</v>
      </c>
      <c r="H230" s="128">
        <f t="shared" si="18"/>
        <v>0.4</v>
      </c>
      <c r="I230" s="128">
        <f t="shared" si="18"/>
        <v>0.4</v>
      </c>
      <c r="J230" s="128">
        <f t="shared" si="18"/>
        <v>0.4</v>
      </c>
      <c r="K230" s="128">
        <f t="shared" si="18"/>
        <v>0.4</v>
      </c>
      <c r="L230" s="128">
        <f t="shared" si="18"/>
        <v>0.4</v>
      </c>
      <c r="M230" s="128">
        <f t="shared" si="18"/>
        <v>0.4</v>
      </c>
      <c r="N230" s="128">
        <f t="shared" si="18"/>
        <v>0.4</v>
      </c>
      <c r="O230" s="128">
        <f t="shared" si="18"/>
        <v>0.4</v>
      </c>
      <c r="P230" s="128">
        <f t="shared" si="1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238</v>
      </c>
      <c r="B231" s="132">
        <f t="shared" si="17"/>
        <v>0</v>
      </c>
      <c r="C231" s="132">
        <v>0.64</v>
      </c>
      <c r="D231" s="132">
        <f t="shared" si="18"/>
        <v>0.64</v>
      </c>
      <c r="E231" s="132">
        <f t="shared" si="18"/>
        <v>0.64</v>
      </c>
      <c r="F231" s="132">
        <f t="shared" si="18"/>
        <v>0.64</v>
      </c>
      <c r="G231" s="132">
        <f t="shared" si="18"/>
        <v>0.64</v>
      </c>
      <c r="H231" s="132">
        <f t="shared" si="18"/>
        <v>0.64</v>
      </c>
      <c r="I231" s="132">
        <f t="shared" si="18"/>
        <v>0.64</v>
      </c>
      <c r="J231" s="132">
        <f t="shared" si="18"/>
        <v>0.64</v>
      </c>
      <c r="K231" s="132">
        <f t="shared" si="18"/>
        <v>0.64</v>
      </c>
      <c r="L231" s="132">
        <f t="shared" si="18"/>
        <v>0.64</v>
      </c>
      <c r="M231" s="132">
        <f t="shared" si="18"/>
        <v>0.64</v>
      </c>
      <c r="N231" s="132">
        <f t="shared" si="18"/>
        <v>0.64</v>
      </c>
      <c r="O231" s="132">
        <f t="shared" si="18"/>
        <v>0.64</v>
      </c>
      <c r="P231" s="132">
        <f t="shared" si="18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73</v>
      </c>
      <c r="B232" s="136">
        <f t="shared" ref="B232:AG232" si="19">SUM(B226:B231)</f>
        <v>0</v>
      </c>
      <c r="C232" s="136">
        <f t="shared" si="19"/>
        <v>3.54</v>
      </c>
      <c r="D232" s="136">
        <f t="shared" si="19"/>
        <v>3.54</v>
      </c>
      <c r="E232" s="136">
        <f t="shared" si="19"/>
        <v>3.54</v>
      </c>
      <c r="F232" s="136">
        <f t="shared" si="19"/>
        <v>3.54</v>
      </c>
      <c r="G232" s="136">
        <f t="shared" si="19"/>
        <v>3.54</v>
      </c>
      <c r="H232" s="136">
        <f t="shared" si="19"/>
        <v>3.54</v>
      </c>
      <c r="I232" s="136">
        <f t="shared" ca="1" si="19"/>
        <v>121.23900000000009</v>
      </c>
      <c r="J232" s="136">
        <f t="shared" ca="1" si="19"/>
        <v>121.23900000000009</v>
      </c>
      <c r="K232" s="136">
        <f t="shared" ca="1" si="19"/>
        <v>121.23900000000009</v>
      </c>
      <c r="L232" s="136">
        <f t="shared" ca="1" si="19"/>
        <v>117.21900000000008</v>
      </c>
      <c r="M232" s="136">
        <f t="shared" ca="1" si="19"/>
        <v>125.2590000000001</v>
      </c>
      <c r="N232" s="136">
        <f t="shared" ca="1" si="19"/>
        <v>117.21900000000008</v>
      </c>
      <c r="O232" s="136">
        <f t="shared" ca="1" si="19"/>
        <v>117.21900000000008</v>
      </c>
      <c r="P232" s="136">
        <f t="shared" ca="1" si="19"/>
        <v>117.21900000000008</v>
      </c>
      <c r="Q232" s="136">
        <f t="shared" si="19"/>
        <v>0</v>
      </c>
      <c r="R232" s="136">
        <f t="shared" si="19"/>
        <v>0</v>
      </c>
      <c r="S232" s="136">
        <f t="shared" si="19"/>
        <v>0</v>
      </c>
      <c r="T232" s="136">
        <f t="shared" si="19"/>
        <v>0</v>
      </c>
      <c r="U232" s="136">
        <f t="shared" si="19"/>
        <v>0</v>
      </c>
      <c r="V232" s="136">
        <f t="shared" si="19"/>
        <v>0</v>
      </c>
      <c r="W232" s="136">
        <f t="shared" si="19"/>
        <v>0</v>
      </c>
      <c r="X232" s="136">
        <f t="shared" si="19"/>
        <v>0</v>
      </c>
      <c r="Y232" s="136">
        <f t="shared" si="19"/>
        <v>0</v>
      </c>
      <c r="Z232" s="136">
        <f t="shared" si="19"/>
        <v>0</v>
      </c>
      <c r="AA232" s="136">
        <f t="shared" si="19"/>
        <v>0</v>
      </c>
      <c r="AB232" s="136">
        <f t="shared" si="19"/>
        <v>0</v>
      </c>
      <c r="AC232" s="136">
        <f t="shared" si="19"/>
        <v>0</v>
      </c>
      <c r="AD232" s="136">
        <f t="shared" si="19"/>
        <v>0</v>
      </c>
      <c r="AE232" s="136">
        <f t="shared" si="19"/>
        <v>0</v>
      </c>
      <c r="AF232" s="136">
        <f t="shared" si="19"/>
        <v>0</v>
      </c>
      <c r="AG232" s="145">
        <f t="shared" si="19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239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240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241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242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243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244</v>
      </c>
      <c r="B241" s="160">
        <f>MAX(G89:N89)</f>
        <v>1348.3400000000001</v>
      </c>
      <c r="C241" s="161">
        <f>INDEX(G9:N9,1,MATCH(MAX(G89:N89),G89:N89,0))</f>
        <v>0.33333333333333331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7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78" t="s">
        <v>245</v>
      </c>
      <c r="B243" s="178"/>
      <c r="C243" s="43"/>
      <c r="D243" s="162" t="str">
        <f ca="1">"Pie Chart of Daily Peak Demand(Inclusive of Export) of Nepal ("&amp;A4&amp;" "&amp;B4&amp;")"</f>
        <v>Pie Chart of Daily Peak Demand(Inclusive of Export) of Nepal (Nepali Date: 2080/02/7)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2080/02/7)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246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247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248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249</v>
      </c>
      <c r="T246" s="170">
        <f t="shared" ref="T246:AX246" si="20">B89</f>
        <v>1244.8400000000001</v>
      </c>
      <c r="U246" s="170">
        <f t="shared" si="20"/>
        <v>1232.74</v>
      </c>
      <c r="V246" s="170">
        <f t="shared" si="20"/>
        <v>1172.6399999999999</v>
      </c>
      <c r="W246" s="170">
        <f t="shared" si="20"/>
        <v>1150.54</v>
      </c>
      <c r="X246" s="170">
        <f t="shared" si="20"/>
        <v>1157.94</v>
      </c>
      <c r="Y246" s="170">
        <f t="shared" si="20"/>
        <v>1180.6399999999999</v>
      </c>
      <c r="Z246" s="170">
        <f t="shared" si="20"/>
        <v>1164.8400000000001</v>
      </c>
      <c r="AA246" s="170">
        <f t="shared" si="20"/>
        <v>1235.8400000000001</v>
      </c>
      <c r="AB246" s="170">
        <f t="shared" si="20"/>
        <v>1240.24</v>
      </c>
      <c r="AC246" s="170">
        <f t="shared" si="20"/>
        <v>1290.8400000000001</v>
      </c>
      <c r="AD246" s="170">
        <f t="shared" si="20"/>
        <v>1341.64</v>
      </c>
      <c r="AE246" s="170">
        <f t="shared" si="20"/>
        <v>1348.3400000000001</v>
      </c>
      <c r="AF246" s="170">
        <f t="shared" si="20"/>
        <v>1345.8400000000001</v>
      </c>
      <c r="AG246" s="170">
        <f t="shared" si="20"/>
        <v>1362.44</v>
      </c>
      <c r="AH246" s="170">
        <f t="shared" si="20"/>
        <v>1470.04</v>
      </c>
      <c r="AI246" s="170">
        <f t="shared" si="20"/>
        <v>1370.34</v>
      </c>
      <c r="AJ246" s="170">
        <f t="shared" si="20"/>
        <v>1387.34</v>
      </c>
      <c r="AK246" s="170">
        <f t="shared" si="20"/>
        <v>1332.5400000000002</v>
      </c>
      <c r="AL246" s="170">
        <f t="shared" si="20"/>
        <v>1154.3400000000001</v>
      </c>
      <c r="AM246" s="170">
        <f t="shared" si="20"/>
        <v>1361.64</v>
      </c>
      <c r="AN246" s="170">
        <f t="shared" si="20"/>
        <v>1317.64</v>
      </c>
      <c r="AO246" s="170">
        <f t="shared" si="20"/>
        <v>1305.94</v>
      </c>
      <c r="AP246" s="170">
        <f t="shared" si="20"/>
        <v>1279.0400000000002</v>
      </c>
      <c r="AQ246" s="170">
        <f t="shared" si="20"/>
        <v>1370.64</v>
      </c>
      <c r="AR246" s="170">
        <f t="shared" si="20"/>
        <v>1418.4400000000003</v>
      </c>
      <c r="AS246" s="170">
        <f t="shared" si="20"/>
        <v>1415.94</v>
      </c>
      <c r="AT246" s="170">
        <f t="shared" si="20"/>
        <v>1552.04</v>
      </c>
      <c r="AU246" s="170">
        <f t="shared" si="20"/>
        <v>1511.44</v>
      </c>
      <c r="AV246" s="170">
        <f t="shared" si="20"/>
        <v>1622.84</v>
      </c>
      <c r="AW246" s="170">
        <f t="shared" si="20"/>
        <v>1544.0400000000002</v>
      </c>
      <c r="AX246" s="170">
        <f t="shared" si="20"/>
        <v>1493.0400000000002</v>
      </c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251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252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253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239</v>
      </c>
      <c r="B267" s="173">
        <f t="shared" ref="B267:AE267" si="21">C231</f>
        <v>0.64</v>
      </c>
      <c r="C267" s="173">
        <f t="shared" si="21"/>
        <v>0.64</v>
      </c>
      <c r="D267" s="173">
        <f t="shared" si="21"/>
        <v>0.64</v>
      </c>
      <c r="E267" s="173">
        <f t="shared" si="21"/>
        <v>0.64</v>
      </c>
      <c r="F267" s="173">
        <f t="shared" si="21"/>
        <v>0.64</v>
      </c>
      <c r="G267" s="173">
        <f t="shared" si="21"/>
        <v>0.64</v>
      </c>
      <c r="H267" s="173">
        <f t="shared" si="21"/>
        <v>0.64</v>
      </c>
      <c r="I267" s="173">
        <f t="shared" si="21"/>
        <v>0.64</v>
      </c>
      <c r="J267" s="173">
        <f t="shared" si="21"/>
        <v>0.64</v>
      </c>
      <c r="K267" s="173">
        <f t="shared" si="21"/>
        <v>0.64</v>
      </c>
      <c r="L267" s="173">
        <f t="shared" si="21"/>
        <v>0.64</v>
      </c>
      <c r="M267" s="173">
        <f t="shared" si="21"/>
        <v>0.64</v>
      </c>
      <c r="N267" s="173">
        <f t="shared" si="21"/>
        <v>0.64</v>
      </c>
      <c r="O267" s="173">
        <f t="shared" si="21"/>
        <v>0.64</v>
      </c>
      <c r="P267" s="173">
        <f t="shared" si="21"/>
        <v>0</v>
      </c>
      <c r="Q267" s="173">
        <f t="shared" si="21"/>
        <v>0</v>
      </c>
      <c r="R267" s="173">
        <f t="shared" si="21"/>
        <v>0</v>
      </c>
      <c r="S267" s="173">
        <f t="shared" si="21"/>
        <v>0</v>
      </c>
      <c r="T267" s="173">
        <f t="shared" si="21"/>
        <v>0</v>
      </c>
      <c r="U267" s="173">
        <f t="shared" si="21"/>
        <v>0</v>
      </c>
      <c r="V267" s="173">
        <f t="shared" si="21"/>
        <v>0</v>
      </c>
      <c r="W267" s="173">
        <f t="shared" si="21"/>
        <v>0</v>
      </c>
      <c r="X267" s="173">
        <f t="shared" si="21"/>
        <v>0</v>
      </c>
      <c r="Y267" s="173">
        <f t="shared" si="21"/>
        <v>0</v>
      </c>
      <c r="Z267" s="173">
        <f t="shared" si="21"/>
        <v>0</v>
      </c>
      <c r="AA267" s="173">
        <f t="shared" si="21"/>
        <v>0</v>
      </c>
      <c r="AB267" s="173">
        <f t="shared" si="21"/>
        <v>0</v>
      </c>
      <c r="AC267" s="173">
        <f t="shared" si="21"/>
        <v>0</v>
      </c>
      <c r="AD267" s="173">
        <f t="shared" si="21"/>
        <v>0</v>
      </c>
      <c r="AE267" s="173">
        <f t="shared" si="21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2">IF(B235&lt;100,"",B235-520)</f>
        <v/>
      </c>
      <c r="C268" s="174" t="str">
        <f t="shared" si="22"/>
        <v/>
      </c>
      <c r="D268" s="174" t="str">
        <f t="shared" si="22"/>
        <v/>
      </c>
      <c r="E268" s="174" t="str">
        <f t="shared" si="22"/>
        <v/>
      </c>
      <c r="F268" s="174" t="str">
        <f t="shared" si="22"/>
        <v/>
      </c>
      <c r="G268" s="174" t="str">
        <f t="shared" si="22"/>
        <v/>
      </c>
      <c r="H268" s="174" t="str">
        <f t="shared" si="22"/>
        <v/>
      </c>
      <c r="I268" s="174" t="str">
        <f t="shared" si="22"/>
        <v/>
      </c>
      <c r="J268" s="174" t="str">
        <f t="shared" si="22"/>
        <v/>
      </c>
      <c r="K268" s="174" t="str">
        <f t="shared" si="22"/>
        <v/>
      </c>
      <c r="L268" s="174" t="str">
        <f t="shared" si="22"/>
        <v/>
      </c>
      <c r="M268" s="174" t="str">
        <f t="shared" si="22"/>
        <v/>
      </c>
      <c r="N268" s="174" t="str">
        <f t="shared" si="22"/>
        <v/>
      </c>
      <c r="O268" s="174" t="str">
        <f t="shared" si="22"/>
        <v/>
      </c>
      <c r="P268" s="174" t="str">
        <f t="shared" si="22"/>
        <v/>
      </c>
      <c r="Q268" s="174" t="str">
        <f t="shared" si="22"/>
        <v/>
      </c>
      <c r="R268" s="174" t="str">
        <f t="shared" si="22"/>
        <v/>
      </c>
      <c r="S268" s="174" t="str">
        <f t="shared" si="22"/>
        <v/>
      </c>
      <c r="T268" s="174" t="str">
        <f t="shared" si="22"/>
        <v/>
      </c>
      <c r="U268" s="174" t="str">
        <f t="shared" si="22"/>
        <v/>
      </c>
      <c r="V268" s="174" t="str">
        <f t="shared" si="22"/>
        <v/>
      </c>
      <c r="W268" s="174" t="str">
        <f t="shared" si="22"/>
        <v/>
      </c>
      <c r="X268" s="174" t="str">
        <f t="shared" si="22"/>
        <v/>
      </c>
      <c r="Y268" s="174" t="str">
        <f t="shared" si="22"/>
        <v/>
      </c>
      <c r="Z268" s="174" t="str">
        <f t="shared" si="22"/>
        <v/>
      </c>
      <c r="AA268" s="174" t="str">
        <f t="shared" si="22"/>
        <v/>
      </c>
      <c r="AB268" s="174" t="str">
        <f t="shared" si="22"/>
        <v/>
      </c>
      <c r="AC268" s="174" t="str">
        <f t="shared" si="22"/>
        <v/>
      </c>
      <c r="AD268" s="174" t="str">
        <f t="shared" si="22"/>
        <v/>
      </c>
      <c r="AE268" s="174" t="str">
        <f t="shared" si="22"/>
        <v/>
      </c>
      <c r="AF268" s="174" t="str">
        <f t="shared" si="22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3">IF(B236&lt;100,"",B236-620)</f>
        <v/>
      </c>
      <c r="C269" s="174" t="str">
        <f t="shared" si="23"/>
        <v/>
      </c>
      <c r="D269" s="174" t="str">
        <f t="shared" si="23"/>
        <v/>
      </c>
      <c r="E269" s="174" t="str">
        <f t="shared" si="23"/>
        <v/>
      </c>
      <c r="F269" s="174" t="str">
        <f t="shared" si="23"/>
        <v/>
      </c>
      <c r="G269" s="174" t="str">
        <f t="shared" si="23"/>
        <v/>
      </c>
      <c r="H269" s="174" t="str">
        <f t="shared" si="23"/>
        <v/>
      </c>
      <c r="I269" s="174" t="str">
        <f t="shared" si="23"/>
        <v/>
      </c>
      <c r="J269" s="174" t="str">
        <f t="shared" si="23"/>
        <v/>
      </c>
      <c r="K269" s="174" t="str">
        <f t="shared" si="23"/>
        <v/>
      </c>
      <c r="L269" s="174" t="str">
        <f t="shared" si="23"/>
        <v/>
      </c>
      <c r="M269" s="174" t="str">
        <f t="shared" si="23"/>
        <v/>
      </c>
      <c r="N269" s="174" t="str">
        <f t="shared" si="23"/>
        <v/>
      </c>
      <c r="O269" s="174" t="str">
        <f t="shared" si="23"/>
        <v/>
      </c>
      <c r="P269" s="174" t="str">
        <f t="shared" si="23"/>
        <v/>
      </c>
      <c r="Q269" s="174" t="str">
        <f t="shared" si="23"/>
        <v/>
      </c>
      <c r="R269" s="174" t="str">
        <f t="shared" si="23"/>
        <v/>
      </c>
      <c r="S269" s="174" t="str">
        <f t="shared" si="23"/>
        <v/>
      </c>
      <c r="T269" s="174" t="str">
        <f t="shared" si="23"/>
        <v/>
      </c>
      <c r="U269" s="174" t="str">
        <f t="shared" si="23"/>
        <v/>
      </c>
      <c r="V269" s="174" t="str">
        <f t="shared" si="23"/>
        <v/>
      </c>
      <c r="W269" s="174" t="str">
        <f t="shared" si="23"/>
        <v/>
      </c>
      <c r="X269" s="174" t="str">
        <f t="shared" si="23"/>
        <v/>
      </c>
      <c r="Y269" s="174" t="str">
        <f t="shared" si="23"/>
        <v/>
      </c>
      <c r="Z269" s="174" t="str">
        <f t="shared" si="23"/>
        <v/>
      </c>
      <c r="AA269" s="174" t="str">
        <f t="shared" si="23"/>
        <v/>
      </c>
      <c r="AB269" s="174" t="str">
        <f t="shared" si="23"/>
        <v/>
      </c>
      <c r="AC269" s="174" t="str">
        <f t="shared" si="23"/>
        <v/>
      </c>
      <c r="AD269" s="174" t="str">
        <f t="shared" si="23"/>
        <v/>
      </c>
      <c r="AE269" s="174" t="str">
        <f t="shared" si="23"/>
        <v/>
      </c>
      <c r="AF269" s="174" t="str">
        <f t="shared" si="23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4">IF(B237&lt;100,"",B237-330)</f>
        <v/>
      </c>
      <c r="C270" s="174" t="str">
        <f t="shared" si="24"/>
        <v/>
      </c>
      <c r="D270" s="174" t="str">
        <f t="shared" si="24"/>
        <v/>
      </c>
      <c r="E270" s="174" t="str">
        <f t="shared" si="24"/>
        <v/>
      </c>
      <c r="F270" s="174" t="str">
        <f t="shared" si="24"/>
        <v/>
      </c>
      <c r="G270" s="174" t="str">
        <f t="shared" si="24"/>
        <v/>
      </c>
      <c r="H270" s="174" t="str">
        <f t="shared" si="24"/>
        <v/>
      </c>
      <c r="I270" s="174" t="str">
        <f t="shared" si="24"/>
        <v/>
      </c>
      <c r="J270" s="174" t="str">
        <f t="shared" si="24"/>
        <v/>
      </c>
      <c r="K270" s="174" t="str">
        <f t="shared" si="24"/>
        <v/>
      </c>
      <c r="L270" s="174" t="str">
        <f t="shared" si="24"/>
        <v/>
      </c>
      <c r="M270" s="174" t="str">
        <f t="shared" si="24"/>
        <v/>
      </c>
      <c r="N270" s="174" t="str">
        <f t="shared" si="24"/>
        <v/>
      </c>
      <c r="O270" s="174" t="str">
        <f t="shared" si="24"/>
        <v/>
      </c>
      <c r="P270" s="174" t="str">
        <f t="shared" si="24"/>
        <v/>
      </c>
      <c r="Q270" s="174" t="str">
        <f t="shared" si="24"/>
        <v/>
      </c>
      <c r="R270" s="174" t="str">
        <f t="shared" si="24"/>
        <v/>
      </c>
      <c r="S270" s="174" t="str">
        <f t="shared" si="24"/>
        <v/>
      </c>
      <c r="T270" s="174" t="str">
        <f t="shared" si="24"/>
        <v/>
      </c>
      <c r="U270" s="174" t="str">
        <f t="shared" si="24"/>
        <v/>
      </c>
      <c r="V270" s="174" t="str">
        <f t="shared" si="24"/>
        <v/>
      </c>
      <c r="W270" s="174" t="str">
        <f t="shared" si="24"/>
        <v/>
      </c>
      <c r="X270" s="174" t="str">
        <f t="shared" si="24"/>
        <v/>
      </c>
      <c r="Y270" s="174" t="str">
        <f t="shared" si="24"/>
        <v/>
      </c>
      <c r="Z270" s="174" t="str">
        <f t="shared" si="24"/>
        <v/>
      </c>
      <c r="AA270" s="174" t="str">
        <f t="shared" si="24"/>
        <v/>
      </c>
      <c r="AB270" s="174" t="str">
        <f t="shared" si="24"/>
        <v/>
      </c>
      <c r="AC270" s="174" t="str">
        <f t="shared" si="24"/>
        <v/>
      </c>
      <c r="AD270" s="174" t="str">
        <f t="shared" si="24"/>
        <v/>
      </c>
      <c r="AE270" s="174" t="str">
        <f t="shared" si="24"/>
        <v/>
      </c>
      <c r="AF270" s="174" t="str">
        <f t="shared" si="24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5">IF(B238&lt;100,"",B238-1500)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5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57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1347" priority="453">
      <formula>B$9&gt;=20/24</formula>
    </cfRule>
    <cfRule type="expression" dxfId="11346" priority="454">
      <formula>AND(B$9&gt;=14/24,B$9&lt;20/24)</formula>
    </cfRule>
    <cfRule type="expression" dxfId="11345" priority="455">
      <formula>AND(B$9&gt;=8/24,B$9&lt;14/24)</formula>
    </cfRule>
    <cfRule type="expression" dxfId="11344" priority="456">
      <formula>B$9&lt;8/24</formula>
    </cfRule>
  </conditionalFormatting>
  <conditionalFormatting sqref="AL4:AL6">
    <cfRule type="iconSet" priority="452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1343" priority="451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1342" priority="450">
      <formula>$AH12=0</formula>
    </cfRule>
  </conditionalFormatting>
  <conditionalFormatting sqref="A114">
    <cfRule type="expression" dxfId="11341" priority="449">
      <formula>$AH114=0</formula>
    </cfRule>
  </conditionalFormatting>
  <conditionalFormatting sqref="AL42">
    <cfRule type="iconSet" priority="448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1340" priority="447">
      <formula>$AH45=0</formula>
    </cfRule>
  </conditionalFormatting>
  <conditionalFormatting sqref="A98">
    <cfRule type="expression" dxfId="11339" priority="446">
      <formula>$AH98=0</formula>
    </cfRule>
  </conditionalFormatting>
  <conditionalFormatting sqref="A18">
    <cfRule type="expression" dxfId="11338" priority="445">
      <formula>$AH18=0</formula>
    </cfRule>
  </conditionalFormatting>
  <conditionalFormatting sqref="A196:A201">
    <cfRule type="expression" dxfId="11337" priority="444">
      <formula>$AH196=0</formula>
    </cfRule>
  </conditionalFormatting>
  <conditionalFormatting sqref="A190:A195">
    <cfRule type="expression" dxfId="11336" priority="443">
      <formula>$AH190=0</formula>
    </cfRule>
  </conditionalFormatting>
  <conditionalFormatting sqref="A58">
    <cfRule type="expression" dxfId="11335" priority="442">
      <formula>$AH58=0</formula>
    </cfRule>
  </conditionalFormatting>
  <conditionalFormatting sqref="A94">
    <cfRule type="expression" dxfId="11334" priority="441">
      <formula>$AH94=0</formula>
    </cfRule>
  </conditionalFormatting>
  <conditionalFormatting sqref="E99:X99">
    <cfRule type="expression" dxfId="11333" priority="437">
      <formula>E$9&gt;=20/24</formula>
    </cfRule>
    <cfRule type="expression" dxfId="11332" priority="438">
      <formula>AND(E$9&gt;=14/24,E$9&lt;20/24)</formula>
    </cfRule>
    <cfRule type="expression" dxfId="11331" priority="439">
      <formula>AND(E$9&gt;=8/24,E$9&lt;14/24)</formula>
    </cfRule>
    <cfRule type="expression" dxfId="11330" priority="440">
      <formula>E$9&lt;8/24</formula>
    </cfRule>
  </conditionalFormatting>
  <conditionalFormatting sqref="AL43">
    <cfRule type="iconSet" priority="43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329" priority="459">
      <formula>C$9&gt;=20/24</formula>
    </cfRule>
    <cfRule type="expression" dxfId="11328" priority="460">
      <formula>AND(C$9&gt;=14/24,C$9&lt;20/24)</formula>
    </cfRule>
    <cfRule type="expression" dxfId="11327" priority="461">
      <formula>AND(C$9&gt;=8/24,C$9&lt;14/24)</formula>
    </cfRule>
    <cfRule type="expression" dxfId="11326" priority="462">
      <formula>C$9&lt;8/24</formula>
    </cfRule>
  </conditionalFormatting>
  <conditionalFormatting sqref="A233">
    <cfRule type="expression" dxfId="11325" priority="463">
      <formula>$AH233=0</formula>
    </cfRule>
  </conditionalFormatting>
  <conditionalFormatting sqref="AG245">
    <cfRule type="expression" dxfId="11324" priority="464">
      <formula>B$9&gt;=20/24</formula>
    </cfRule>
    <cfRule type="expression" dxfId="11323" priority="465">
      <formula>AND(B$9&gt;=14/24,B$9&lt;20/24)</formula>
    </cfRule>
    <cfRule type="expression" dxfId="11322" priority="466">
      <formula>AND(B$9&gt;=8/24,B$9&lt;14/24)</formula>
    </cfRule>
    <cfRule type="expression" dxfId="11321" priority="467">
      <formula>B$9&lt;8/24</formula>
    </cfRule>
  </conditionalFormatting>
  <conditionalFormatting sqref="S8">
    <cfRule type="expression" dxfId="11320" priority="432">
      <formula>U$9&gt;=20/24</formula>
    </cfRule>
    <cfRule type="expression" dxfId="11319" priority="433">
      <formula>AND(U$9&gt;=14/24,U$9&lt;20/24)</formula>
    </cfRule>
    <cfRule type="expression" dxfId="11318" priority="434">
      <formula>AND(U$9&gt;=8/24,U$9&lt;14/24)</formula>
    </cfRule>
    <cfRule type="expression" dxfId="11317" priority="435">
      <formula>U$9&lt;8/24</formula>
    </cfRule>
  </conditionalFormatting>
  <conditionalFormatting sqref="AB8">
    <cfRule type="expression" dxfId="11316" priority="428">
      <formula>AD$9&gt;=20/24</formula>
    </cfRule>
    <cfRule type="expression" dxfId="11315" priority="429">
      <formula>AND(AD$9&gt;=14/24,AD$9&lt;20/24)</formula>
    </cfRule>
    <cfRule type="expression" dxfId="11314" priority="430">
      <formula>AND(AD$9&gt;=8/24,AD$9&lt;14/24)</formula>
    </cfRule>
    <cfRule type="expression" dxfId="11313" priority="431">
      <formula>AD$9&lt;8/24</formula>
    </cfRule>
  </conditionalFormatting>
  <conditionalFormatting sqref="AH245:AX245">
    <cfRule type="expression" dxfId="11312" priority="468">
      <formula>AG$9&gt;=20/24</formula>
    </cfRule>
    <cfRule type="expression" dxfId="11311" priority="469">
      <formula>AND(AG$9&gt;=14/24,AG$9&lt;20/24)</formula>
    </cfRule>
    <cfRule type="expression" dxfId="11310" priority="470">
      <formula>AND(AG$9&gt;=8/24,AG$9&lt;14/24)</formula>
    </cfRule>
    <cfRule type="expression" dxfId="11309" priority="471">
      <formula>AG$9&lt;8/24</formula>
    </cfRule>
  </conditionalFormatting>
  <conditionalFormatting sqref="T245">
    <cfRule type="expression" dxfId="11308" priority="472">
      <formula>AX$9&gt;=20/24</formula>
    </cfRule>
    <cfRule type="expression" dxfId="11307" priority="473">
      <formula>AND(AX$9&gt;=14/24,AX$9&lt;20/24)</formula>
    </cfRule>
    <cfRule type="expression" dxfId="11306" priority="474">
      <formula>AND(AX$9&gt;=8/24,AX$9&lt;14/24)</formula>
    </cfRule>
    <cfRule type="expression" dxfId="11305" priority="475">
      <formula>AX$9&lt;8/24</formula>
    </cfRule>
  </conditionalFormatting>
  <conditionalFormatting sqref="A115:A116">
    <cfRule type="expression" dxfId="11304" priority="427">
      <formula>$AH115=0</formula>
    </cfRule>
  </conditionalFormatting>
  <conditionalFormatting sqref="P71:AF71">
    <cfRule type="expression" dxfId="11303" priority="423">
      <formula>P$9&gt;=20/24</formula>
    </cfRule>
    <cfRule type="expression" dxfId="11302" priority="424">
      <formula>AND(P$9&gt;=14/24,P$9&lt;20/24)</formula>
    </cfRule>
    <cfRule type="expression" dxfId="11301" priority="425">
      <formula>AND(P$9&gt;=8/24,P$9&lt;14/24)</formula>
    </cfRule>
    <cfRule type="expression" dxfId="11300" priority="426">
      <formula>P$9&lt;8/24</formula>
    </cfRule>
  </conditionalFormatting>
  <conditionalFormatting sqref="E86:AF86 X96:AF96 S72:AA73 O100:X106 AA74 X47:AF47 Y67:AF69 AB72:AF74">
    <cfRule type="expression" dxfId="11299" priority="414">
      <formula>E$9&gt;=20/24</formula>
    </cfRule>
    <cfRule type="expression" dxfId="11298" priority="415">
      <formula>AND(E$9&gt;=14/24,E$9&lt;20/24)</formula>
    </cfRule>
    <cfRule type="expression" dxfId="11297" priority="416">
      <formula>AND(E$9&gt;=8/24,E$9&lt;14/24)</formula>
    </cfRule>
    <cfRule type="expression" dxfId="11296" priority="417">
      <formula>E$9&lt;8/24</formula>
    </cfRule>
  </conditionalFormatting>
  <conditionalFormatting sqref="X47:AF47 Y67:AF69">
    <cfRule type="expression" dxfId="11295" priority="413">
      <formula>X47&gt;$AG47</formula>
    </cfRule>
  </conditionalFormatting>
  <conditionalFormatting sqref="S53:X55 T58:W58 S56:W57 X56:X58 Y53:AF58">
    <cfRule type="expression" dxfId="11294" priority="409">
      <formula>S$9&gt;=20/24</formula>
    </cfRule>
    <cfRule type="expression" dxfId="11293" priority="410">
      <formula>AND(S$9&gt;=14/24,S$9&lt;20/24)</formula>
    </cfRule>
    <cfRule type="expression" dxfId="11292" priority="411">
      <formula>AND(S$9&gt;=8/24,S$9&lt;14/24)</formula>
    </cfRule>
    <cfRule type="expression" dxfId="11291" priority="412">
      <formula>S$9&lt;8/24</formula>
    </cfRule>
  </conditionalFormatting>
  <conditionalFormatting sqref="S53:X55 T58:W58 S56:W57 X56:X58 Y53:AF58">
    <cfRule type="expression" dxfId="11290" priority="408">
      <formula>S53&gt;$AG53</formula>
    </cfRule>
  </conditionalFormatting>
  <conditionalFormatting sqref="E88:AF88 C97:AF97">
    <cfRule type="expression" dxfId="11289" priority="404">
      <formula>C$9&gt;=20/24</formula>
    </cfRule>
    <cfRule type="expression" dxfId="11288" priority="405">
      <formula>AND(C$9&gt;=14/24,C$9&lt;20/24)</formula>
    </cfRule>
    <cfRule type="expression" dxfId="11287" priority="406">
      <formula>AND(C$9&gt;=8/24,C$9&lt;14/24)</formula>
    </cfRule>
    <cfRule type="expression" dxfId="11286" priority="407">
      <formula>C$9&lt;8/24</formula>
    </cfRule>
  </conditionalFormatting>
  <conditionalFormatting sqref="U47:W47">
    <cfRule type="expression" dxfId="11285" priority="400">
      <formula>U$9&gt;=20/24</formula>
    </cfRule>
    <cfRule type="expression" dxfId="11284" priority="401">
      <formula>AND(U$9&gt;=14/24,U$9&lt;20/24)</formula>
    </cfRule>
    <cfRule type="expression" dxfId="11283" priority="402">
      <formula>AND(U$9&gt;=8/24,U$9&lt;14/24)</formula>
    </cfRule>
    <cfRule type="expression" dxfId="11282" priority="403">
      <formula>U$9&lt;8/24</formula>
    </cfRule>
  </conditionalFormatting>
  <conditionalFormatting sqref="U47:W47">
    <cfRule type="expression" dxfId="11281" priority="399">
      <formula>U47&gt;$AG47</formula>
    </cfRule>
  </conditionalFormatting>
  <conditionalFormatting sqref="AG70 AG87 E100:N106 Q67:X69">
    <cfRule type="expression" dxfId="11280" priority="386">
      <formula>E$9&gt;=20/24</formula>
    </cfRule>
    <cfRule type="expression" dxfId="11279" priority="387">
      <formula>AND(E$9&gt;=14/24,E$9&lt;20/24)</formula>
    </cfRule>
    <cfRule type="expression" dxfId="11278" priority="388">
      <formula>AND(E$9&gt;=8/24,E$9&lt;14/24)</formula>
    </cfRule>
    <cfRule type="expression" dxfId="11277" priority="389">
      <formula>E$9&lt;8/24</formula>
    </cfRule>
  </conditionalFormatting>
  <conditionalFormatting sqref="AG48 AG66 AG70 Q67:X69">
    <cfRule type="expression" dxfId="11276" priority="385">
      <formula>Q48&gt;$AG48</formula>
    </cfRule>
  </conditionalFormatting>
  <conditionalFormatting sqref="A43">
    <cfRule type="expression" dxfId="11275" priority="379">
      <formula>$AH43=0</formula>
    </cfRule>
  </conditionalFormatting>
  <conditionalFormatting sqref="X91:AF95">
    <cfRule type="expression" dxfId="11274" priority="375">
      <formula>X$9&gt;=20/24</formula>
    </cfRule>
    <cfRule type="expression" dxfId="11273" priority="376">
      <formula>AND(X$9&gt;=14/24,X$9&lt;20/24)</formula>
    </cfRule>
    <cfRule type="expression" dxfId="11272" priority="377">
      <formula>AND(X$9&gt;=8/24,X$9&lt;14/24)</formula>
    </cfRule>
    <cfRule type="expression" dxfId="11271" priority="378">
      <formula>X$9&lt;8/24</formula>
    </cfRule>
  </conditionalFormatting>
  <conditionalFormatting sqref="AL45 AL41 AL22:AL32 AL38:AL39 AL7:AL15 AL17:AL20 AL34:AL36">
    <cfRule type="iconSet" priority="476">
      <iconSet iconSet="3TrafficLights2" reverse="1">
        <cfvo type="percent" val="0"/>
        <cfvo type="num" val="1"/>
        <cfvo type="num" val="1"/>
      </iconSet>
    </cfRule>
  </conditionalFormatting>
  <conditionalFormatting sqref="G49:W49 X49:AF51">
    <cfRule type="expression" dxfId="11270" priority="371">
      <formula>G$9&gt;=20/24</formula>
    </cfRule>
    <cfRule type="expression" dxfId="11269" priority="372">
      <formula>AND(G$9&gt;=14/24,G$9&lt;20/24)</formula>
    </cfRule>
    <cfRule type="expression" dxfId="11268" priority="373">
      <formula>AND(G$9&gt;=8/24,G$9&lt;14/24)</formula>
    </cfRule>
    <cfRule type="expression" dxfId="11267" priority="374">
      <formula>G$9&lt;8/24</formula>
    </cfRule>
  </conditionalFormatting>
  <conditionalFormatting sqref="G49:W49 X49:AF51">
    <cfRule type="expression" dxfId="11266" priority="370">
      <formula>G49&gt;$AG49</formula>
    </cfRule>
  </conditionalFormatting>
  <conditionalFormatting sqref="AG52">
    <cfRule type="expression" dxfId="11265" priority="366">
      <formula>AG$9&gt;=20/24</formula>
    </cfRule>
    <cfRule type="expression" dxfId="11264" priority="367">
      <formula>AND(AG$9&gt;=14/24,AG$9&lt;20/24)</formula>
    </cfRule>
    <cfRule type="expression" dxfId="11263" priority="368">
      <formula>AND(AG$9&gt;=8/24,AG$9&lt;14/24)</formula>
    </cfRule>
    <cfRule type="expression" dxfId="11262" priority="369">
      <formula>AG$9&lt;8/24</formula>
    </cfRule>
  </conditionalFormatting>
  <conditionalFormatting sqref="AG52">
    <cfRule type="expression" dxfId="11261" priority="365">
      <formula>AG52&gt;$AG52</formula>
    </cfRule>
  </conditionalFormatting>
  <conditionalFormatting sqref="C107:AF107">
    <cfRule type="expression" dxfId="11260" priority="361">
      <formula>C$9&gt;=20/24</formula>
    </cfRule>
    <cfRule type="expression" dxfId="11259" priority="362">
      <formula>AND(C$9&gt;=14/24,C$9&lt;20/24)</formula>
    </cfRule>
    <cfRule type="expression" dxfId="11258" priority="363">
      <formula>AND(C$9&gt;=8/24,C$9&lt;14/24)</formula>
    </cfRule>
    <cfRule type="expression" dxfId="11257" priority="364">
      <formula>C$9&lt;8/24</formula>
    </cfRule>
  </conditionalFormatting>
  <conditionalFormatting sqref="AL40">
    <cfRule type="iconSet" priority="360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1256" priority="359">
      <formula>$AH40=0</formula>
    </cfRule>
  </conditionalFormatting>
  <conditionalFormatting sqref="A90">
    <cfRule type="expression" dxfId="11255" priority="357">
      <formula>$AH90=0</formula>
    </cfRule>
  </conditionalFormatting>
  <conditionalFormatting sqref="A87">
    <cfRule type="expression" dxfId="11254" priority="358">
      <formula>$AH87=0</formula>
    </cfRule>
  </conditionalFormatting>
  <conditionalFormatting sqref="D110:AF110">
    <cfRule type="expression" dxfId="11253" priority="353">
      <formula>D$9&gt;=20/24</formula>
    </cfRule>
    <cfRule type="expression" dxfId="11252" priority="354">
      <formula>AND(D$9&gt;=14/24,D$9&lt;20/24)</formula>
    </cfRule>
    <cfRule type="expression" dxfId="11251" priority="355">
      <formula>AND(D$9&gt;=8/24,D$9&lt;14/24)</formula>
    </cfRule>
    <cfRule type="expression" dxfId="11250" priority="356">
      <formula>D$9&lt;8/24</formula>
    </cfRule>
  </conditionalFormatting>
  <conditionalFormatting sqref="A110">
    <cfRule type="expression" dxfId="11249" priority="352">
      <formula>$AH110=0</formula>
    </cfRule>
  </conditionalFormatting>
  <conditionalFormatting sqref="A21">
    <cfRule type="expression" dxfId="11248" priority="350">
      <formula>$AH21=0</formula>
    </cfRule>
  </conditionalFormatting>
  <conditionalFormatting sqref="AL21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1247" priority="348">
      <formula>$AH37=0</formula>
    </cfRule>
  </conditionalFormatting>
  <conditionalFormatting sqref="AL37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Y99:AF99">
    <cfRule type="expression" dxfId="11246" priority="344">
      <formula>Y$9&gt;=20/24</formula>
    </cfRule>
    <cfRule type="expression" dxfId="11245" priority="345">
      <formula>AND(Y$9&gt;=14/24,Y$9&lt;20/24)</formula>
    </cfRule>
    <cfRule type="expression" dxfId="11244" priority="346">
      <formula>AND(Y$9&gt;=8/24,Y$9&lt;14/24)</formula>
    </cfRule>
    <cfRule type="expression" dxfId="11243" priority="347">
      <formula>Y$9&lt;8/24</formula>
    </cfRule>
  </conditionalFormatting>
  <conditionalFormatting sqref="Y100:AF106">
    <cfRule type="expression" dxfId="11242" priority="340">
      <formula>Y$9&gt;=20/24</formula>
    </cfRule>
    <cfRule type="expression" dxfId="11241" priority="341">
      <formula>AND(Y$9&gt;=14/24,Y$9&lt;20/24)</formula>
    </cfRule>
    <cfRule type="expression" dxfId="11240" priority="342">
      <formula>AND(Y$9&gt;=8/24,Y$9&lt;14/24)</formula>
    </cfRule>
    <cfRule type="expression" dxfId="11239" priority="343">
      <formula>Y$9&lt;8/24</formula>
    </cfRule>
  </conditionalFormatting>
  <conditionalFormatting sqref="C109 C111:C116 S22:AF31 S17:AF20">
    <cfRule type="expression" dxfId="11238" priority="336">
      <formula>C$9&gt;=20/24</formula>
    </cfRule>
    <cfRule type="expression" dxfId="11237" priority="337">
      <formula>AND(C$9&gt;=14/24,C$9&lt;20/24)</formula>
    </cfRule>
    <cfRule type="expression" dxfId="11236" priority="338">
      <formula>AND(C$9&gt;=8/24,C$9&lt;14/24)</formula>
    </cfRule>
    <cfRule type="expression" dxfId="11235" priority="339">
      <formula>C$9&lt;8/24</formula>
    </cfRule>
  </conditionalFormatting>
  <conditionalFormatting sqref="C47:T47">
    <cfRule type="expression" dxfId="11234" priority="332">
      <formula>C$9&gt;=20/24</formula>
    </cfRule>
    <cfRule type="expression" dxfId="11233" priority="333">
      <formula>AND(C$9&gt;=14/24,C$9&lt;20/24)</formula>
    </cfRule>
    <cfRule type="expression" dxfId="11232" priority="334">
      <formula>AND(C$9&gt;=8/24,C$9&lt;14/24)</formula>
    </cfRule>
    <cfRule type="expression" dxfId="11231" priority="335">
      <formula>C$9&lt;8/24</formula>
    </cfRule>
  </conditionalFormatting>
  <conditionalFormatting sqref="C47:T47 S22:AF31 S17:AF20">
    <cfRule type="expression" dxfId="11230" priority="331">
      <formula>C17&gt;$AG17</formula>
    </cfRule>
  </conditionalFormatting>
  <conditionalFormatting sqref="C99:D99">
    <cfRule type="expression" dxfId="11229" priority="327">
      <formula>C$9&gt;=20/24</formula>
    </cfRule>
    <cfRule type="expression" dxfId="11228" priority="328">
      <formula>AND(C$9&gt;=14/24,C$9&lt;20/24)</formula>
    </cfRule>
    <cfRule type="expression" dxfId="11227" priority="329">
      <formula>AND(C$9&gt;=8/24,C$9&lt;14/24)</formula>
    </cfRule>
    <cfRule type="expression" dxfId="11226" priority="330">
      <formula>C$9&lt;8/24</formula>
    </cfRule>
  </conditionalFormatting>
  <conditionalFormatting sqref="E83:AF85 C96:W96 C83:D86 E67:P69 T74:Z76 AA75:AF76">
    <cfRule type="expression" dxfId="11225" priority="323">
      <formula>C$9&gt;=20/24</formula>
    </cfRule>
    <cfRule type="expression" dxfId="11224" priority="324">
      <formula>AND(C$9&gt;=14/24,C$9&lt;20/24)</formula>
    </cfRule>
    <cfRule type="expression" dxfId="11223" priority="325">
      <formula>AND(C$9&gt;=8/24,C$9&lt;14/24)</formula>
    </cfRule>
    <cfRule type="expression" dxfId="11222" priority="326">
      <formula>C$9&lt;8/24</formula>
    </cfRule>
  </conditionalFormatting>
  <conditionalFormatting sqref="E67:P69">
    <cfRule type="expression" dxfId="11221" priority="322">
      <formula>E67&gt;$AG67</formula>
    </cfRule>
  </conditionalFormatting>
  <conditionalFormatting sqref="C71:O71 C54:R57">
    <cfRule type="expression" dxfId="11220" priority="246">
      <formula>C$9&gt;=20/24</formula>
    </cfRule>
    <cfRule type="expression" dxfId="11219" priority="247">
      <formula>AND(C$9&gt;=14/24,C$9&lt;20/24)</formula>
    </cfRule>
    <cfRule type="expression" dxfId="11218" priority="248">
      <formula>AND(C$9&gt;=8/24,C$9&lt;14/24)</formula>
    </cfRule>
    <cfRule type="expression" dxfId="11217" priority="249">
      <formula>C$9&lt;8/24</formula>
    </cfRule>
  </conditionalFormatting>
  <conditionalFormatting sqref="C87:AF87 C89:AF89 C98:AF98 C70:AF70">
    <cfRule type="expression" dxfId="11216" priority="313">
      <formula>C$9&gt;=20/24</formula>
    </cfRule>
    <cfRule type="expression" dxfId="11215" priority="314">
      <formula>AND(C$9&gt;=14/24,C$9&lt;20/24)</formula>
    </cfRule>
    <cfRule type="expression" dxfId="11214" priority="315">
      <formula>AND(C$9&gt;=8/24,C$9&lt;14/24)</formula>
    </cfRule>
    <cfRule type="expression" dxfId="11213" priority="316">
      <formula>C$9&lt;8/24</formula>
    </cfRule>
  </conditionalFormatting>
  <conditionalFormatting sqref="C70:AF70 C65:AF66">
    <cfRule type="expression" dxfId="11212" priority="312">
      <formula>C65&gt;$AG65</formula>
    </cfRule>
  </conditionalFormatting>
  <conditionalFormatting sqref="C82:AF82">
    <cfRule type="expression" dxfId="11211" priority="308">
      <formula>C$9&gt;=20/24</formula>
    </cfRule>
    <cfRule type="expression" dxfId="11210" priority="309">
      <formula>AND(C$9&gt;=14/24,C$9&lt;20/24)</formula>
    </cfRule>
    <cfRule type="expression" dxfId="11209" priority="310">
      <formula>AND(C$9&gt;=8/24,C$9&lt;14/24)</formula>
    </cfRule>
    <cfRule type="expression" dxfId="11208" priority="311">
      <formula>C$9&lt;8/24</formula>
    </cfRule>
  </conditionalFormatting>
  <conditionalFormatting sqref="C91:W95">
    <cfRule type="expression" dxfId="11207" priority="304">
      <formula>C$9&gt;=20/24</formula>
    </cfRule>
    <cfRule type="expression" dxfId="11206" priority="305">
      <formula>AND(C$9&gt;=14/24,C$9&lt;20/24)</formula>
    </cfRule>
    <cfRule type="expression" dxfId="11205" priority="306">
      <formula>AND(C$9&gt;=8/24,C$9&lt;14/24)</formula>
    </cfRule>
    <cfRule type="expression" dxfId="11204" priority="307">
      <formula>C$9&lt;8/24</formula>
    </cfRule>
  </conditionalFormatting>
  <conditionalFormatting sqref="C52:AF52">
    <cfRule type="expression" dxfId="11203" priority="300">
      <formula>C$9&gt;=20/24</formula>
    </cfRule>
    <cfRule type="expression" dxfId="11202" priority="301">
      <formula>AND(C$9&gt;=14/24,C$9&lt;20/24)</formula>
    </cfRule>
    <cfRule type="expression" dxfId="11201" priority="302">
      <formula>AND(C$9&gt;=8/24,C$9&lt;14/24)</formula>
    </cfRule>
    <cfRule type="expression" dxfId="11200" priority="303">
      <formula>C$9&lt;8/24</formula>
    </cfRule>
  </conditionalFormatting>
  <conditionalFormatting sqref="C52:AF52">
    <cfRule type="expression" dxfId="11199" priority="299">
      <formula>C52&gt;$AG52</formula>
    </cfRule>
  </conditionalFormatting>
  <conditionalFormatting sqref="C49:F51 G50:W51">
    <cfRule type="expression" dxfId="11198" priority="214">
      <formula>C$9&gt;=20/24</formula>
    </cfRule>
    <cfRule type="expression" dxfId="11197" priority="215">
      <formula>AND(C$9&gt;=14/24,C$9&lt;20/24)</formula>
    </cfRule>
    <cfRule type="expression" dxfId="11196" priority="216">
      <formula>AND(C$9&gt;=8/24,C$9&lt;14/24)</formula>
    </cfRule>
    <cfRule type="expression" dxfId="11195" priority="217">
      <formula>C$9&lt;8/24</formula>
    </cfRule>
  </conditionalFormatting>
  <conditionalFormatting sqref="C110">
    <cfRule type="expression" dxfId="11194" priority="291">
      <formula>C$9&gt;=20/24</formula>
    </cfRule>
    <cfRule type="expression" dxfId="11193" priority="292">
      <formula>AND(C$9&gt;=14/24,C$9&lt;20/24)</formula>
    </cfRule>
    <cfRule type="expression" dxfId="11192" priority="293">
      <formula>AND(C$9&gt;=8/24,C$9&lt;14/24)</formula>
    </cfRule>
    <cfRule type="expression" dxfId="11191" priority="294">
      <formula>C$9&lt;8/24</formula>
    </cfRule>
  </conditionalFormatting>
  <conditionalFormatting sqref="T59:U59 U60:U64 V59:AF64">
    <cfRule type="expression" dxfId="11190" priority="287">
      <formula>T$9&gt;=20/24</formula>
    </cfRule>
    <cfRule type="expression" dxfId="11189" priority="288">
      <formula>AND(T$9&gt;=14/24,T$9&lt;20/24)</formula>
    </cfRule>
    <cfRule type="expression" dxfId="11188" priority="289">
      <formula>AND(T$9&gt;=8/24,T$9&lt;14/24)</formula>
    </cfRule>
    <cfRule type="expression" dxfId="11187" priority="290">
      <formula>T$9&lt;8/24</formula>
    </cfRule>
  </conditionalFormatting>
  <conditionalFormatting sqref="T59:U59 U60:U64 V59:AF64">
    <cfRule type="expression" dxfId="11186" priority="286">
      <formula>T59&gt;$AG59</formula>
    </cfRule>
  </conditionalFormatting>
  <conditionalFormatting sqref="S13:AF15">
    <cfRule type="expression" dxfId="11185" priority="285">
      <formula>S13&gt;$AG13</formula>
    </cfRule>
  </conditionalFormatting>
  <conditionalFormatting sqref="S12:AF12">
    <cfRule type="expression" dxfId="11184" priority="281">
      <formula>S$9&gt;=20/24</formula>
    </cfRule>
    <cfRule type="expression" dxfId="11183" priority="282">
      <formula>AND(S$9&gt;=14/24,S$9&lt;20/24)</formula>
    </cfRule>
    <cfRule type="expression" dxfId="11182" priority="283">
      <formula>AND(S$9&gt;=8/24,S$9&lt;14/24)</formula>
    </cfRule>
    <cfRule type="expression" dxfId="11181" priority="284">
      <formula>S$9&lt;8/24</formula>
    </cfRule>
  </conditionalFormatting>
  <conditionalFormatting sqref="S12:AF12">
    <cfRule type="expression" dxfId="11180" priority="280">
      <formula>S12&gt;$AG12</formula>
    </cfRule>
  </conditionalFormatting>
  <conditionalFormatting sqref="S13:AF15">
    <cfRule type="expression" dxfId="11179" priority="276">
      <formula>S$9&gt;=20/24</formula>
    </cfRule>
    <cfRule type="expression" dxfId="11178" priority="277">
      <formula>AND(S$9&gt;=14/24,S$9&lt;20/24)</formula>
    </cfRule>
    <cfRule type="expression" dxfId="11177" priority="278">
      <formula>AND(S$9&gt;=8/24,S$9&lt;14/24)</formula>
    </cfRule>
    <cfRule type="expression" dxfId="11176" priority="279">
      <formula>S$9&lt;8/24</formula>
    </cfRule>
  </conditionalFormatting>
  <conditionalFormatting sqref="E81:AF81 T77:AF80">
    <cfRule type="expression" dxfId="11175" priority="268">
      <formula>E$9&gt;=20/24</formula>
    </cfRule>
    <cfRule type="expression" dxfId="11174" priority="269">
      <formula>AND(E$9&gt;=14/24,E$9&lt;20/24)</formula>
    </cfRule>
    <cfRule type="expression" dxfId="11173" priority="270">
      <formula>AND(E$9&gt;=8/24,E$9&lt;14/24)</formula>
    </cfRule>
    <cfRule type="expression" dxfId="11172" priority="271">
      <formula>E$9&lt;8/24</formula>
    </cfRule>
  </conditionalFormatting>
  <conditionalFormatting sqref="AL78:AN78 AL84:AN84 AN79:AN80">
    <cfRule type="expression" dxfId="11171" priority="264">
      <formula>AL$9&gt;=20/24</formula>
    </cfRule>
    <cfRule type="expression" dxfId="11170" priority="265">
      <formula>AND(AL$9&gt;=14/24,AL$9&lt;20/24)</formula>
    </cfRule>
    <cfRule type="expression" dxfId="11169" priority="266">
      <formula>AND(AL$9&gt;=8/24,AL$9&lt;14/24)</formula>
    </cfRule>
    <cfRule type="expression" dxfId="11168" priority="267">
      <formula>AL$9&lt;8/24</formula>
    </cfRule>
  </conditionalFormatting>
  <conditionalFormatting sqref="AN81:AN82">
    <cfRule type="expression" dxfId="11167" priority="260">
      <formula>AN$9&gt;=20/24</formula>
    </cfRule>
    <cfRule type="expression" dxfId="11166" priority="261">
      <formula>AND(AN$9&gt;=14/24,AN$9&lt;20/24)</formula>
    </cfRule>
    <cfRule type="expression" dxfId="11165" priority="262">
      <formula>AND(AN$9&gt;=8/24,AN$9&lt;14/24)</formula>
    </cfRule>
    <cfRule type="expression" dxfId="11164" priority="263">
      <formula>AN$9&lt;8/24</formula>
    </cfRule>
  </conditionalFormatting>
  <conditionalFormatting sqref="AL79:AM83">
    <cfRule type="expression" dxfId="11163" priority="477">
      <formula>AJ$9&gt;=20/24</formula>
    </cfRule>
    <cfRule type="expression" dxfId="11162" priority="478">
      <formula>AND(AJ$9&gt;=14/24,AJ$9&lt;20/24)</formula>
    </cfRule>
    <cfRule type="expression" dxfId="11161" priority="479">
      <formula>AND(AJ$9&gt;=8/24,AJ$9&lt;14/24)</formula>
    </cfRule>
    <cfRule type="expression" dxfId="11160" priority="480">
      <formula>AJ$9&lt;8/24</formula>
    </cfRule>
  </conditionalFormatting>
  <conditionalFormatting sqref="A117">
    <cfRule type="expression" dxfId="11159" priority="259">
      <formula>$AH117=0</formula>
    </cfRule>
  </conditionalFormatting>
  <conditionalFormatting sqref="N25:R25">
    <cfRule type="expression" dxfId="11158" priority="255">
      <formula>N$9&gt;=20/24</formula>
    </cfRule>
    <cfRule type="expression" dxfId="11157" priority="256">
      <formula>AND(N$9&gt;=14/24,N$9&lt;20/24)</formula>
    </cfRule>
    <cfRule type="expression" dxfId="11156" priority="257">
      <formula>AND(N$9&gt;=8/24,N$9&lt;14/24)</formula>
    </cfRule>
    <cfRule type="expression" dxfId="11155" priority="258">
      <formula>N$9&lt;8/24</formula>
    </cfRule>
  </conditionalFormatting>
  <conditionalFormatting sqref="N25:R25">
    <cfRule type="expression" dxfId="11154" priority="254">
      <formula>N25&gt;$AG25</formula>
    </cfRule>
  </conditionalFormatting>
  <conditionalFormatting sqref="C53:R53">
    <cfRule type="expression" dxfId="11153" priority="242">
      <formula>C$9&gt;=20/24</formula>
    </cfRule>
    <cfRule type="expression" dxfId="11152" priority="243">
      <formula>AND(C$9&gt;=14/24,C$9&lt;20/24)</formula>
    </cfRule>
    <cfRule type="expression" dxfId="11151" priority="244">
      <formula>AND(C$9&gt;=8/24,C$9&lt;14/24)</formula>
    </cfRule>
    <cfRule type="expression" dxfId="11150" priority="245">
      <formula>C$9&lt;8/24</formula>
    </cfRule>
  </conditionalFormatting>
  <conditionalFormatting sqref="C53:R57">
    <cfRule type="expression" dxfId="11149" priority="241">
      <formula>C53&gt;$AG53</formula>
    </cfRule>
  </conditionalFormatting>
  <conditionalFormatting sqref="C100:D106 C67:D69 C72:R74 S74">
    <cfRule type="expression" dxfId="11148" priority="237">
      <formula>C$9&gt;=20/24</formula>
    </cfRule>
    <cfRule type="expression" dxfId="11147" priority="238">
      <formula>AND(C$9&gt;=14/24,C$9&lt;20/24)</formula>
    </cfRule>
    <cfRule type="expression" dxfId="11146" priority="239">
      <formula>AND(C$9&gt;=8/24,C$9&lt;14/24)</formula>
    </cfRule>
    <cfRule type="expression" dxfId="11145" priority="240">
      <formula>C$9&lt;8/24</formula>
    </cfRule>
  </conditionalFormatting>
  <conditionalFormatting sqref="C67:D69">
    <cfRule type="expression" dxfId="11144" priority="236">
      <formula>C67&gt;$AG67</formula>
    </cfRule>
  </conditionalFormatting>
  <conditionalFormatting sqref="C88:D88">
    <cfRule type="expression" dxfId="11143" priority="232">
      <formula>C$9&gt;=20/24</formula>
    </cfRule>
    <cfRule type="expression" dxfId="11142" priority="233">
      <formula>AND(C$9&gt;=14/24,C$9&lt;20/24)</formula>
    </cfRule>
    <cfRule type="expression" dxfId="11141" priority="234">
      <formula>AND(C$9&gt;=8/24,C$9&lt;14/24)</formula>
    </cfRule>
    <cfRule type="expression" dxfId="11140" priority="235">
      <formula>C$9&lt;8/24</formula>
    </cfRule>
  </conditionalFormatting>
  <conditionalFormatting sqref="Z46:AF46">
    <cfRule type="expression" dxfId="11139" priority="228">
      <formula>Z$9&gt;=20/24</formula>
    </cfRule>
    <cfRule type="expression" dxfId="11138" priority="229">
      <formula>AND(Z$9&gt;=14/24,Z$9&lt;20/24)</formula>
    </cfRule>
    <cfRule type="expression" dxfId="11137" priority="230">
      <formula>AND(Z$9&gt;=8/24,Z$9&lt;14/24)</formula>
    </cfRule>
    <cfRule type="expression" dxfId="11136" priority="231">
      <formula>Z$9&lt;8/24</formula>
    </cfRule>
  </conditionalFormatting>
  <conditionalFormatting sqref="Z46:AF46">
    <cfRule type="expression" dxfId="11135" priority="227">
      <formula>Z46&gt;$AG46</formula>
    </cfRule>
  </conditionalFormatting>
  <conditionalFormatting sqref="C58:S58">
    <cfRule type="expression" dxfId="11134" priority="223">
      <formula>C$9&gt;=20/24</formula>
    </cfRule>
    <cfRule type="expression" dxfId="11133" priority="224">
      <formula>AND(C$9&gt;=14/24,C$9&lt;20/24)</formula>
    </cfRule>
    <cfRule type="expression" dxfId="11132" priority="225">
      <formula>AND(C$9&gt;=8/24,C$9&lt;14/24)</formula>
    </cfRule>
    <cfRule type="expression" dxfId="11131" priority="226">
      <formula>C$9&lt;8/24</formula>
    </cfRule>
  </conditionalFormatting>
  <conditionalFormatting sqref="C58:S58">
    <cfRule type="expression" dxfId="11130" priority="222">
      <formula>C58&gt;$AG58</formula>
    </cfRule>
  </conditionalFormatting>
  <conditionalFormatting sqref="C49:F51 G50:W51">
    <cfRule type="expression" dxfId="11129" priority="213">
      <formula>C49&gt;$AG49</formula>
    </cfRule>
  </conditionalFormatting>
  <conditionalFormatting sqref="C75:S76">
    <cfRule type="expression" dxfId="11128" priority="201">
      <formula>C$9&gt;=20/24</formula>
    </cfRule>
    <cfRule type="expression" dxfId="11127" priority="202">
      <formula>AND(C$9&gt;=14/24,C$9&lt;20/24)</formula>
    </cfRule>
    <cfRule type="expression" dxfId="11126" priority="203">
      <formula>AND(C$9&gt;=8/24,C$9&lt;14/24)</formula>
    </cfRule>
    <cfRule type="expression" dxfId="11125" priority="204">
      <formula>C$9&lt;8/24</formula>
    </cfRule>
  </conditionalFormatting>
  <conditionalFormatting sqref="C48:AF48">
    <cfRule type="expression" dxfId="11124" priority="196">
      <formula>C48&gt;$AG48</formula>
    </cfRule>
  </conditionalFormatting>
  <conditionalFormatting sqref="C59:S64 T60:T64">
    <cfRule type="expression" dxfId="11123" priority="179">
      <formula>C$9&gt;=20/24</formula>
    </cfRule>
    <cfRule type="expression" dxfId="11122" priority="180">
      <formula>AND(C$9&gt;=14/24,C$9&lt;20/24)</formula>
    </cfRule>
    <cfRule type="expression" dxfId="11121" priority="181">
      <formula>AND(C$9&gt;=8/24,C$9&lt;14/24)</formula>
    </cfRule>
    <cfRule type="expression" dxfId="11120" priority="182">
      <formula>C$9&lt;8/24</formula>
    </cfRule>
  </conditionalFormatting>
  <conditionalFormatting sqref="C59:S64 T60:T64">
    <cfRule type="expression" dxfId="11119" priority="178">
      <formula>C59&gt;$AG59</formula>
    </cfRule>
  </conditionalFormatting>
  <conditionalFormatting sqref="C77:D81 E77:S80">
    <cfRule type="expression" dxfId="11118" priority="174">
      <formula>C$9&gt;=20/24</formula>
    </cfRule>
    <cfRule type="expression" dxfId="11117" priority="175">
      <formula>AND(C$9&gt;=14/24,C$9&lt;20/24)</formula>
    </cfRule>
    <cfRule type="expression" dxfId="11116" priority="176">
      <formula>AND(C$9&gt;=8/24,C$9&lt;14/24)</formula>
    </cfRule>
    <cfRule type="expression" dxfId="11115" priority="177">
      <formula>C$9&lt;8/24</formula>
    </cfRule>
  </conditionalFormatting>
  <conditionalFormatting sqref="A11">
    <cfRule type="expression" dxfId="11114" priority="173">
      <formula>$AH11=0</formula>
    </cfRule>
  </conditionalFormatting>
  <conditionalFormatting sqref="S11:AF11">
    <cfRule type="expression" dxfId="11113" priority="169">
      <formula>S$9&gt;=20/24</formula>
    </cfRule>
    <cfRule type="expression" dxfId="11112" priority="170">
      <formula>AND(S$9&gt;=14/24,S$9&lt;20/24)</formula>
    </cfRule>
    <cfRule type="expression" dxfId="11111" priority="171">
      <formula>AND(S$9&gt;=8/24,S$9&lt;14/24)</formula>
    </cfRule>
    <cfRule type="expression" dxfId="11110" priority="172">
      <formula>S$9&lt;8/24</formula>
    </cfRule>
  </conditionalFormatting>
  <conditionalFormatting sqref="S11:AF11">
    <cfRule type="expression" dxfId="11109" priority="168">
      <formula>S11&gt;$AG11</formula>
    </cfRule>
  </conditionalFormatting>
  <conditionalFormatting sqref="A16">
    <cfRule type="expression" dxfId="11108" priority="161">
      <formula>$AH16=0</formula>
    </cfRule>
  </conditionalFormatting>
  <conditionalFormatting sqref="AL1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S16:AF16">
    <cfRule type="expression" dxfId="11107" priority="157">
      <formula>S$9&gt;=20/24</formula>
    </cfRule>
    <cfRule type="expression" dxfId="11106" priority="158">
      <formula>AND(S$9&gt;=14/24,S$9&lt;20/24)</formula>
    </cfRule>
    <cfRule type="expression" dxfId="11105" priority="159">
      <formula>AND(S$9&gt;=8/24,S$9&lt;14/24)</formula>
    </cfRule>
    <cfRule type="expression" dxfId="11104" priority="160">
      <formula>S$9&lt;8/24</formula>
    </cfRule>
  </conditionalFormatting>
  <conditionalFormatting sqref="S16:AF16">
    <cfRule type="expression" dxfId="11103" priority="156">
      <formula>S16&gt;$AG16</formula>
    </cfRule>
  </conditionalFormatting>
  <conditionalFormatting sqref="A33">
    <cfRule type="expression" dxfId="11102" priority="149">
      <formula>$AH33=0</formula>
    </cfRule>
  </conditionalFormatting>
  <conditionalFormatting sqref="AL33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A44">
    <cfRule type="expression" dxfId="11101" priority="137">
      <formula>$AH44=0</formula>
    </cfRule>
  </conditionalFormatting>
  <conditionalFormatting sqref="AL44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D117:AF117">
    <cfRule type="expression" dxfId="11100" priority="123">
      <formula>D$9&gt;=20/24</formula>
    </cfRule>
    <cfRule type="expression" dxfId="11099" priority="124">
      <formula>AND(D$9&gt;=14/24,D$9&lt;20/24)</formula>
    </cfRule>
    <cfRule type="expression" dxfId="11098" priority="125">
      <formula>AND(D$9&gt;=8/24,D$9&lt;14/24)</formula>
    </cfRule>
    <cfRule type="expression" dxfId="11097" priority="126">
      <formula>D$9&lt;8/24</formula>
    </cfRule>
  </conditionalFormatting>
  <conditionalFormatting sqref="C117">
    <cfRule type="expression" dxfId="11096" priority="119">
      <formula>C$9&gt;=20/24</formula>
    </cfRule>
    <cfRule type="expression" dxfId="11095" priority="120">
      <formula>AND(C$9&gt;=14/24,C$9&lt;20/24)</formula>
    </cfRule>
    <cfRule type="expression" dxfId="11094" priority="121">
      <formula>AND(C$9&gt;=8/24,C$9&lt;14/24)</formula>
    </cfRule>
    <cfRule type="expression" dxfId="11093" priority="122">
      <formula>C$9&lt;8/24</formula>
    </cfRule>
  </conditionalFormatting>
  <conditionalFormatting sqref="B44:AF44">
    <cfRule type="expression" dxfId="11092" priority="1">
      <formula>B44&gt;$AG44</formula>
    </cfRule>
  </conditionalFormatting>
  <conditionalFormatting sqref="B111:B116 B109">
    <cfRule type="expression" dxfId="11091" priority="111">
      <formula>B$9&gt;=20/24</formula>
    </cfRule>
    <cfRule type="expression" dxfId="11090" priority="112">
      <formula>AND(B$9&gt;=14/24,B$9&lt;20/24)</formula>
    </cfRule>
    <cfRule type="expression" dxfId="11089" priority="113">
      <formula>AND(B$9&gt;=8/24,B$9&lt;14/24)</formula>
    </cfRule>
    <cfRule type="expression" dxfId="11088" priority="114">
      <formula>B$9&lt;8/24</formula>
    </cfRule>
  </conditionalFormatting>
  <conditionalFormatting sqref="B99">
    <cfRule type="expression" dxfId="11087" priority="107">
      <formula>B$9&gt;=20/24</formula>
    </cfRule>
    <cfRule type="expression" dxfId="11086" priority="108">
      <formula>AND(B$9&gt;=14/24,B$9&lt;20/24)</formula>
    </cfRule>
    <cfRule type="expression" dxfId="11085" priority="109">
      <formula>AND(B$9&gt;=8/24,B$9&lt;14/24)</formula>
    </cfRule>
    <cfRule type="expression" dxfId="11084" priority="110">
      <formula>B$9&lt;8/24</formula>
    </cfRule>
  </conditionalFormatting>
  <conditionalFormatting sqref="B54:B57 B71">
    <cfRule type="expression" dxfId="11083" priority="103">
      <formula>B$9&gt;=20/24</formula>
    </cfRule>
    <cfRule type="expression" dxfId="11082" priority="104">
      <formula>AND(B$9&gt;=14/24,B$9&lt;20/24)</formula>
    </cfRule>
    <cfRule type="expression" dxfId="11081" priority="105">
      <formula>AND(B$9&gt;=8/24,B$9&lt;14/24)</formula>
    </cfRule>
    <cfRule type="expression" dxfId="11080" priority="106">
      <formula>B$9&lt;8/24</formula>
    </cfRule>
  </conditionalFormatting>
  <conditionalFormatting sqref="B53">
    <cfRule type="expression" dxfId="11079" priority="99">
      <formula>B$9&gt;=20/24</formula>
    </cfRule>
    <cfRule type="expression" dxfId="11078" priority="100">
      <formula>AND(B$9&gt;=14/24,B$9&lt;20/24)</formula>
    </cfRule>
    <cfRule type="expression" dxfId="11077" priority="101">
      <formula>AND(B$9&gt;=8/24,B$9&lt;14/24)</formula>
    </cfRule>
    <cfRule type="expression" dxfId="11076" priority="102">
      <formula>B$9&lt;8/24</formula>
    </cfRule>
  </conditionalFormatting>
  <conditionalFormatting sqref="B53:B57">
    <cfRule type="expression" dxfId="11075" priority="98">
      <formula>B53&gt;$AG53</formula>
    </cfRule>
  </conditionalFormatting>
  <conditionalFormatting sqref="B100:B106 B96 B86 B47 B72:B74 B67:B69">
    <cfRule type="expression" dxfId="11074" priority="94">
      <formula>B$9&gt;=20/24</formula>
    </cfRule>
    <cfRule type="expression" dxfId="11073" priority="95">
      <formula>AND(B$9&gt;=14/24,B$9&lt;20/24)</formula>
    </cfRule>
    <cfRule type="expression" dxfId="11072" priority="96">
      <formula>AND(B$9&gt;=8/24,B$9&lt;14/24)</formula>
    </cfRule>
    <cfRule type="expression" dxfId="11071" priority="97">
      <formula>B$9&lt;8/24</formula>
    </cfRule>
  </conditionalFormatting>
  <conditionalFormatting sqref="B47 B67:B69">
    <cfRule type="expression" dxfId="11070" priority="93">
      <formula>B47&gt;$AG47</formula>
    </cfRule>
  </conditionalFormatting>
  <conditionalFormatting sqref="B97 B88">
    <cfRule type="expression" dxfId="11069" priority="89">
      <formula>B$9&gt;=20/24</formula>
    </cfRule>
    <cfRule type="expression" dxfId="11068" priority="90">
      <formula>AND(B$9&gt;=14/24,B$9&lt;20/24)</formula>
    </cfRule>
    <cfRule type="expression" dxfId="11067" priority="91">
      <formula>AND(B$9&gt;=8/24,B$9&lt;14/24)</formula>
    </cfRule>
    <cfRule type="expression" dxfId="11066" priority="92">
      <formula>B$9&lt;8/24</formula>
    </cfRule>
  </conditionalFormatting>
  <conditionalFormatting sqref="B58">
    <cfRule type="expression" dxfId="11065" priority="85">
      <formula>B$9&gt;=20/24</formula>
    </cfRule>
    <cfRule type="expression" dxfId="11064" priority="86">
      <formula>AND(B$9&gt;=14/24,B$9&lt;20/24)</formula>
    </cfRule>
    <cfRule type="expression" dxfId="11063" priority="87">
      <formula>AND(B$9&gt;=8/24,B$9&lt;14/24)</formula>
    </cfRule>
    <cfRule type="expression" dxfId="11062" priority="88">
      <formula>B$9&lt;8/24</formula>
    </cfRule>
  </conditionalFormatting>
  <conditionalFormatting sqref="B58">
    <cfRule type="expression" dxfId="11061" priority="84">
      <formula>B58&gt;$AG58</formula>
    </cfRule>
  </conditionalFormatting>
  <conditionalFormatting sqref="B91:B95">
    <cfRule type="expression" dxfId="11060" priority="80">
      <formula>B$9&gt;=20/24</formula>
    </cfRule>
    <cfRule type="expression" dxfId="11059" priority="81">
      <formula>AND(B$9&gt;=14/24,B$9&lt;20/24)</formula>
    </cfRule>
    <cfRule type="expression" dxfId="11058" priority="82">
      <formula>AND(B$9&gt;=8/24,B$9&lt;14/24)</formula>
    </cfRule>
    <cfRule type="expression" dxfId="11057" priority="83">
      <formula>B$9&lt;8/24</formula>
    </cfRule>
  </conditionalFormatting>
  <conditionalFormatting sqref="B49:B51">
    <cfRule type="expression" dxfId="11056" priority="76">
      <formula>B$9&gt;=20/24</formula>
    </cfRule>
    <cfRule type="expression" dxfId="11055" priority="77">
      <formula>AND(B$9&gt;=14/24,B$9&lt;20/24)</formula>
    </cfRule>
    <cfRule type="expression" dxfId="11054" priority="78">
      <formula>AND(B$9&gt;=8/24,B$9&lt;14/24)</formula>
    </cfRule>
    <cfRule type="expression" dxfId="11053" priority="79">
      <formula>B$9&lt;8/24</formula>
    </cfRule>
  </conditionalFormatting>
  <conditionalFormatting sqref="B49:B51">
    <cfRule type="expression" dxfId="11052" priority="75">
      <formula>B49&gt;$AG49</formula>
    </cfRule>
  </conditionalFormatting>
  <conditionalFormatting sqref="B107">
    <cfRule type="expression" dxfId="11051" priority="71">
      <formula>B$9&gt;=20/24</formula>
    </cfRule>
    <cfRule type="expression" dxfId="11050" priority="72">
      <formula>AND(B$9&gt;=14/24,B$9&lt;20/24)</formula>
    </cfRule>
    <cfRule type="expression" dxfId="11049" priority="73">
      <formula>AND(B$9&gt;=8/24,B$9&lt;14/24)</formula>
    </cfRule>
    <cfRule type="expression" dxfId="11048" priority="74">
      <formula>B$9&lt;8/24</formula>
    </cfRule>
  </conditionalFormatting>
  <conditionalFormatting sqref="B110">
    <cfRule type="expression" dxfId="11047" priority="67">
      <formula>B$9&gt;=20/24</formula>
    </cfRule>
    <cfRule type="expression" dxfId="11046" priority="68">
      <formula>AND(B$9&gt;=14/24,B$9&lt;20/24)</formula>
    </cfRule>
    <cfRule type="expression" dxfId="11045" priority="69">
      <formula>AND(B$9&gt;=8/24,B$9&lt;14/24)</formula>
    </cfRule>
    <cfRule type="expression" dxfId="11044" priority="70">
      <formula>B$9&lt;8/24</formula>
    </cfRule>
  </conditionalFormatting>
  <conditionalFormatting sqref="B83:B85 B75:B76">
    <cfRule type="expression" dxfId="11043" priority="63">
      <formula>B$9&gt;=20/24</formula>
    </cfRule>
    <cfRule type="expression" dxfId="11042" priority="64">
      <formula>AND(B$9&gt;=14/24,B$9&lt;20/24)</formula>
    </cfRule>
    <cfRule type="expression" dxfId="11041" priority="65">
      <formula>AND(B$9&gt;=8/24,B$9&lt;14/24)</formula>
    </cfRule>
    <cfRule type="expression" dxfId="11040" priority="66">
      <formula>B$9&lt;8/24</formula>
    </cfRule>
  </conditionalFormatting>
  <conditionalFormatting sqref="B98 B89 B87 B70">
    <cfRule type="expression" dxfId="11039" priority="59">
      <formula>B$9&gt;=20/24</formula>
    </cfRule>
    <cfRule type="expression" dxfId="11038" priority="60">
      <formula>AND(B$9&gt;=14/24,B$9&lt;20/24)</formula>
    </cfRule>
    <cfRule type="expression" dxfId="11037" priority="61">
      <formula>AND(B$9&gt;=8/24,B$9&lt;14/24)</formula>
    </cfRule>
    <cfRule type="expression" dxfId="11036" priority="62">
      <formula>B$9&lt;8/24</formula>
    </cfRule>
  </conditionalFormatting>
  <conditionalFormatting sqref="B65:B66 B70">
    <cfRule type="expression" dxfId="11035" priority="58">
      <formula>B65&gt;$AG65</formula>
    </cfRule>
  </conditionalFormatting>
  <conditionalFormatting sqref="B82">
    <cfRule type="expression" dxfId="11034" priority="54">
      <formula>B$9&gt;=20/24</formula>
    </cfRule>
    <cfRule type="expression" dxfId="11033" priority="55">
      <formula>AND(B$9&gt;=14/24,B$9&lt;20/24)</formula>
    </cfRule>
    <cfRule type="expression" dxfId="11032" priority="56">
      <formula>AND(B$9&gt;=8/24,B$9&lt;14/24)</formula>
    </cfRule>
    <cfRule type="expression" dxfId="11031" priority="57">
      <formula>B$9&lt;8/24</formula>
    </cfRule>
  </conditionalFormatting>
  <conditionalFormatting sqref="B52">
    <cfRule type="expression" dxfId="11030" priority="50">
      <formula>B$9&gt;=20/24</formula>
    </cfRule>
    <cfRule type="expression" dxfId="11029" priority="51">
      <formula>AND(B$9&gt;=14/24,B$9&lt;20/24)</formula>
    </cfRule>
    <cfRule type="expression" dxfId="11028" priority="52">
      <formula>AND(B$9&gt;=8/24,B$9&lt;14/24)</formula>
    </cfRule>
    <cfRule type="expression" dxfId="11027" priority="53">
      <formula>B$9&lt;8/24</formula>
    </cfRule>
  </conditionalFormatting>
  <conditionalFormatting sqref="B52">
    <cfRule type="expression" dxfId="11026" priority="49">
      <formula>B52&gt;$AG52</formula>
    </cfRule>
  </conditionalFormatting>
  <conditionalFormatting sqref="B59:B64">
    <cfRule type="expression" dxfId="11025" priority="41">
      <formula>B$9&gt;=20/24</formula>
    </cfRule>
    <cfRule type="expression" dxfId="11024" priority="42">
      <formula>AND(B$9&gt;=14/24,B$9&lt;20/24)</formula>
    </cfRule>
    <cfRule type="expression" dxfId="11023" priority="43">
      <formula>AND(B$9&gt;=8/24,B$9&lt;14/24)</formula>
    </cfRule>
    <cfRule type="expression" dxfId="11022" priority="44">
      <formula>B$9&lt;8/24</formula>
    </cfRule>
  </conditionalFormatting>
  <conditionalFormatting sqref="B59:B64">
    <cfRule type="expression" dxfId="11021" priority="40">
      <formula>B59&gt;$AG59</formula>
    </cfRule>
  </conditionalFormatting>
  <conditionalFormatting sqref="B77:B81">
    <cfRule type="expression" dxfId="11020" priority="36">
      <formula>B$9&gt;=20/24</formula>
    </cfRule>
    <cfRule type="expression" dxfId="11019" priority="37">
      <formula>AND(B$9&gt;=14/24,B$9&lt;20/24)</formula>
    </cfRule>
    <cfRule type="expression" dxfId="11018" priority="38">
      <formula>AND(B$9&gt;=8/24,B$9&lt;14/24)</formula>
    </cfRule>
    <cfRule type="expression" dxfId="11017" priority="39">
      <formula>B$9&lt;8/24</formula>
    </cfRule>
  </conditionalFormatting>
  <conditionalFormatting sqref="B48">
    <cfRule type="expression" dxfId="11016" priority="35">
      <formula>B48&gt;$AG48</formula>
    </cfRule>
  </conditionalFormatting>
  <conditionalFormatting sqref="B117">
    <cfRule type="expression" dxfId="11015" priority="31">
      <formula>B$9&gt;=20/24</formula>
    </cfRule>
    <cfRule type="expression" dxfId="11014" priority="32">
      <formula>AND(B$9&gt;=14/24,B$9&lt;20/24)</formula>
    </cfRule>
    <cfRule type="expression" dxfId="11013" priority="33">
      <formula>AND(B$9&gt;=8/24,B$9&lt;14/24)</formula>
    </cfRule>
    <cfRule type="expression" dxfId="11012" priority="34">
      <formula>B$9&lt;8/24</formula>
    </cfRule>
  </conditionalFormatting>
  <conditionalFormatting sqref="B17:M32 N17:R24 B12:R15 N26:R32 B34:AF43 B45:AF45 S32:AF32 S21:AF21">
    <cfRule type="expression" dxfId="11011" priority="27">
      <formula>B$9&gt;=20/24</formula>
    </cfRule>
    <cfRule type="expression" dxfId="11010" priority="28">
      <formula>AND(B$9&gt;=14/24,B$9&lt;20/24)</formula>
    </cfRule>
    <cfRule type="expression" dxfId="11009" priority="29">
      <formula>AND(B$9&gt;=8/24,B$9&lt;14/24)</formula>
    </cfRule>
    <cfRule type="expression" dxfId="11008" priority="30">
      <formula>B$9&lt;8/24</formula>
    </cfRule>
  </conditionalFormatting>
  <conditionalFormatting sqref="B17:M32 N17:R24 B12:R15 N26:R32 B34:AF43 B45:AF45 S32:AF32 S21:AF21">
    <cfRule type="expression" dxfId="11007" priority="26">
      <formula>B12&gt;$AG12</formula>
    </cfRule>
  </conditionalFormatting>
  <conditionalFormatting sqref="B46:Y46">
    <cfRule type="expression" dxfId="11006" priority="22">
      <formula>B$9&gt;=20/24</formula>
    </cfRule>
    <cfRule type="expression" dxfId="11005" priority="23">
      <formula>AND(B$9&gt;=14/24,B$9&lt;20/24)</formula>
    </cfRule>
    <cfRule type="expression" dxfId="11004" priority="24">
      <formula>AND(B$9&gt;=8/24,B$9&lt;14/24)</formula>
    </cfRule>
    <cfRule type="expression" dxfId="11003" priority="25">
      <formula>B$9&lt;8/24</formula>
    </cfRule>
  </conditionalFormatting>
  <conditionalFormatting sqref="B46:Y46">
    <cfRule type="expression" dxfId="11002" priority="21">
      <formula>B46&gt;$AG46</formula>
    </cfRule>
  </conditionalFormatting>
  <conditionalFormatting sqref="B11:R11">
    <cfRule type="expression" dxfId="11001" priority="17">
      <formula>B$9&gt;=20/24</formula>
    </cfRule>
    <cfRule type="expression" dxfId="11000" priority="18">
      <formula>AND(B$9&gt;=14/24,B$9&lt;20/24)</formula>
    </cfRule>
    <cfRule type="expression" dxfId="10999" priority="19">
      <formula>AND(B$9&gt;=8/24,B$9&lt;14/24)</formula>
    </cfRule>
    <cfRule type="expression" dxfId="10998" priority="20">
      <formula>B$9&lt;8/24</formula>
    </cfRule>
  </conditionalFormatting>
  <conditionalFormatting sqref="B11:R11">
    <cfRule type="expression" dxfId="10997" priority="16">
      <formula>B11&gt;$AG11</formula>
    </cfRule>
  </conditionalFormatting>
  <conditionalFormatting sqref="B16:R16">
    <cfRule type="expression" dxfId="10996" priority="12">
      <formula>B$9&gt;=20/24</formula>
    </cfRule>
    <cfRule type="expression" dxfId="10995" priority="13">
      <formula>AND(B$9&gt;=14/24,B$9&lt;20/24)</formula>
    </cfRule>
    <cfRule type="expression" dxfId="10994" priority="14">
      <formula>AND(B$9&gt;=8/24,B$9&lt;14/24)</formula>
    </cfRule>
    <cfRule type="expression" dxfId="10993" priority="15">
      <formula>B$9&lt;8/24</formula>
    </cfRule>
  </conditionalFormatting>
  <conditionalFormatting sqref="B16:R16">
    <cfRule type="expression" dxfId="10992" priority="11">
      <formula>B16&gt;$AG16</formula>
    </cfRule>
  </conditionalFormatting>
  <conditionalFormatting sqref="B33:AF33">
    <cfRule type="expression" dxfId="10991" priority="7">
      <formula>B$9&gt;=20/24</formula>
    </cfRule>
    <cfRule type="expression" dxfId="10990" priority="8">
      <formula>AND(B$9&gt;=14/24,B$9&lt;20/24)</formula>
    </cfRule>
    <cfRule type="expression" dxfId="10989" priority="9">
      <formula>AND(B$9&gt;=8/24,B$9&lt;14/24)</formula>
    </cfRule>
    <cfRule type="expression" dxfId="10988" priority="10">
      <formula>B$9&lt;8/24</formula>
    </cfRule>
  </conditionalFormatting>
  <conditionalFormatting sqref="B33:AF33">
    <cfRule type="expression" dxfId="10987" priority="6">
      <formula>B33&gt;$AG33</formula>
    </cfRule>
  </conditionalFormatting>
  <conditionalFormatting sqref="B44:AF44">
    <cfRule type="expression" dxfId="10986" priority="2">
      <formula>B$9&gt;=20/24</formula>
    </cfRule>
    <cfRule type="expression" dxfId="10985" priority="3">
      <formula>AND(B$9&gt;=14/24,B$9&lt;20/24)</formula>
    </cfRule>
    <cfRule type="expression" dxfId="10984" priority="4">
      <formula>AND(B$9&gt;=8/24,B$9&lt;14/24)</formula>
    </cfRule>
    <cfRule type="expression" dxfId="10983" priority="5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5" id="{CA5001F7-F480-4BB2-8E53-03A226DBD4E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96" id="{0F527DC8-1EE3-4C26-AB30-0209564865B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97" id="{776C4C3D-F17F-4D8D-A10A-F376ADCDA5B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98" id="{8B94B8D5-37AB-4A0D-A0A9-E7BEAF9E6A4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45" id="{CAEBAE5E-3DDF-4A5B-8DCF-BC9450A89D0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6" id="{9B7EA544-4CAC-45AA-8B5D-ED14A51E0C4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7" id="{5E029752-E3B7-4910-B51E-C0791F37B36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8" id="{C07FA132-C2F8-44CD-809F-CA3E8696950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CJ279"/>
  <sheetViews>
    <sheetView zoomScale="90" zoomScaleNormal="90" workbookViewId="0">
      <pane ySplit="10" topLeftCell="A11" activePane="bottomLeft" state="frozen"/>
      <selection activeCell="Z85" sqref="Z85"/>
      <selection pane="bottomLeft" activeCell="AF117" sqref="AF11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2080/02/8</v>
      </c>
      <c r="C4" s="191"/>
      <c r="D4" s="191"/>
      <c r="E4" s="192" t="str">
        <f ca="1">"2079/"&amp;"12/"&amp;INT(MID(CELL("filename",G6),FIND("]",CELL("filename",G6))+1,200))</f>
        <v>2079/12/8</v>
      </c>
      <c r="F4" s="192"/>
      <c r="G4" s="192"/>
      <c r="H4" s="192" t="str">
        <f ca="1">TEXT(E4,"dddd")</f>
        <v>Friday</v>
      </c>
      <c r="I4" s="192"/>
      <c r="J4" s="26"/>
      <c r="K4" s="1" t="str">
        <f>"Total Peak Supply(Inclusive of Export) ("&amp;ROUND(B250,0)&amp;" MW)"&amp;"    IPP   = "&amp;ROUND(B245,0)&amp;" MW     NEA RoR = "&amp;ROUND(B246,0)&amp;" MWImport   = "&amp;ROUND(B248,0)&amp;" MW      KL1+KL2+K3 = "&amp;ROUND(B247,0) &amp;" MW    EXPORT = "&amp;ROUND(B249,0)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93.4</v>
      </c>
      <c r="C5" s="30">
        <f t="shared" si="0"/>
        <v>72.7</v>
      </c>
      <c r="D5" s="30">
        <f t="shared" si="0"/>
        <v>87</v>
      </c>
      <c r="E5" s="30">
        <f t="shared" si="0"/>
        <v>215.9</v>
      </c>
      <c r="F5" s="30">
        <f t="shared" si="0"/>
        <v>190.6</v>
      </c>
      <c r="G5" s="30">
        <f t="shared" si="0"/>
        <v>224.2</v>
      </c>
      <c r="H5" s="30">
        <f t="shared" si="0"/>
        <v>196.29999999999998</v>
      </c>
      <c r="I5" s="30">
        <f t="shared" si="0"/>
        <v>288</v>
      </c>
      <c r="J5" s="30">
        <f t="shared" si="0"/>
        <v>281</v>
      </c>
      <c r="K5" s="30">
        <f t="shared" si="0"/>
        <v>338</v>
      </c>
      <c r="L5" s="30">
        <f t="shared" si="0"/>
        <v>386.5</v>
      </c>
      <c r="M5" s="30">
        <f t="shared" si="0"/>
        <v>399.40000000000003</v>
      </c>
      <c r="N5" s="30">
        <f t="shared" si="0"/>
        <v>409.59999999999997</v>
      </c>
      <c r="O5" s="30">
        <f t="shared" si="0"/>
        <v>423.6</v>
      </c>
      <c r="P5" s="30">
        <f t="shared" si="0"/>
        <v>363.7</v>
      </c>
      <c r="Q5" s="30">
        <f t="shared" si="0"/>
        <v>411</v>
      </c>
      <c r="R5" s="30">
        <f t="shared" si="0"/>
        <v>442.4</v>
      </c>
      <c r="S5" s="30">
        <f t="shared" si="0"/>
        <v>440</v>
      </c>
      <c r="T5" s="30">
        <f t="shared" si="0"/>
        <v>437.2</v>
      </c>
      <c r="U5" s="30">
        <f t="shared" si="0"/>
        <v>467.7</v>
      </c>
      <c r="V5" s="30">
        <f t="shared" si="0"/>
        <v>461.6</v>
      </c>
      <c r="W5" s="30">
        <f t="shared" si="0"/>
        <v>411.9</v>
      </c>
      <c r="X5" s="30">
        <f t="shared" si="0"/>
        <v>432.1</v>
      </c>
      <c r="Y5" s="30">
        <f t="shared" si="0"/>
        <v>403.7</v>
      </c>
      <c r="Z5" s="30">
        <f t="shared" si="0"/>
        <v>371.20000000000005</v>
      </c>
      <c r="AA5" s="30">
        <f t="shared" si="0"/>
        <v>280.5</v>
      </c>
      <c r="AB5" s="30">
        <f t="shared" si="0"/>
        <v>229.5</v>
      </c>
      <c r="AC5" s="30">
        <f t="shared" si="0"/>
        <v>159.9</v>
      </c>
      <c r="AD5" s="30">
        <f t="shared" si="0"/>
        <v>125.30000000000001</v>
      </c>
      <c r="AE5" s="30">
        <f t="shared" si="0"/>
        <v>394.5</v>
      </c>
      <c r="AF5" s="30">
        <f>B82</f>
        <v>79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"&amp;ROUND(B250,0)&amp;"MW at "&amp;TRUNC(B251*24,0)&amp;":"&amp;ROUND((B251*24-TRUNC(B251*24,0))*60,0)&amp;"hr at "&amp;ROUND(B252,1)&amp;"Hz     "&amp;A242&amp;" "&amp;ROUND(B242,0)&amp;"MW at "&amp;TRUNC(C242*24,0)&amp;":"&amp;ROUND((C242*24-TRUNC(C242*24,0))*6,0)&amp;"0hr"</f>
        <v>Evening Peak 0MW at 0:0hr at 0Hz     Morning Peak 1588MW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Load=1400</v>
      </c>
      <c r="B7" s="35">
        <f t="shared" ref="B7:AF7" si="1">B89</f>
        <v>1497.0400000000002</v>
      </c>
      <c r="C7" s="35">
        <f t="shared" si="1"/>
        <v>1436.4400000000003</v>
      </c>
      <c r="D7" s="35">
        <f t="shared" si="1"/>
        <v>1457.2400000000002</v>
      </c>
      <c r="E7" s="35">
        <f t="shared" si="1"/>
        <v>1423.6400000000003</v>
      </c>
      <c r="F7" s="35">
        <f t="shared" si="1"/>
        <v>1429.0400000000002</v>
      </c>
      <c r="G7" s="35">
        <f t="shared" si="1"/>
        <v>1400.24</v>
      </c>
      <c r="H7" s="35">
        <f t="shared" si="1"/>
        <v>1459.3400000000001</v>
      </c>
      <c r="I7" s="35">
        <f t="shared" si="1"/>
        <v>1469.64</v>
      </c>
      <c r="J7" s="35">
        <f t="shared" si="1"/>
        <v>1466.3400000000001</v>
      </c>
      <c r="K7" s="35">
        <f t="shared" si="1"/>
        <v>1478.74</v>
      </c>
      <c r="L7" s="35">
        <f t="shared" si="1"/>
        <v>1512.7400000000002</v>
      </c>
      <c r="M7" s="35">
        <f t="shared" si="1"/>
        <v>1532.2400000000002</v>
      </c>
      <c r="N7" s="35">
        <f>N89</f>
        <v>1587.9400000000003</v>
      </c>
      <c r="O7" s="35">
        <f t="shared" si="1"/>
        <v>1625.24</v>
      </c>
      <c r="P7" s="35">
        <f t="shared" si="1"/>
        <v>1608.8400000000001</v>
      </c>
      <c r="Q7" s="35">
        <f t="shared" si="1"/>
        <v>1590.9400000000003</v>
      </c>
      <c r="R7" s="35">
        <f t="shared" si="1"/>
        <v>1653.94</v>
      </c>
      <c r="S7" s="35">
        <f t="shared" si="1"/>
        <v>1684.94</v>
      </c>
      <c r="T7" s="35">
        <f t="shared" si="1"/>
        <v>1634.7400000000002</v>
      </c>
      <c r="U7" s="35">
        <f t="shared" si="1"/>
        <v>1599.4400000000003</v>
      </c>
      <c r="V7" s="35">
        <f t="shared" si="1"/>
        <v>1564.3400000000001</v>
      </c>
      <c r="W7" s="35">
        <f t="shared" si="1"/>
        <v>1535.1400000000003</v>
      </c>
      <c r="X7" s="35">
        <f t="shared" si="1"/>
        <v>1487.3400000000001</v>
      </c>
      <c r="Y7" s="35">
        <f t="shared" si="1"/>
        <v>1603.5400000000004</v>
      </c>
      <c r="Z7" s="35">
        <f t="shared" si="1"/>
        <v>1563.4400000000003</v>
      </c>
      <c r="AA7" s="35">
        <f t="shared" si="1"/>
        <v>1788.3400000000001</v>
      </c>
      <c r="AB7" s="35">
        <f t="shared" si="1"/>
        <v>1769.44</v>
      </c>
      <c r="AC7" s="35">
        <f t="shared" si="1"/>
        <v>1738.6399999999999</v>
      </c>
      <c r="AD7" s="35">
        <f t="shared" si="1"/>
        <v>1673.04</v>
      </c>
      <c r="AE7" s="35">
        <f t="shared" si="1"/>
        <v>1584.6399999999999</v>
      </c>
      <c r="AF7" s="35">
        <f t="shared" si="1"/>
        <v>1586.34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36</v>
      </c>
      <c r="C11" s="45">
        <v>36</v>
      </c>
      <c r="D11" s="45">
        <v>36</v>
      </c>
      <c r="E11" s="45">
        <v>36</v>
      </c>
      <c r="F11" s="45">
        <v>36</v>
      </c>
      <c r="G11" s="45">
        <v>36</v>
      </c>
      <c r="H11" s="45">
        <v>36</v>
      </c>
      <c r="I11" s="45">
        <v>36</v>
      </c>
      <c r="J11" s="45">
        <v>36</v>
      </c>
      <c r="K11" s="45">
        <v>36</v>
      </c>
      <c r="L11" s="45">
        <v>36</v>
      </c>
      <c r="M11" s="45">
        <v>30</v>
      </c>
      <c r="N11" s="45">
        <v>30</v>
      </c>
      <c r="O11" s="45">
        <v>30</v>
      </c>
      <c r="P11" s="45">
        <v>30</v>
      </c>
      <c r="Q11" s="45">
        <v>30</v>
      </c>
      <c r="R11" s="45">
        <v>30</v>
      </c>
      <c r="S11" s="45">
        <v>30</v>
      </c>
      <c r="T11" s="45">
        <v>30</v>
      </c>
      <c r="U11" s="45">
        <v>30</v>
      </c>
      <c r="V11" s="45">
        <v>30</v>
      </c>
      <c r="W11" s="45">
        <v>30</v>
      </c>
      <c r="X11" s="45">
        <v>30</v>
      </c>
      <c r="Y11" s="45">
        <v>30</v>
      </c>
      <c r="Z11" s="45">
        <v>30</v>
      </c>
      <c r="AA11" s="45">
        <v>30</v>
      </c>
      <c r="AB11" s="45">
        <v>22</v>
      </c>
      <c r="AC11" s="45">
        <v>22</v>
      </c>
      <c r="AD11" s="45">
        <v>28</v>
      </c>
      <c r="AE11" s="45">
        <v>28</v>
      </c>
      <c r="AF11" s="45">
        <v>28</v>
      </c>
      <c r="AG11" s="46">
        <v>86</v>
      </c>
      <c r="AH11" s="47">
        <f t="shared" ref="AH11:AH74" si="2">MAX(B11:AF11)</f>
        <v>36</v>
      </c>
      <c r="AI11" s="48">
        <f t="shared" ref="AI11:AI74" si="3">MIN(B11:AF11)</f>
        <v>22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21</v>
      </c>
      <c r="C12" s="45">
        <v>21</v>
      </c>
      <c r="D12" s="45">
        <v>21</v>
      </c>
      <c r="E12" s="45">
        <v>21</v>
      </c>
      <c r="F12" s="45">
        <v>18.100000000000001</v>
      </c>
      <c r="G12" s="45">
        <v>18.100000000000001</v>
      </c>
      <c r="H12" s="45">
        <v>22</v>
      </c>
      <c r="I12" s="45">
        <v>22</v>
      </c>
      <c r="J12" s="45">
        <v>22</v>
      </c>
      <c r="K12" s="45">
        <v>22</v>
      </c>
      <c r="L12" s="45">
        <v>22</v>
      </c>
      <c r="M12" s="45">
        <v>22</v>
      </c>
      <c r="N12" s="45">
        <v>22</v>
      </c>
      <c r="O12" s="45">
        <v>19.100000000000001</v>
      </c>
      <c r="P12" s="45">
        <v>19.100000000000001</v>
      </c>
      <c r="Q12" s="45">
        <v>19.100000000000001</v>
      </c>
      <c r="R12" s="45">
        <v>19.100000000000001</v>
      </c>
      <c r="S12" s="45">
        <v>18.100000000000001</v>
      </c>
      <c r="T12" s="45">
        <v>18.100000000000001</v>
      </c>
      <c r="U12" s="45">
        <v>18.100000000000001</v>
      </c>
      <c r="V12" s="45">
        <v>18.100000000000001</v>
      </c>
      <c r="W12" s="45">
        <v>18.100000000000001</v>
      </c>
      <c r="X12" s="45">
        <v>18.100000000000001</v>
      </c>
      <c r="Y12" s="45">
        <v>18.100000000000001</v>
      </c>
      <c r="Z12" s="45">
        <v>18.100000000000001</v>
      </c>
      <c r="AA12" s="45">
        <v>18.100000000000001</v>
      </c>
      <c r="AB12" s="45">
        <v>18.899999999999999</v>
      </c>
      <c r="AC12" s="45">
        <v>18.899999999999999</v>
      </c>
      <c r="AD12" s="45">
        <v>18.899999999999999</v>
      </c>
      <c r="AE12" s="45">
        <v>18.899999999999999</v>
      </c>
      <c r="AF12" s="45">
        <v>18.899999999999999</v>
      </c>
      <c r="AG12" s="46">
        <v>52.4</v>
      </c>
      <c r="AH12" s="47">
        <f t="shared" si="2"/>
        <v>22</v>
      </c>
      <c r="AI12" s="48">
        <f t="shared" si="3"/>
        <v>18.100000000000001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50.4</v>
      </c>
      <c r="C13" s="45">
        <v>50.4</v>
      </c>
      <c r="D13" s="45">
        <v>50.4</v>
      </c>
      <c r="E13" s="45">
        <v>50.4</v>
      </c>
      <c r="F13" s="45">
        <v>50.4</v>
      </c>
      <c r="G13" s="45">
        <v>50.4</v>
      </c>
      <c r="H13" s="45">
        <v>50.4</v>
      </c>
      <c r="I13" s="45">
        <v>50.4</v>
      </c>
      <c r="J13" s="45">
        <v>50.4</v>
      </c>
      <c r="K13" s="45">
        <v>50.4</v>
      </c>
      <c r="L13" s="45">
        <v>50.4</v>
      </c>
      <c r="M13" s="45">
        <v>50.4</v>
      </c>
      <c r="N13" s="45">
        <v>50.4</v>
      </c>
      <c r="O13" s="45">
        <v>50</v>
      </c>
      <c r="P13" s="45">
        <v>50</v>
      </c>
      <c r="Q13" s="45">
        <v>50</v>
      </c>
      <c r="R13" s="45">
        <v>50</v>
      </c>
      <c r="S13" s="45">
        <v>47.6</v>
      </c>
      <c r="T13" s="45">
        <v>47.6</v>
      </c>
      <c r="U13" s="45">
        <v>47.6</v>
      </c>
      <c r="V13" s="45">
        <v>47.6</v>
      </c>
      <c r="W13" s="45">
        <v>47.6</v>
      </c>
      <c r="X13" s="45">
        <v>47.6</v>
      </c>
      <c r="Y13" s="45">
        <v>47.6</v>
      </c>
      <c r="Z13" s="45">
        <v>47.6</v>
      </c>
      <c r="AA13" s="45">
        <v>50</v>
      </c>
      <c r="AB13" s="45">
        <v>50.4</v>
      </c>
      <c r="AC13" s="45">
        <v>50.4</v>
      </c>
      <c r="AD13" s="45">
        <v>50.4</v>
      </c>
      <c r="AE13" s="45">
        <v>50.4</v>
      </c>
      <c r="AF13" s="45">
        <v>50.4</v>
      </c>
      <c r="AG13" s="50">
        <v>50</v>
      </c>
      <c r="AH13" s="47">
        <f t="shared" si="2"/>
        <v>50.4</v>
      </c>
      <c r="AI13" s="48">
        <f t="shared" si="3"/>
        <v>47.6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23.9</v>
      </c>
      <c r="C14" s="45">
        <v>23.9</v>
      </c>
      <c r="D14" s="45">
        <v>23.9</v>
      </c>
      <c r="E14" s="45">
        <v>23.9</v>
      </c>
      <c r="F14" s="45">
        <v>24.2</v>
      </c>
      <c r="G14" s="45">
        <v>24.2</v>
      </c>
      <c r="H14" s="45">
        <v>24</v>
      </c>
      <c r="I14" s="45">
        <v>24</v>
      </c>
      <c r="J14" s="45">
        <v>24</v>
      </c>
      <c r="K14" s="45">
        <v>24</v>
      </c>
      <c r="L14" s="45">
        <v>24</v>
      </c>
      <c r="M14" s="45">
        <v>24</v>
      </c>
      <c r="N14" s="45">
        <v>24</v>
      </c>
      <c r="O14" s="45">
        <v>24.4</v>
      </c>
      <c r="P14" s="45">
        <v>24.4</v>
      </c>
      <c r="Q14" s="45">
        <v>24.4</v>
      </c>
      <c r="R14" s="45">
        <v>24.4</v>
      </c>
      <c r="S14" s="45">
        <v>23</v>
      </c>
      <c r="T14" s="45">
        <v>23</v>
      </c>
      <c r="U14" s="45">
        <v>23</v>
      </c>
      <c r="V14" s="45">
        <v>23</v>
      </c>
      <c r="W14" s="45">
        <v>23</v>
      </c>
      <c r="X14" s="45">
        <v>23</v>
      </c>
      <c r="Y14" s="45">
        <v>23</v>
      </c>
      <c r="Z14" s="45">
        <v>23</v>
      </c>
      <c r="AA14" s="45">
        <v>24.3</v>
      </c>
      <c r="AB14" s="45">
        <v>26.4</v>
      </c>
      <c r="AC14" s="45">
        <v>26.4</v>
      </c>
      <c r="AD14" s="45">
        <v>26.4</v>
      </c>
      <c r="AE14" s="45">
        <v>26.4</v>
      </c>
      <c r="AF14" s="45">
        <v>26.4</v>
      </c>
      <c r="AG14" s="50">
        <v>45</v>
      </c>
      <c r="AH14" s="47">
        <f t="shared" si="2"/>
        <v>26.4</v>
      </c>
      <c r="AI14" s="48">
        <f t="shared" si="3"/>
        <v>23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28</v>
      </c>
      <c r="C15" s="45">
        <v>28</v>
      </c>
      <c r="D15" s="45">
        <v>28</v>
      </c>
      <c r="E15" s="45">
        <v>28</v>
      </c>
      <c r="F15" s="45">
        <v>28</v>
      </c>
      <c r="G15" s="45">
        <v>28</v>
      </c>
      <c r="H15" s="45">
        <v>28</v>
      </c>
      <c r="I15" s="45">
        <v>28</v>
      </c>
      <c r="J15" s="45">
        <v>28</v>
      </c>
      <c r="K15" s="45">
        <v>28</v>
      </c>
      <c r="L15" s="45">
        <v>28</v>
      </c>
      <c r="M15" s="45">
        <v>28</v>
      </c>
      <c r="N15" s="45">
        <v>28</v>
      </c>
      <c r="O15" s="45">
        <v>28</v>
      </c>
      <c r="P15" s="45">
        <v>28</v>
      </c>
      <c r="Q15" s="45">
        <v>28</v>
      </c>
      <c r="R15" s="45">
        <v>28</v>
      </c>
      <c r="S15" s="45">
        <v>28</v>
      </c>
      <c r="T15" s="45">
        <v>28</v>
      </c>
      <c r="U15" s="45">
        <v>28</v>
      </c>
      <c r="V15" s="45">
        <v>28</v>
      </c>
      <c r="W15" s="45">
        <v>28</v>
      </c>
      <c r="X15" s="45">
        <v>28</v>
      </c>
      <c r="Y15" s="45">
        <v>28</v>
      </c>
      <c r="Z15" s="45">
        <v>28</v>
      </c>
      <c r="AA15" s="45">
        <v>28</v>
      </c>
      <c r="AB15" s="45">
        <v>32</v>
      </c>
      <c r="AC15" s="45">
        <v>32</v>
      </c>
      <c r="AD15" s="45">
        <v>32</v>
      </c>
      <c r="AE15" s="45">
        <v>32</v>
      </c>
      <c r="AF15" s="45">
        <v>32</v>
      </c>
      <c r="AG15" s="50">
        <v>42</v>
      </c>
      <c r="AH15" s="47">
        <f t="shared" si="2"/>
        <v>32</v>
      </c>
      <c r="AI15" s="48">
        <f t="shared" si="3"/>
        <v>28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22</v>
      </c>
      <c r="C16" s="45">
        <v>22</v>
      </c>
      <c r="D16" s="45">
        <v>22</v>
      </c>
      <c r="E16" s="45">
        <v>22</v>
      </c>
      <c r="F16" s="45">
        <v>22</v>
      </c>
      <c r="G16" s="45">
        <v>22</v>
      </c>
      <c r="H16" s="45">
        <v>22</v>
      </c>
      <c r="I16" s="45">
        <v>22</v>
      </c>
      <c r="J16" s="45">
        <v>22</v>
      </c>
      <c r="K16" s="45">
        <v>22</v>
      </c>
      <c r="L16" s="45">
        <v>22</v>
      </c>
      <c r="M16" s="45">
        <v>22</v>
      </c>
      <c r="N16" s="45">
        <v>22</v>
      </c>
      <c r="O16" s="45">
        <v>22</v>
      </c>
      <c r="P16" s="45">
        <v>22</v>
      </c>
      <c r="Q16" s="45">
        <v>22</v>
      </c>
      <c r="R16" s="45">
        <v>22</v>
      </c>
      <c r="S16" s="45">
        <v>22</v>
      </c>
      <c r="T16" s="45">
        <v>22</v>
      </c>
      <c r="U16" s="45">
        <v>22</v>
      </c>
      <c r="V16" s="45">
        <v>22</v>
      </c>
      <c r="W16" s="45">
        <v>22</v>
      </c>
      <c r="X16" s="45">
        <v>22</v>
      </c>
      <c r="Y16" s="45">
        <v>22</v>
      </c>
      <c r="Z16" s="45">
        <v>22</v>
      </c>
      <c r="AA16" s="45">
        <v>22</v>
      </c>
      <c r="AB16" s="45">
        <v>22</v>
      </c>
      <c r="AC16" s="45">
        <v>22</v>
      </c>
      <c r="AD16" s="45">
        <v>22</v>
      </c>
      <c r="AE16" s="45">
        <v>22</v>
      </c>
      <c r="AF16" s="45">
        <v>22</v>
      </c>
      <c r="AG16" s="50">
        <v>36</v>
      </c>
      <c r="AH16" s="47">
        <f t="shared" si="2"/>
        <v>22</v>
      </c>
      <c r="AI16" s="48">
        <f t="shared" si="3"/>
        <v>22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14.6</v>
      </c>
      <c r="C17" s="45">
        <v>14.6</v>
      </c>
      <c r="D17" s="45">
        <v>14.6</v>
      </c>
      <c r="E17" s="45">
        <v>14.6</v>
      </c>
      <c r="F17" s="45">
        <v>14.6</v>
      </c>
      <c r="G17" s="45">
        <v>14.6</v>
      </c>
      <c r="H17" s="45">
        <v>14.6</v>
      </c>
      <c r="I17" s="45">
        <v>14.6</v>
      </c>
      <c r="J17" s="45">
        <v>14.6</v>
      </c>
      <c r="K17" s="45">
        <v>14.6</v>
      </c>
      <c r="L17" s="45">
        <v>14.6</v>
      </c>
      <c r="M17" s="45">
        <v>14.6</v>
      </c>
      <c r="N17" s="45">
        <v>14.6</v>
      </c>
      <c r="O17" s="45">
        <v>14.6</v>
      </c>
      <c r="P17" s="45">
        <v>14.6</v>
      </c>
      <c r="Q17" s="45">
        <v>14.6</v>
      </c>
      <c r="R17" s="45">
        <v>14.6</v>
      </c>
      <c r="S17" s="45">
        <v>14.6</v>
      </c>
      <c r="T17" s="45">
        <v>14.6</v>
      </c>
      <c r="U17" s="45">
        <v>14.6</v>
      </c>
      <c r="V17" s="45">
        <v>14.6</v>
      </c>
      <c r="W17" s="45">
        <v>14.6</v>
      </c>
      <c r="X17" s="45">
        <v>14.6</v>
      </c>
      <c r="Y17" s="45">
        <v>14.6</v>
      </c>
      <c r="Z17" s="45">
        <v>14.6</v>
      </c>
      <c r="AA17" s="45">
        <v>14.6</v>
      </c>
      <c r="AB17" s="45">
        <v>14.6</v>
      </c>
      <c r="AC17" s="45">
        <v>14.6</v>
      </c>
      <c r="AD17" s="45">
        <v>14.6</v>
      </c>
      <c r="AE17" s="45">
        <v>14.6</v>
      </c>
      <c r="AF17" s="45">
        <v>14.6</v>
      </c>
      <c r="AG17" s="50">
        <v>36</v>
      </c>
      <c r="AH17" s="47">
        <f t="shared" si="2"/>
        <v>14.6</v>
      </c>
      <c r="AI17" s="48">
        <f t="shared" si="3"/>
        <v>14.6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0</v>
      </c>
      <c r="C18" s="45">
        <v>5</v>
      </c>
      <c r="D18" s="45">
        <v>18</v>
      </c>
      <c r="E18" s="45">
        <v>18</v>
      </c>
      <c r="F18" s="45">
        <v>16.2</v>
      </c>
      <c r="G18" s="45">
        <v>16.2</v>
      </c>
      <c r="H18" s="45">
        <v>14.4</v>
      </c>
      <c r="I18" s="45">
        <v>14.4</v>
      </c>
      <c r="J18" s="45">
        <v>14.4</v>
      </c>
      <c r="K18" s="45">
        <v>14.4</v>
      </c>
      <c r="L18" s="45">
        <v>14.4</v>
      </c>
      <c r="M18" s="45">
        <v>14.4</v>
      </c>
      <c r="N18" s="45">
        <v>14.4</v>
      </c>
      <c r="O18" s="45">
        <v>14.7</v>
      </c>
      <c r="P18" s="45">
        <v>14.7</v>
      </c>
      <c r="Q18" s="45">
        <v>14.7</v>
      </c>
      <c r="R18" s="45">
        <v>14.7</v>
      </c>
      <c r="S18" s="45">
        <v>14.7</v>
      </c>
      <c r="T18" s="45">
        <v>14.7</v>
      </c>
      <c r="U18" s="45">
        <v>14.7</v>
      </c>
      <c r="V18" s="45">
        <v>14.7</v>
      </c>
      <c r="W18" s="45">
        <v>14.7</v>
      </c>
      <c r="X18" s="45">
        <v>14.7</v>
      </c>
      <c r="Y18" s="45">
        <v>14.7</v>
      </c>
      <c r="Z18" s="45">
        <v>14.7</v>
      </c>
      <c r="AA18" s="45">
        <v>19.100000000000001</v>
      </c>
      <c r="AB18" s="45">
        <v>19.3</v>
      </c>
      <c r="AC18" s="45">
        <v>19.3</v>
      </c>
      <c r="AD18" s="45">
        <v>19.3</v>
      </c>
      <c r="AE18" s="45">
        <v>19.3</v>
      </c>
      <c r="AF18" s="45">
        <v>19.3</v>
      </c>
      <c r="AG18" s="51">
        <v>30</v>
      </c>
      <c r="AH18" s="47">
        <f t="shared" si="2"/>
        <v>19.3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10.7</v>
      </c>
      <c r="C19" s="45">
        <v>10.7</v>
      </c>
      <c r="D19" s="45">
        <v>10.7</v>
      </c>
      <c r="E19" s="45">
        <v>10.7</v>
      </c>
      <c r="F19" s="45">
        <v>11</v>
      </c>
      <c r="G19" s="45">
        <v>11</v>
      </c>
      <c r="H19" s="45">
        <v>10.9</v>
      </c>
      <c r="I19" s="45">
        <v>10.9</v>
      </c>
      <c r="J19" s="45">
        <v>10.9</v>
      </c>
      <c r="K19" s="45">
        <v>10.9</v>
      </c>
      <c r="L19" s="45">
        <v>10.9</v>
      </c>
      <c r="M19" s="45">
        <v>10.9</v>
      </c>
      <c r="N19" s="45">
        <v>10.9</v>
      </c>
      <c r="O19" s="45">
        <v>10.9</v>
      </c>
      <c r="P19" s="45">
        <v>10.9</v>
      </c>
      <c r="Q19" s="45">
        <v>10.9</v>
      </c>
      <c r="R19" s="45">
        <v>10.9</v>
      </c>
      <c r="S19" s="45">
        <v>10.9</v>
      </c>
      <c r="T19" s="45">
        <v>10.9</v>
      </c>
      <c r="U19" s="45">
        <v>10.9</v>
      </c>
      <c r="V19" s="45">
        <v>10.9</v>
      </c>
      <c r="W19" s="45">
        <v>10.9</v>
      </c>
      <c r="X19" s="45">
        <v>10.9</v>
      </c>
      <c r="Y19" s="45">
        <v>10.9</v>
      </c>
      <c r="Z19" s="45">
        <v>10.9</v>
      </c>
      <c r="AA19" s="45">
        <v>10.9</v>
      </c>
      <c r="AB19" s="45">
        <v>9.1999999999999993</v>
      </c>
      <c r="AC19" s="45">
        <v>9.1999999999999993</v>
      </c>
      <c r="AD19" s="45">
        <v>9.1999999999999993</v>
      </c>
      <c r="AE19" s="45">
        <v>9.1999999999999993</v>
      </c>
      <c r="AF19" s="45">
        <v>9.1999999999999993</v>
      </c>
      <c r="AG19" s="50">
        <v>24.2</v>
      </c>
      <c r="AH19" s="47">
        <f t="shared" si="2"/>
        <v>11</v>
      </c>
      <c r="AI19" s="48">
        <f t="shared" si="3"/>
        <v>9.1999999999999993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</v>
      </c>
      <c r="C20" s="45">
        <v>13</v>
      </c>
      <c r="D20" s="45">
        <v>13</v>
      </c>
      <c r="E20" s="45">
        <v>13</v>
      </c>
      <c r="F20" s="45">
        <v>13</v>
      </c>
      <c r="G20" s="45">
        <v>13</v>
      </c>
      <c r="H20" s="45">
        <v>13</v>
      </c>
      <c r="I20" s="45">
        <v>13</v>
      </c>
      <c r="J20" s="45">
        <v>13</v>
      </c>
      <c r="K20" s="45">
        <v>13</v>
      </c>
      <c r="L20" s="45">
        <v>13</v>
      </c>
      <c r="M20" s="45">
        <v>13</v>
      </c>
      <c r="N20" s="45">
        <v>13</v>
      </c>
      <c r="O20" s="45">
        <v>13</v>
      </c>
      <c r="P20" s="45">
        <v>13</v>
      </c>
      <c r="Q20" s="45">
        <v>13</v>
      </c>
      <c r="R20" s="45">
        <v>13</v>
      </c>
      <c r="S20" s="45">
        <v>13</v>
      </c>
      <c r="T20" s="45">
        <v>13</v>
      </c>
      <c r="U20" s="45">
        <v>13</v>
      </c>
      <c r="V20" s="45">
        <v>13</v>
      </c>
      <c r="W20" s="45">
        <v>13</v>
      </c>
      <c r="X20" s="45">
        <v>13</v>
      </c>
      <c r="Y20" s="45">
        <v>13</v>
      </c>
      <c r="Z20" s="45">
        <v>13</v>
      </c>
      <c r="AA20" s="45">
        <v>13</v>
      </c>
      <c r="AB20" s="45">
        <v>13</v>
      </c>
      <c r="AC20" s="45">
        <v>13</v>
      </c>
      <c r="AD20" s="45">
        <v>13</v>
      </c>
      <c r="AE20" s="45">
        <v>13</v>
      </c>
      <c r="AF20" s="45">
        <v>13</v>
      </c>
      <c r="AG20" s="50">
        <v>28</v>
      </c>
      <c r="AH20" s="47">
        <f t="shared" si="2"/>
        <v>13</v>
      </c>
      <c r="AI20" s="48">
        <f t="shared" si="3"/>
        <v>13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13</v>
      </c>
      <c r="C21" s="45">
        <v>6</v>
      </c>
      <c r="D21" s="45">
        <v>18</v>
      </c>
      <c r="E21" s="45">
        <v>18</v>
      </c>
      <c r="F21" s="45">
        <v>17</v>
      </c>
      <c r="G21" s="45">
        <v>17</v>
      </c>
      <c r="H21" s="45">
        <v>17</v>
      </c>
      <c r="I21" s="45">
        <v>17</v>
      </c>
      <c r="J21" s="45">
        <v>17</v>
      </c>
      <c r="K21" s="45">
        <v>17</v>
      </c>
      <c r="L21" s="45">
        <v>17</v>
      </c>
      <c r="M21" s="45">
        <v>17</v>
      </c>
      <c r="N21" s="45">
        <v>17</v>
      </c>
      <c r="O21" s="45">
        <v>17</v>
      </c>
      <c r="P21" s="45">
        <v>17</v>
      </c>
      <c r="Q21" s="45">
        <v>17</v>
      </c>
      <c r="R21" s="45">
        <v>17</v>
      </c>
      <c r="S21" s="45">
        <v>17</v>
      </c>
      <c r="T21" s="45">
        <v>17</v>
      </c>
      <c r="U21" s="45">
        <v>17</v>
      </c>
      <c r="V21" s="45">
        <v>17</v>
      </c>
      <c r="W21" s="45">
        <v>17</v>
      </c>
      <c r="X21" s="45">
        <v>17</v>
      </c>
      <c r="Y21" s="45">
        <v>17</v>
      </c>
      <c r="Z21" s="45">
        <v>17</v>
      </c>
      <c r="AA21" s="45">
        <v>17</v>
      </c>
      <c r="AB21" s="45">
        <v>17</v>
      </c>
      <c r="AC21" s="45">
        <v>17</v>
      </c>
      <c r="AD21" s="45">
        <v>17</v>
      </c>
      <c r="AE21" s="45">
        <v>17</v>
      </c>
      <c r="AF21" s="45">
        <v>17</v>
      </c>
      <c r="AG21" s="51">
        <v>30</v>
      </c>
      <c r="AH21" s="47">
        <f t="shared" si="2"/>
        <v>18</v>
      </c>
      <c r="AI21" s="48">
        <f t="shared" si="3"/>
        <v>6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21</v>
      </c>
      <c r="C22" s="45">
        <v>21</v>
      </c>
      <c r="D22" s="45">
        <v>21</v>
      </c>
      <c r="E22" s="45">
        <v>21</v>
      </c>
      <c r="F22" s="45">
        <v>21</v>
      </c>
      <c r="G22" s="45">
        <v>21</v>
      </c>
      <c r="H22" s="45">
        <v>21</v>
      </c>
      <c r="I22" s="45">
        <v>21</v>
      </c>
      <c r="J22" s="45">
        <v>21</v>
      </c>
      <c r="K22" s="45">
        <v>21</v>
      </c>
      <c r="L22" s="45">
        <v>21</v>
      </c>
      <c r="M22" s="45">
        <v>21</v>
      </c>
      <c r="N22" s="45">
        <v>21</v>
      </c>
      <c r="O22" s="45">
        <v>21</v>
      </c>
      <c r="P22" s="45">
        <v>21</v>
      </c>
      <c r="Q22" s="45">
        <v>21</v>
      </c>
      <c r="R22" s="45">
        <v>21</v>
      </c>
      <c r="S22" s="45">
        <v>21</v>
      </c>
      <c r="T22" s="45">
        <v>21</v>
      </c>
      <c r="U22" s="45">
        <v>21</v>
      </c>
      <c r="V22" s="45">
        <v>21</v>
      </c>
      <c r="W22" s="45">
        <v>21</v>
      </c>
      <c r="X22" s="45">
        <v>21</v>
      </c>
      <c r="Y22" s="45">
        <v>21</v>
      </c>
      <c r="Z22" s="45">
        <v>21</v>
      </c>
      <c r="AA22" s="45">
        <v>21</v>
      </c>
      <c r="AB22" s="45">
        <v>21</v>
      </c>
      <c r="AC22" s="45">
        <v>21</v>
      </c>
      <c r="AD22" s="45">
        <v>21</v>
      </c>
      <c r="AE22" s="45">
        <v>21</v>
      </c>
      <c r="AF22" s="45">
        <v>21</v>
      </c>
      <c r="AG22" s="50">
        <v>25</v>
      </c>
      <c r="AH22" s="47">
        <f t="shared" si="2"/>
        <v>21</v>
      </c>
      <c r="AI22" s="48">
        <f t="shared" si="3"/>
        <v>21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10</v>
      </c>
      <c r="I25" s="45">
        <v>10</v>
      </c>
      <c r="J25" s="45">
        <v>10</v>
      </c>
      <c r="K25" s="45">
        <v>10</v>
      </c>
      <c r="L25" s="45">
        <v>10</v>
      </c>
      <c r="M25" s="45">
        <v>10</v>
      </c>
      <c r="N25" s="45">
        <v>10</v>
      </c>
      <c r="O25" s="45">
        <v>10</v>
      </c>
      <c r="P25" s="45">
        <v>10</v>
      </c>
      <c r="Q25" s="45">
        <v>10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45">
        <v>10</v>
      </c>
      <c r="Y25" s="45">
        <v>10</v>
      </c>
      <c r="Z25" s="45">
        <v>10</v>
      </c>
      <c r="AA25" s="45">
        <v>10</v>
      </c>
      <c r="AB25" s="45">
        <v>10</v>
      </c>
      <c r="AC25" s="45">
        <v>10</v>
      </c>
      <c r="AD25" s="45">
        <v>10</v>
      </c>
      <c r="AE25" s="45">
        <v>10</v>
      </c>
      <c r="AF25" s="45">
        <v>10</v>
      </c>
      <c r="AG25" s="50">
        <v>25</v>
      </c>
      <c r="AH25" s="47">
        <f t="shared" si="2"/>
        <v>10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17</v>
      </c>
      <c r="C26" s="45">
        <v>17</v>
      </c>
      <c r="D26" s="45">
        <v>17</v>
      </c>
      <c r="E26" s="45">
        <v>17</v>
      </c>
      <c r="F26" s="45">
        <v>17</v>
      </c>
      <c r="G26" s="45">
        <v>17</v>
      </c>
      <c r="H26" s="45">
        <v>17</v>
      </c>
      <c r="I26" s="45">
        <v>17</v>
      </c>
      <c r="J26" s="45">
        <v>17</v>
      </c>
      <c r="K26" s="45">
        <v>17</v>
      </c>
      <c r="L26" s="45">
        <v>17</v>
      </c>
      <c r="M26" s="45">
        <v>17</v>
      </c>
      <c r="N26" s="45">
        <v>17</v>
      </c>
      <c r="O26" s="45">
        <v>17</v>
      </c>
      <c r="P26" s="45">
        <v>17</v>
      </c>
      <c r="Q26" s="45">
        <v>17</v>
      </c>
      <c r="R26" s="45">
        <v>17</v>
      </c>
      <c r="S26" s="45">
        <v>17</v>
      </c>
      <c r="T26" s="45">
        <v>17</v>
      </c>
      <c r="U26" s="45">
        <v>17</v>
      </c>
      <c r="V26" s="45">
        <v>17</v>
      </c>
      <c r="W26" s="45">
        <v>17</v>
      </c>
      <c r="X26" s="45">
        <v>17</v>
      </c>
      <c r="Y26" s="45">
        <v>17</v>
      </c>
      <c r="Z26" s="45">
        <v>17</v>
      </c>
      <c r="AA26" s="45">
        <v>17</v>
      </c>
      <c r="AB26" s="45">
        <v>17</v>
      </c>
      <c r="AC26" s="45">
        <v>17</v>
      </c>
      <c r="AD26" s="45">
        <v>17</v>
      </c>
      <c r="AE26" s="45">
        <v>17</v>
      </c>
      <c r="AF26" s="45">
        <v>17</v>
      </c>
      <c r="AG26" s="50">
        <v>23.5</v>
      </c>
      <c r="AH26" s="47">
        <f t="shared" si="2"/>
        <v>17</v>
      </c>
      <c r="AI26" s="48">
        <f t="shared" si="3"/>
        <v>17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>
        <v>3</v>
      </c>
      <c r="Y27" s="45">
        <v>3</v>
      </c>
      <c r="Z27" s="45">
        <v>3</v>
      </c>
      <c r="AA27" s="45">
        <v>3</v>
      </c>
      <c r="AB27" s="45">
        <v>3</v>
      </c>
      <c r="AC27" s="45">
        <v>3</v>
      </c>
      <c r="AD27" s="45">
        <v>3</v>
      </c>
      <c r="AE27" s="45">
        <v>3</v>
      </c>
      <c r="AF27" s="45">
        <v>3</v>
      </c>
      <c r="AG27" s="50">
        <v>22.2</v>
      </c>
      <c r="AH27" s="47">
        <f t="shared" si="2"/>
        <v>3</v>
      </c>
      <c r="AI27" s="48">
        <f t="shared" si="3"/>
        <v>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0">
        <v>22.1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8</v>
      </c>
      <c r="C30" s="45">
        <v>8</v>
      </c>
      <c r="D30" s="45">
        <v>8</v>
      </c>
      <c r="E30" s="45">
        <v>8</v>
      </c>
      <c r="F30" s="45">
        <v>8</v>
      </c>
      <c r="G30" s="45">
        <v>8</v>
      </c>
      <c r="H30" s="45">
        <v>8</v>
      </c>
      <c r="I30" s="45">
        <v>8</v>
      </c>
      <c r="J30" s="45">
        <v>8</v>
      </c>
      <c r="K30" s="45">
        <v>8</v>
      </c>
      <c r="L30" s="45">
        <v>8</v>
      </c>
      <c r="M30" s="45">
        <v>8</v>
      </c>
      <c r="N30" s="45">
        <v>8</v>
      </c>
      <c r="O30" s="45">
        <v>8</v>
      </c>
      <c r="P30" s="45">
        <v>8</v>
      </c>
      <c r="Q30" s="45">
        <v>8</v>
      </c>
      <c r="R30" s="45">
        <v>8</v>
      </c>
      <c r="S30" s="45">
        <v>8</v>
      </c>
      <c r="T30" s="45">
        <v>8</v>
      </c>
      <c r="U30" s="45">
        <v>8</v>
      </c>
      <c r="V30" s="45">
        <v>8</v>
      </c>
      <c r="W30" s="45">
        <v>8</v>
      </c>
      <c r="X30" s="45">
        <v>8</v>
      </c>
      <c r="Y30" s="45">
        <v>8</v>
      </c>
      <c r="Z30" s="45">
        <v>8</v>
      </c>
      <c r="AA30" s="45">
        <v>8</v>
      </c>
      <c r="AB30" s="45">
        <v>11</v>
      </c>
      <c r="AC30" s="45">
        <v>11</v>
      </c>
      <c r="AD30" s="45">
        <v>11</v>
      </c>
      <c r="AE30" s="45">
        <v>11</v>
      </c>
      <c r="AF30" s="45">
        <v>11</v>
      </c>
      <c r="AG30" s="50">
        <v>22</v>
      </c>
      <c r="AH30" s="47">
        <f t="shared" si="2"/>
        <v>11</v>
      </c>
      <c r="AI30" s="48">
        <f t="shared" si="3"/>
        <v>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14</v>
      </c>
      <c r="I31" s="45">
        <v>14</v>
      </c>
      <c r="J31" s="45">
        <v>14</v>
      </c>
      <c r="K31" s="45">
        <v>14</v>
      </c>
      <c r="L31" s="45">
        <v>14</v>
      </c>
      <c r="M31" s="45">
        <v>14</v>
      </c>
      <c r="N31" s="45">
        <v>14</v>
      </c>
      <c r="O31" s="45">
        <v>14</v>
      </c>
      <c r="P31" s="45">
        <v>14</v>
      </c>
      <c r="Q31" s="45">
        <v>14</v>
      </c>
      <c r="R31" s="45">
        <v>14</v>
      </c>
      <c r="S31" s="45">
        <v>14</v>
      </c>
      <c r="T31" s="45">
        <v>14</v>
      </c>
      <c r="U31" s="45">
        <v>14</v>
      </c>
      <c r="V31" s="45">
        <v>14</v>
      </c>
      <c r="W31" s="45">
        <v>14</v>
      </c>
      <c r="X31" s="45">
        <v>14</v>
      </c>
      <c r="Y31" s="45">
        <v>14</v>
      </c>
      <c r="Z31" s="45">
        <v>14</v>
      </c>
      <c r="AA31" s="45">
        <v>14</v>
      </c>
      <c r="AB31" s="45">
        <v>14</v>
      </c>
      <c r="AC31" s="45">
        <v>14</v>
      </c>
      <c r="AD31" s="45">
        <v>14</v>
      </c>
      <c r="AE31" s="45">
        <v>14</v>
      </c>
      <c r="AF31" s="45">
        <v>14</v>
      </c>
      <c r="AG31" s="50">
        <v>20</v>
      </c>
      <c r="AH31" s="47">
        <f t="shared" si="2"/>
        <v>14</v>
      </c>
      <c r="AI31" s="48">
        <f t="shared" si="3"/>
        <v>10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50">
        <v>18</v>
      </c>
      <c r="AH32" s="47">
        <f t="shared" si="2"/>
        <v>8</v>
      </c>
      <c r="AI32" s="48">
        <f t="shared" si="3"/>
        <v>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7</v>
      </c>
      <c r="C33" s="45">
        <v>7</v>
      </c>
      <c r="D33" s="45">
        <v>7</v>
      </c>
      <c r="E33" s="45">
        <v>7</v>
      </c>
      <c r="F33" s="45">
        <v>7</v>
      </c>
      <c r="G33" s="45">
        <v>7</v>
      </c>
      <c r="H33" s="45">
        <v>7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7</v>
      </c>
      <c r="AF33" s="45">
        <v>7</v>
      </c>
      <c r="AG33" s="50">
        <v>14.9</v>
      </c>
      <c r="AH33" s="47">
        <f t="shared" si="2"/>
        <v>7</v>
      </c>
      <c r="AI33" s="48">
        <f t="shared" si="3"/>
        <v>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2</v>
      </c>
      <c r="C35" s="45">
        <v>2</v>
      </c>
      <c r="D35" s="45">
        <v>2</v>
      </c>
      <c r="E35" s="45">
        <v>2</v>
      </c>
      <c r="F35" s="45">
        <v>2</v>
      </c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>
        <v>2</v>
      </c>
      <c r="Q35" s="45">
        <v>2</v>
      </c>
      <c r="R35" s="45">
        <v>2</v>
      </c>
      <c r="S35" s="45">
        <v>2</v>
      </c>
      <c r="T35" s="45">
        <v>2</v>
      </c>
      <c r="U35" s="45">
        <v>2</v>
      </c>
      <c r="V35" s="45">
        <v>2</v>
      </c>
      <c r="W35" s="45">
        <v>2</v>
      </c>
      <c r="X35" s="45">
        <v>2</v>
      </c>
      <c r="Y35" s="45">
        <v>2</v>
      </c>
      <c r="Z35" s="45">
        <v>2</v>
      </c>
      <c r="AA35" s="45">
        <v>2</v>
      </c>
      <c r="AB35" s="45">
        <v>2</v>
      </c>
      <c r="AC35" s="45">
        <v>2</v>
      </c>
      <c r="AD35" s="45">
        <v>2</v>
      </c>
      <c r="AE35" s="45">
        <v>2</v>
      </c>
      <c r="AF35" s="45">
        <v>2</v>
      </c>
      <c r="AG35" s="50">
        <v>13.6</v>
      </c>
      <c r="AH35" s="47">
        <f t="shared" si="2"/>
        <v>2</v>
      </c>
      <c r="AI35" s="48">
        <f t="shared" si="3"/>
        <v>2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3</v>
      </c>
      <c r="C36" s="45">
        <v>3</v>
      </c>
      <c r="D36" s="45">
        <v>3</v>
      </c>
      <c r="E36" s="45">
        <v>3</v>
      </c>
      <c r="F36" s="45">
        <v>3</v>
      </c>
      <c r="G36" s="45">
        <v>3</v>
      </c>
      <c r="H36" s="45">
        <v>3</v>
      </c>
      <c r="I36" s="45">
        <v>3</v>
      </c>
      <c r="J36" s="45">
        <v>3</v>
      </c>
      <c r="K36" s="45">
        <v>3</v>
      </c>
      <c r="L36" s="45">
        <v>3</v>
      </c>
      <c r="M36" s="45">
        <v>3</v>
      </c>
      <c r="N36" s="45">
        <v>3</v>
      </c>
      <c r="O36" s="45">
        <v>3</v>
      </c>
      <c r="P36" s="45">
        <v>3</v>
      </c>
      <c r="Q36" s="45">
        <v>3</v>
      </c>
      <c r="R36" s="45">
        <v>3</v>
      </c>
      <c r="S36" s="45">
        <v>3</v>
      </c>
      <c r="T36" s="45">
        <v>3</v>
      </c>
      <c r="U36" s="45">
        <v>3</v>
      </c>
      <c r="V36" s="45">
        <v>3</v>
      </c>
      <c r="W36" s="45">
        <v>3</v>
      </c>
      <c r="X36" s="45">
        <v>3</v>
      </c>
      <c r="Y36" s="45">
        <v>3</v>
      </c>
      <c r="Z36" s="45">
        <v>3</v>
      </c>
      <c r="AA36" s="45">
        <v>3</v>
      </c>
      <c r="AB36" s="45">
        <v>3</v>
      </c>
      <c r="AC36" s="45">
        <v>3</v>
      </c>
      <c r="AD36" s="45">
        <v>3</v>
      </c>
      <c r="AE36" s="45">
        <v>3</v>
      </c>
      <c r="AF36" s="45">
        <v>3</v>
      </c>
      <c r="AG36" s="50">
        <v>13</v>
      </c>
      <c r="AH36" s="47">
        <f t="shared" si="2"/>
        <v>3</v>
      </c>
      <c r="AI36" s="48">
        <f t="shared" si="3"/>
        <v>3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0</v>
      </c>
      <c r="C37" s="45">
        <v>3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0">
        <v>12</v>
      </c>
      <c r="AH37" s="47">
        <f t="shared" si="2"/>
        <v>6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4</v>
      </c>
      <c r="C38" s="45">
        <v>4</v>
      </c>
      <c r="D38" s="45">
        <v>4</v>
      </c>
      <c r="E38" s="45">
        <v>4</v>
      </c>
      <c r="F38" s="45">
        <v>4</v>
      </c>
      <c r="G38" s="45">
        <v>4</v>
      </c>
      <c r="H38" s="45">
        <v>4</v>
      </c>
      <c r="I38" s="45">
        <v>4</v>
      </c>
      <c r="J38" s="45">
        <v>4</v>
      </c>
      <c r="K38" s="45">
        <v>4</v>
      </c>
      <c r="L38" s="45">
        <v>4</v>
      </c>
      <c r="M38" s="45">
        <v>4</v>
      </c>
      <c r="N38" s="45">
        <v>4</v>
      </c>
      <c r="O38" s="45">
        <v>4</v>
      </c>
      <c r="P38" s="45">
        <v>4</v>
      </c>
      <c r="Q38" s="45">
        <v>4</v>
      </c>
      <c r="R38" s="45">
        <v>4</v>
      </c>
      <c r="S38" s="45">
        <v>4</v>
      </c>
      <c r="T38" s="45">
        <v>4</v>
      </c>
      <c r="U38" s="45">
        <v>4</v>
      </c>
      <c r="V38" s="45">
        <v>4</v>
      </c>
      <c r="W38" s="45">
        <v>4</v>
      </c>
      <c r="X38" s="45">
        <v>4</v>
      </c>
      <c r="Y38" s="45">
        <v>4</v>
      </c>
      <c r="Z38" s="45">
        <v>4</v>
      </c>
      <c r="AA38" s="45">
        <v>4</v>
      </c>
      <c r="AB38" s="45">
        <v>4</v>
      </c>
      <c r="AC38" s="45">
        <v>4</v>
      </c>
      <c r="AD38" s="45">
        <v>4</v>
      </c>
      <c r="AE38" s="45">
        <v>4</v>
      </c>
      <c r="AF38" s="45">
        <v>4</v>
      </c>
      <c r="AG38" s="50">
        <v>12</v>
      </c>
      <c r="AH38" s="47">
        <f t="shared" si="2"/>
        <v>4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>
        <v>3</v>
      </c>
      <c r="AB39" s="45">
        <v>3</v>
      </c>
      <c r="AC39" s="45">
        <v>3</v>
      </c>
      <c r="AD39" s="45">
        <v>3</v>
      </c>
      <c r="AE39" s="45">
        <v>3</v>
      </c>
      <c r="AF39" s="45">
        <v>3</v>
      </c>
      <c r="AG39" s="50">
        <v>12</v>
      </c>
      <c r="AH39" s="47">
        <f t="shared" si="2"/>
        <v>3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52">
        <v>22</v>
      </c>
      <c r="AH40" s="47">
        <f t="shared" si="2"/>
        <v>2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>
        <v>3.6</v>
      </c>
      <c r="Q41" s="45">
        <v>3.6</v>
      </c>
      <c r="R41" s="45">
        <v>3.6</v>
      </c>
      <c r="S41" s="45">
        <v>3.6</v>
      </c>
      <c r="T41" s="45">
        <v>3.6</v>
      </c>
      <c r="U41" s="45">
        <v>3.6</v>
      </c>
      <c r="V41" s="45">
        <v>3.6</v>
      </c>
      <c r="W41" s="45">
        <v>3.6</v>
      </c>
      <c r="X41" s="45">
        <v>3.6</v>
      </c>
      <c r="Y41" s="45">
        <v>3.6</v>
      </c>
      <c r="Z41" s="45">
        <v>3.6</v>
      </c>
      <c r="AA41" s="45">
        <v>3.6</v>
      </c>
      <c r="AB41" s="45">
        <v>3.6</v>
      </c>
      <c r="AC41" s="45">
        <v>3.6</v>
      </c>
      <c r="AD41" s="45">
        <v>3.6</v>
      </c>
      <c r="AE41" s="45">
        <v>3.6</v>
      </c>
      <c r="AF41" s="45">
        <v>3.6</v>
      </c>
      <c r="AG41" s="51">
        <v>11.88</v>
      </c>
      <c r="AH41" s="47">
        <f t="shared" si="2"/>
        <v>3.6</v>
      </c>
      <c r="AI41" s="48">
        <f t="shared" si="3"/>
        <v>3.6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3</v>
      </c>
      <c r="C43" s="45">
        <v>3</v>
      </c>
      <c r="D43" s="45">
        <v>3</v>
      </c>
      <c r="E43" s="45">
        <v>3</v>
      </c>
      <c r="F43" s="45">
        <v>3</v>
      </c>
      <c r="G43" s="45">
        <v>3</v>
      </c>
      <c r="H43" s="45">
        <v>3</v>
      </c>
      <c r="I43" s="45">
        <v>3</v>
      </c>
      <c r="J43" s="45">
        <v>3</v>
      </c>
      <c r="K43" s="45">
        <v>3</v>
      </c>
      <c r="L43" s="45">
        <v>3</v>
      </c>
      <c r="M43" s="45">
        <v>3</v>
      </c>
      <c r="N43" s="45">
        <v>3</v>
      </c>
      <c r="O43" s="45">
        <v>3</v>
      </c>
      <c r="P43" s="45">
        <v>3</v>
      </c>
      <c r="Q43" s="45">
        <v>3</v>
      </c>
      <c r="R43" s="45">
        <v>3</v>
      </c>
      <c r="S43" s="45">
        <v>3</v>
      </c>
      <c r="T43" s="45">
        <v>3</v>
      </c>
      <c r="U43" s="45">
        <v>3</v>
      </c>
      <c r="V43" s="45">
        <v>3</v>
      </c>
      <c r="W43" s="45">
        <v>3</v>
      </c>
      <c r="X43" s="45">
        <v>3</v>
      </c>
      <c r="Y43" s="45">
        <v>3</v>
      </c>
      <c r="Z43" s="45">
        <v>3</v>
      </c>
      <c r="AA43" s="45">
        <v>3</v>
      </c>
      <c r="AB43" s="45">
        <v>3</v>
      </c>
      <c r="AC43" s="45">
        <v>3</v>
      </c>
      <c r="AD43" s="45">
        <v>3</v>
      </c>
      <c r="AE43" s="45">
        <v>3</v>
      </c>
      <c r="AF43" s="45">
        <v>3</v>
      </c>
      <c r="AG43" s="54">
        <v>10</v>
      </c>
      <c r="AH43" s="47">
        <f t="shared" si="2"/>
        <v>3</v>
      </c>
      <c r="AI43" s="48">
        <f t="shared" si="3"/>
        <v>3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>
        <v>3</v>
      </c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>
        <v>3</v>
      </c>
      <c r="Y44" s="45">
        <v>3</v>
      </c>
      <c r="Z44" s="45">
        <v>3</v>
      </c>
      <c r="AA44" s="45">
        <v>3</v>
      </c>
      <c r="AB44" s="45">
        <v>3</v>
      </c>
      <c r="AC44" s="45">
        <v>3</v>
      </c>
      <c r="AD44" s="45">
        <v>3</v>
      </c>
      <c r="AE44" s="45">
        <v>3</v>
      </c>
      <c r="AF44" s="45">
        <v>3</v>
      </c>
      <c r="AG44" s="54">
        <v>10</v>
      </c>
      <c r="AH44" s="47">
        <f t="shared" si="2"/>
        <v>3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225</v>
      </c>
      <c r="C46" s="56">
        <v>225</v>
      </c>
      <c r="D46" s="56">
        <v>225</v>
      </c>
      <c r="E46" s="56">
        <v>225</v>
      </c>
      <c r="F46" s="56">
        <v>225</v>
      </c>
      <c r="G46" s="56">
        <v>225</v>
      </c>
      <c r="H46" s="56">
        <v>225</v>
      </c>
      <c r="I46" s="56">
        <v>225</v>
      </c>
      <c r="J46" s="56">
        <v>225</v>
      </c>
      <c r="K46" s="56">
        <v>225</v>
      </c>
      <c r="L46" s="56">
        <v>225</v>
      </c>
      <c r="M46" s="56">
        <v>225</v>
      </c>
      <c r="N46" s="56">
        <v>225</v>
      </c>
      <c r="O46" s="56">
        <v>225</v>
      </c>
      <c r="P46" s="56">
        <v>225</v>
      </c>
      <c r="Q46" s="56">
        <v>225</v>
      </c>
      <c r="R46" s="56">
        <v>225</v>
      </c>
      <c r="S46" s="56">
        <v>225</v>
      </c>
      <c r="T46" s="56">
        <v>225</v>
      </c>
      <c r="U46" s="56">
        <v>225</v>
      </c>
      <c r="V46" s="56">
        <v>225</v>
      </c>
      <c r="W46" s="56">
        <v>225</v>
      </c>
      <c r="X46" s="56">
        <v>225</v>
      </c>
      <c r="Y46" s="56">
        <v>225</v>
      </c>
      <c r="Z46" s="56">
        <v>225</v>
      </c>
      <c r="AA46" s="56">
        <v>225</v>
      </c>
      <c r="AB46" s="56">
        <v>225</v>
      </c>
      <c r="AC46" s="56">
        <v>225</v>
      </c>
      <c r="AD46" s="56">
        <v>225</v>
      </c>
      <c r="AE46" s="56">
        <v>225</v>
      </c>
      <c r="AF46" s="56">
        <v>225</v>
      </c>
      <c r="AG46" s="54">
        <v>85</v>
      </c>
      <c r="AH46" s="47">
        <f t="shared" si="2"/>
        <v>225</v>
      </c>
      <c r="AI46" s="48">
        <f t="shared" si="3"/>
        <v>225</v>
      </c>
      <c r="AK46" s="49"/>
    </row>
    <row r="47" spans="1:88" ht="15.75" thickBot="1" x14ac:dyDescent="0.3">
      <c r="A47" s="57" t="s">
        <v>55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56</v>
      </c>
      <c r="B48" s="60">
        <f>SUM(B11:B46)</f>
        <v>591.90000000000009</v>
      </c>
      <c r="C48" s="60">
        <f t="shared" ref="C48:AF48" si="4">SUM(C11:C46)</f>
        <v>592.90000000000009</v>
      </c>
      <c r="D48" s="60">
        <f t="shared" si="4"/>
        <v>620.90000000000009</v>
      </c>
      <c r="E48" s="60">
        <f t="shared" si="4"/>
        <v>620.90000000000009</v>
      </c>
      <c r="F48" s="60">
        <f t="shared" si="4"/>
        <v>615.79999999999995</v>
      </c>
      <c r="G48" s="60">
        <f t="shared" si="4"/>
        <v>615.79999999999995</v>
      </c>
      <c r="H48" s="60">
        <f t="shared" si="4"/>
        <v>631.6</v>
      </c>
      <c r="I48" s="60">
        <f t="shared" si="4"/>
        <v>631.6</v>
      </c>
      <c r="J48" s="60">
        <f t="shared" si="4"/>
        <v>631.6</v>
      </c>
      <c r="K48" s="60">
        <f t="shared" si="4"/>
        <v>631.6</v>
      </c>
      <c r="L48" s="60">
        <f t="shared" si="4"/>
        <v>631.6</v>
      </c>
      <c r="M48" s="60">
        <f t="shared" si="4"/>
        <v>625.6</v>
      </c>
      <c r="N48" s="60">
        <f>SUM(N11:N46)</f>
        <v>625.6</v>
      </c>
      <c r="O48" s="60">
        <f t="shared" si="4"/>
        <v>623</v>
      </c>
      <c r="P48" s="60">
        <f t="shared" si="4"/>
        <v>623</v>
      </c>
      <c r="Q48" s="60">
        <f t="shared" si="4"/>
        <v>623</v>
      </c>
      <c r="R48" s="60">
        <f t="shared" si="4"/>
        <v>623</v>
      </c>
      <c r="S48" s="60">
        <f t="shared" si="4"/>
        <v>618.20000000000005</v>
      </c>
      <c r="T48" s="60">
        <f t="shared" si="4"/>
        <v>618.20000000000005</v>
      </c>
      <c r="U48" s="60">
        <f t="shared" si="4"/>
        <v>618.20000000000005</v>
      </c>
      <c r="V48" s="60">
        <f t="shared" si="4"/>
        <v>618.20000000000005</v>
      </c>
      <c r="W48" s="60">
        <f t="shared" si="4"/>
        <v>618.20000000000005</v>
      </c>
      <c r="X48" s="60">
        <f t="shared" si="4"/>
        <v>618.20000000000005</v>
      </c>
      <c r="Y48" s="60">
        <f t="shared" si="4"/>
        <v>618.20000000000005</v>
      </c>
      <c r="Z48" s="60">
        <f t="shared" si="4"/>
        <v>618.20000000000005</v>
      </c>
      <c r="AA48" s="60">
        <v>626.29999999999995</v>
      </c>
      <c r="AB48" s="60">
        <f t="shared" si="4"/>
        <v>627.09999999999991</v>
      </c>
      <c r="AC48" s="60">
        <f t="shared" si="4"/>
        <v>627.09999999999991</v>
      </c>
      <c r="AD48" s="60">
        <f t="shared" si="4"/>
        <v>633.09999999999991</v>
      </c>
      <c r="AE48" s="60">
        <f t="shared" si="4"/>
        <v>633.09999999999991</v>
      </c>
      <c r="AF48" s="60">
        <f t="shared" si="4"/>
        <v>633.09999999999991</v>
      </c>
      <c r="AG48" s="61">
        <f>SUM(AG12:AG46)</f>
        <v>875.68</v>
      </c>
      <c r="AH48" s="47">
        <f t="shared" si="2"/>
        <v>633.09999999999991</v>
      </c>
      <c r="AI48" s="48">
        <f t="shared" si="3"/>
        <v>591.90000000000009</v>
      </c>
      <c r="AK48" s="49"/>
    </row>
    <row r="49" spans="1:41" x14ac:dyDescent="0.25">
      <c r="A49" s="62" t="s">
        <v>57</v>
      </c>
      <c r="B49" s="45">
        <v>360</v>
      </c>
      <c r="C49" s="45">
        <v>300</v>
      </c>
      <c r="D49" s="45">
        <v>280</v>
      </c>
      <c r="E49" s="45">
        <v>270</v>
      </c>
      <c r="F49" s="45">
        <v>130</v>
      </c>
      <c r="G49" s="45">
        <v>110</v>
      </c>
      <c r="H49" s="45">
        <v>140</v>
      </c>
      <c r="I49" s="45">
        <v>110</v>
      </c>
      <c r="J49" s="45">
        <v>15</v>
      </c>
      <c r="K49" s="45">
        <v>60</v>
      </c>
      <c r="L49" s="45">
        <v>20</v>
      </c>
      <c r="M49" s="45">
        <v>20</v>
      </c>
      <c r="N49" s="45">
        <v>20</v>
      </c>
      <c r="O49" s="45">
        <v>50</v>
      </c>
      <c r="P49" s="45">
        <v>100</v>
      </c>
      <c r="Q49" s="45">
        <v>120</v>
      </c>
      <c r="R49" s="45">
        <v>120</v>
      </c>
      <c r="S49" s="45">
        <v>130</v>
      </c>
      <c r="T49" s="45">
        <v>100</v>
      </c>
      <c r="U49" s="45">
        <v>85</v>
      </c>
      <c r="V49" s="45">
        <v>40</v>
      </c>
      <c r="W49" s="45">
        <v>15</v>
      </c>
      <c r="X49" s="45">
        <v>60</v>
      </c>
      <c r="Y49" s="45">
        <v>20</v>
      </c>
      <c r="Z49" s="45">
        <v>90</v>
      </c>
      <c r="AA49" s="45">
        <v>180</v>
      </c>
      <c r="AB49" s="45">
        <v>228</v>
      </c>
      <c r="AC49" s="45">
        <v>229</v>
      </c>
      <c r="AD49" s="45">
        <v>302</v>
      </c>
      <c r="AE49" s="45">
        <v>375.9</v>
      </c>
      <c r="AF49" s="45">
        <v>110</v>
      </c>
      <c r="AG49" s="51">
        <v>456</v>
      </c>
      <c r="AH49" s="47">
        <f t="shared" si="2"/>
        <v>375.9</v>
      </c>
      <c r="AI49" s="48">
        <f t="shared" si="3"/>
        <v>15</v>
      </c>
      <c r="AK49" s="49"/>
    </row>
    <row r="50" spans="1:41" x14ac:dyDescent="0.25">
      <c r="A50" s="64" t="s">
        <v>58</v>
      </c>
      <c r="B50" s="65">
        <v>55</v>
      </c>
      <c r="C50" s="65">
        <v>55</v>
      </c>
      <c r="D50" s="65">
        <v>55</v>
      </c>
      <c r="E50" s="65">
        <v>55</v>
      </c>
      <c r="F50" s="65">
        <v>55</v>
      </c>
      <c r="G50" s="65">
        <v>55</v>
      </c>
      <c r="H50" s="65">
        <v>55</v>
      </c>
      <c r="I50" s="65">
        <v>55</v>
      </c>
      <c r="J50" s="65">
        <v>55</v>
      </c>
      <c r="K50" s="65">
        <v>55</v>
      </c>
      <c r="L50" s="65">
        <v>55</v>
      </c>
      <c r="M50" s="65">
        <v>55</v>
      </c>
      <c r="N50" s="65">
        <v>55</v>
      </c>
      <c r="O50" s="65">
        <v>55</v>
      </c>
      <c r="P50" s="65">
        <v>55</v>
      </c>
      <c r="Q50" s="65">
        <v>55</v>
      </c>
      <c r="R50" s="65">
        <v>55</v>
      </c>
      <c r="S50" s="65">
        <v>55</v>
      </c>
      <c r="T50" s="65">
        <v>55</v>
      </c>
      <c r="U50" s="65">
        <v>55</v>
      </c>
      <c r="V50" s="65">
        <v>55</v>
      </c>
      <c r="W50" s="65">
        <v>55</v>
      </c>
      <c r="X50" s="65">
        <v>55</v>
      </c>
      <c r="Y50" s="65">
        <v>55</v>
      </c>
      <c r="Z50" s="65">
        <v>55</v>
      </c>
      <c r="AA50" s="65">
        <v>55</v>
      </c>
      <c r="AB50" s="65">
        <v>55</v>
      </c>
      <c r="AC50" s="65">
        <v>55</v>
      </c>
      <c r="AD50" s="65">
        <v>55</v>
      </c>
      <c r="AE50" s="65">
        <v>55</v>
      </c>
      <c r="AF50" s="65">
        <v>55</v>
      </c>
      <c r="AG50" s="54">
        <v>60</v>
      </c>
      <c r="AH50" s="47">
        <f t="shared" si="2"/>
        <v>55</v>
      </c>
      <c r="AI50" s="48">
        <f t="shared" si="3"/>
        <v>55</v>
      </c>
      <c r="AK50" s="49"/>
    </row>
    <row r="51" spans="1:41" ht="15.75" thickBot="1" x14ac:dyDescent="0.3">
      <c r="A51" s="66" t="s">
        <v>59</v>
      </c>
      <c r="B51" s="67">
        <v>22.4</v>
      </c>
      <c r="C51" s="67">
        <v>22.4</v>
      </c>
      <c r="D51" s="67">
        <v>22.4</v>
      </c>
      <c r="E51" s="67">
        <v>21.2</v>
      </c>
      <c r="F51" s="67">
        <v>21.2</v>
      </c>
      <c r="G51" s="67">
        <v>21.2</v>
      </c>
      <c r="H51" s="67">
        <v>21.2</v>
      </c>
      <c r="I51" s="67">
        <v>21.2</v>
      </c>
      <c r="J51" s="67">
        <v>21.2</v>
      </c>
      <c r="K51" s="67">
        <v>21.2</v>
      </c>
      <c r="L51" s="67">
        <v>21.2</v>
      </c>
      <c r="M51" s="67">
        <v>21.2</v>
      </c>
      <c r="N51" s="67">
        <v>21.2</v>
      </c>
      <c r="O51" s="67">
        <v>21.2</v>
      </c>
      <c r="P51" s="67">
        <v>21.2</v>
      </c>
      <c r="Q51" s="67">
        <v>21.2</v>
      </c>
      <c r="R51" s="67">
        <v>21.2</v>
      </c>
      <c r="S51" s="67">
        <v>21.2</v>
      </c>
      <c r="T51" s="67">
        <v>21.2</v>
      </c>
      <c r="U51" s="67">
        <v>20.2</v>
      </c>
      <c r="V51" s="67">
        <v>20.2</v>
      </c>
      <c r="W51" s="67">
        <v>20.2</v>
      </c>
      <c r="X51" s="67">
        <v>20.2</v>
      </c>
      <c r="Y51" s="67">
        <v>20.2</v>
      </c>
      <c r="Z51" s="67">
        <v>20.2</v>
      </c>
      <c r="AA51" s="67">
        <v>20.2</v>
      </c>
      <c r="AB51" s="67">
        <v>22</v>
      </c>
      <c r="AC51" s="67">
        <v>22</v>
      </c>
      <c r="AD51" s="67">
        <v>22</v>
      </c>
      <c r="AE51" s="67">
        <v>22</v>
      </c>
      <c r="AF51" s="67">
        <v>22</v>
      </c>
      <c r="AG51" s="68">
        <v>22.1</v>
      </c>
      <c r="AH51" s="47">
        <f t="shared" si="2"/>
        <v>22.4</v>
      </c>
      <c r="AI51" s="48">
        <f t="shared" si="3"/>
        <v>20.2</v>
      </c>
      <c r="AK51" s="49"/>
    </row>
    <row r="52" spans="1:41" ht="15.75" thickBot="1" x14ac:dyDescent="0.3">
      <c r="A52" s="69" t="s">
        <v>60</v>
      </c>
      <c r="B52" s="60">
        <f t="shared" ref="B52:AG52" si="5">SUM(B49:B51)</f>
        <v>437.4</v>
      </c>
      <c r="C52" s="60">
        <f t="shared" si="5"/>
        <v>377.4</v>
      </c>
      <c r="D52" s="60">
        <f t="shared" si="5"/>
        <v>357.4</v>
      </c>
      <c r="E52" s="60">
        <f t="shared" si="5"/>
        <v>346.2</v>
      </c>
      <c r="F52" s="60">
        <f t="shared" si="5"/>
        <v>206.2</v>
      </c>
      <c r="G52" s="60">
        <f t="shared" si="5"/>
        <v>186.2</v>
      </c>
      <c r="H52" s="60">
        <f t="shared" si="5"/>
        <v>216.2</v>
      </c>
      <c r="I52" s="60">
        <f t="shared" si="5"/>
        <v>186.2</v>
      </c>
      <c r="J52" s="60">
        <f t="shared" si="5"/>
        <v>91.2</v>
      </c>
      <c r="K52" s="60">
        <f t="shared" si="5"/>
        <v>136.19999999999999</v>
      </c>
      <c r="L52" s="60">
        <f t="shared" si="5"/>
        <v>96.2</v>
      </c>
      <c r="M52" s="60">
        <f t="shared" si="5"/>
        <v>96.2</v>
      </c>
      <c r="N52" s="60">
        <f>SUM(N49:N51)</f>
        <v>96.2</v>
      </c>
      <c r="O52" s="60">
        <f t="shared" si="5"/>
        <v>126.2</v>
      </c>
      <c r="P52" s="60">
        <f t="shared" si="5"/>
        <v>176.2</v>
      </c>
      <c r="Q52" s="60">
        <f t="shared" si="5"/>
        <v>196.2</v>
      </c>
      <c r="R52" s="60">
        <f t="shared" si="5"/>
        <v>196.2</v>
      </c>
      <c r="S52" s="60">
        <f t="shared" si="5"/>
        <v>206.2</v>
      </c>
      <c r="T52" s="60">
        <f t="shared" si="5"/>
        <v>176.2</v>
      </c>
      <c r="U52" s="60">
        <f t="shared" si="5"/>
        <v>160.19999999999999</v>
      </c>
      <c r="V52" s="60">
        <f t="shared" si="5"/>
        <v>115.2</v>
      </c>
      <c r="W52" s="60">
        <f t="shared" si="5"/>
        <v>90.2</v>
      </c>
      <c r="X52" s="60">
        <f t="shared" si="5"/>
        <v>135.19999999999999</v>
      </c>
      <c r="Y52" s="60">
        <f t="shared" si="5"/>
        <v>95.2</v>
      </c>
      <c r="Z52" s="60">
        <f t="shared" si="5"/>
        <v>165.2</v>
      </c>
      <c r="AA52" s="60">
        <v>255.2</v>
      </c>
      <c r="AB52" s="60">
        <f t="shared" si="5"/>
        <v>305</v>
      </c>
      <c r="AC52" s="60">
        <f t="shared" si="5"/>
        <v>306</v>
      </c>
      <c r="AD52" s="60">
        <f t="shared" si="5"/>
        <v>379</v>
      </c>
      <c r="AE52" s="60">
        <f t="shared" si="5"/>
        <v>452.9</v>
      </c>
      <c r="AF52" s="60">
        <f t="shared" si="5"/>
        <v>187</v>
      </c>
      <c r="AG52" s="61">
        <f t="shared" si="5"/>
        <v>538.1</v>
      </c>
      <c r="AH52" s="47">
        <f t="shared" si="2"/>
        <v>452.9</v>
      </c>
      <c r="AI52" s="48">
        <f t="shared" si="3"/>
        <v>90.2</v>
      </c>
      <c r="AK52" s="49"/>
    </row>
    <row r="53" spans="1:41" x14ac:dyDescent="0.25">
      <c r="A53" s="44" t="s">
        <v>61</v>
      </c>
      <c r="B53" s="45">
        <v>144</v>
      </c>
      <c r="C53" s="45">
        <v>144</v>
      </c>
      <c r="D53" s="45">
        <v>144</v>
      </c>
      <c r="E53" s="45">
        <v>134</v>
      </c>
      <c r="F53" s="45">
        <v>144</v>
      </c>
      <c r="G53" s="45">
        <v>144</v>
      </c>
      <c r="H53" s="45">
        <v>134</v>
      </c>
      <c r="I53" s="45">
        <v>112</v>
      </c>
      <c r="J53" s="45">
        <v>112</v>
      </c>
      <c r="K53" s="45">
        <v>90</v>
      </c>
      <c r="L53" s="45">
        <v>90</v>
      </c>
      <c r="M53" s="45">
        <v>55</v>
      </c>
      <c r="N53" s="45">
        <v>96</v>
      </c>
      <c r="O53" s="45">
        <v>96</v>
      </c>
      <c r="P53" s="45">
        <v>110</v>
      </c>
      <c r="Q53" s="45">
        <v>115</v>
      </c>
      <c r="R53" s="45">
        <v>144</v>
      </c>
      <c r="S53" s="45">
        <v>145</v>
      </c>
      <c r="T53" s="45">
        <v>145</v>
      </c>
      <c r="U53" s="45">
        <v>120</v>
      </c>
      <c r="V53" s="45">
        <v>120</v>
      </c>
      <c r="W53" s="45">
        <v>120</v>
      </c>
      <c r="X53" s="45">
        <v>100</v>
      </c>
      <c r="Y53" s="45">
        <v>100</v>
      </c>
      <c r="Z53" s="45">
        <v>100</v>
      </c>
      <c r="AA53" s="45">
        <v>120</v>
      </c>
      <c r="AB53" s="45">
        <v>120</v>
      </c>
      <c r="AC53" s="45">
        <v>140</v>
      </c>
      <c r="AD53" s="45">
        <v>142</v>
      </c>
      <c r="AE53" s="45">
        <v>120</v>
      </c>
      <c r="AF53" s="45">
        <v>120</v>
      </c>
      <c r="AG53" s="51">
        <v>144</v>
      </c>
      <c r="AH53" s="47">
        <f t="shared" si="2"/>
        <v>145</v>
      </c>
      <c r="AI53" s="48">
        <f t="shared" si="3"/>
        <v>55</v>
      </c>
      <c r="AK53" s="49"/>
    </row>
    <row r="54" spans="1:41" x14ac:dyDescent="0.25">
      <c r="A54" s="53" t="s">
        <v>62</v>
      </c>
      <c r="B54" s="65">
        <v>60.2</v>
      </c>
      <c r="C54" s="65">
        <v>60.2</v>
      </c>
      <c r="D54" s="65">
        <v>70</v>
      </c>
      <c r="E54" s="65">
        <v>50.9</v>
      </c>
      <c r="F54" s="65">
        <v>69.5</v>
      </c>
      <c r="G54" s="65">
        <v>70.3</v>
      </c>
      <c r="H54" s="65">
        <v>70</v>
      </c>
      <c r="I54" s="65">
        <v>59.9</v>
      </c>
      <c r="J54" s="65">
        <v>59.9</v>
      </c>
      <c r="K54" s="65">
        <v>49</v>
      </c>
      <c r="L54" s="65">
        <v>63.1</v>
      </c>
      <c r="M54" s="65">
        <v>63.1</v>
      </c>
      <c r="N54" s="65">
        <v>64</v>
      </c>
      <c r="O54" s="65">
        <v>64.400000000000006</v>
      </c>
      <c r="P54" s="65">
        <v>70</v>
      </c>
      <c r="Q54" s="65">
        <v>70</v>
      </c>
      <c r="R54" s="65">
        <v>61</v>
      </c>
      <c r="S54" s="45">
        <v>48</v>
      </c>
      <c r="T54" s="45">
        <v>22.3</v>
      </c>
      <c r="U54" s="45">
        <v>22.3</v>
      </c>
      <c r="V54" s="45">
        <v>22.3</v>
      </c>
      <c r="W54" s="45">
        <v>22.3</v>
      </c>
      <c r="X54" s="45">
        <v>22.3</v>
      </c>
      <c r="Y54" s="45">
        <v>22.3</v>
      </c>
      <c r="Z54" s="45">
        <v>63.2</v>
      </c>
      <c r="AA54" s="45">
        <v>63</v>
      </c>
      <c r="AB54" s="65">
        <v>69.400000000000006</v>
      </c>
      <c r="AC54" s="65">
        <v>69.400000000000006</v>
      </c>
      <c r="AD54" s="65">
        <v>69.400000000000006</v>
      </c>
      <c r="AE54" s="65">
        <v>50</v>
      </c>
      <c r="AF54" s="65">
        <v>55</v>
      </c>
      <c r="AG54" s="54">
        <v>70</v>
      </c>
      <c r="AH54" s="47">
        <f t="shared" si="2"/>
        <v>70.3</v>
      </c>
      <c r="AI54" s="48">
        <f t="shared" si="3"/>
        <v>22.3</v>
      </c>
      <c r="AK54" s="49"/>
    </row>
    <row r="55" spans="1:41" x14ac:dyDescent="0.25">
      <c r="A55" s="53" t="s">
        <v>63</v>
      </c>
      <c r="B55" s="65">
        <v>45.3</v>
      </c>
      <c r="C55" s="65">
        <v>45.3</v>
      </c>
      <c r="D55" s="65">
        <v>69</v>
      </c>
      <c r="E55" s="65">
        <v>60.9</v>
      </c>
      <c r="F55" s="65">
        <v>53.9</v>
      </c>
      <c r="G55" s="65">
        <v>69.599999999999994</v>
      </c>
      <c r="H55" s="65">
        <v>69.599999999999994</v>
      </c>
      <c r="I55" s="65">
        <v>69.099999999999994</v>
      </c>
      <c r="J55" s="65">
        <v>69.099999999999994</v>
      </c>
      <c r="K55" s="65">
        <v>69.099999999999994</v>
      </c>
      <c r="L55" s="65">
        <v>69.099999999999994</v>
      </c>
      <c r="M55" s="65">
        <v>69.099999999999994</v>
      </c>
      <c r="N55" s="65">
        <v>70</v>
      </c>
      <c r="O55" s="65">
        <v>69.3</v>
      </c>
      <c r="P55" s="65">
        <v>69.3</v>
      </c>
      <c r="Q55" s="65">
        <v>69.3</v>
      </c>
      <c r="R55" s="65">
        <v>50</v>
      </c>
      <c r="S55" s="45">
        <v>51.2</v>
      </c>
      <c r="T55" s="45">
        <v>51.1</v>
      </c>
      <c r="U55" s="45">
        <v>51.1</v>
      </c>
      <c r="V55" s="45">
        <v>51.1</v>
      </c>
      <c r="W55" s="45">
        <v>53</v>
      </c>
      <c r="X55" s="45">
        <v>53</v>
      </c>
      <c r="Y55" s="45">
        <v>53</v>
      </c>
      <c r="Z55" s="45">
        <v>69.5</v>
      </c>
      <c r="AA55" s="45">
        <v>69</v>
      </c>
      <c r="AB55" s="65">
        <v>68.8</v>
      </c>
      <c r="AC55" s="65">
        <v>68.8</v>
      </c>
      <c r="AD55" s="65">
        <v>68.8</v>
      </c>
      <c r="AE55" s="65">
        <v>60</v>
      </c>
      <c r="AF55" s="65">
        <v>58</v>
      </c>
      <c r="AG55" s="54">
        <v>69</v>
      </c>
      <c r="AH55" s="47">
        <f t="shared" si="2"/>
        <v>70</v>
      </c>
      <c r="AI55" s="48">
        <f t="shared" si="3"/>
        <v>45.3</v>
      </c>
      <c r="AK55" s="49"/>
    </row>
    <row r="56" spans="1:41" x14ac:dyDescent="0.25">
      <c r="A56" s="53" t="s">
        <v>64</v>
      </c>
      <c r="B56" s="65">
        <v>62</v>
      </c>
      <c r="C56" s="65">
        <v>62</v>
      </c>
      <c r="D56" s="65">
        <v>62</v>
      </c>
      <c r="E56" s="56">
        <v>62.5</v>
      </c>
      <c r="F56" s="56">
        <v>62.5</v>
      </c>
      <c r="G56" s="56">
        <v>62.5</v>
      </c>
      <c r="H56" s="56">
        <v>62.5</v>
      </c>
      <c r="I56" s="56">
        <v>62.5</v>
      </c>
      <c r="J56" s="56">
        <v>62.5</v>
      </c>
      <c r="K56" s="56">
        <v>62.5</v>
      </c>
      <c r="L56" s="56">
        <v>62.5</v>
      </c>
      <c r="M56" s="56">
        <v>62.5</v>
      </c>
      <c r="N56" s="56">
        <v>62.5</v>
      </c>
      <c r="O56" s="65">
        <v>62.5</v>
      </c>
      <c r="P56" s="65">
        <v>62.5</v>
      </c>
      <c r="Q56" s="65">
        <v>62.5</v>
      </c>
      <c r="R56" s="65">
        <v>62.5</v>
      </c>
      <c r="S56" s="45">
        <v>62</v>
      </c>
      <c r="T56" s="45">
        <v>60</v>
      </c>
      <c r="U56" s="45">
        <v>60</v>
      </c>
      <c r="V56" s="45">
        <v>60</v>
      </c>
      <c r="W56" s="45">
        <v>60</v>
      </c>
      <c r="X56" s="45">
        <v>60</v>
      </c>
      <c r="Y56" s="45">
        <v>60</v>
      </c>
      <c r="Z56" s="45">
        <v>60</v>
      </c>
      <c r="AA56" s="45">
        <v>60</v>
      </c>
      <c r="AB56" s="45">
        <v>60</v>
      </c>
      <c r="AC56" s="45">
        <v>60</v>
      </c>
      <c r="AD56" s="45">
        <v>60</v>
      </c>
      <c r="AE56" s="65">
        <v>61.5</v>
      </c>
      <c r="AF56" s="65">
        <v>61.5</v>
      </c>
      <c r="AG56" s="54">
        <v>60</v>
      </c>
      <c r="AH56" s="47">
        <f t="shared" si="2"/>
        <v>62.5</v>
      </c>
      <c r="AI56" s="48">
        <f t="shared" si="3"/>
        <v>60</v>
      </c>
      <c r="AK56" s="49"/>
    </row>
    <row r="57" spans="1:41" x14ac:dyDescent="0.25">
      <c r="A57" s="53" t="s">
        <v>65</v>
      </c>
      <c r="B57" s="65">
        <v>10</v>
      </c>
      <c r="C57" s="65">
        <v>10</v>
      </c>
      <c r="D57" s="65">
        <v>10</v>
      </c>
      <c r="E57" s="65">
        <v>10</v>
      </c>
      <c r="F57" s="56">
        <v>10</v>
      </c>
      <c r="G57" s="56">
        <v>10</v>
      </c>
      <c r="H57" s="56">
        <v>0</v>
      </c>
      <c r="I57" s="56">
        <v>0</v>
      </c>
      <c r="J57" s="56">
        <v>0</v>
      </c>
      <c r="K57" s="56">
        <v>10</v>
      </c>
      <c r="L57" s="56">
        <v>10</v>
      </c>
      <c r="M57" s="45">
        <v>22</v>
      </c>
      <c r="N57" s="45">
        <v>22</v>
      </c>
      <c r="O57" s="45">
        <v>22</v>
      </c>
      <c r="P57" s="45">
        <v>22</v>
      </c>
      <c r="Q57" s="45">
        <v>22</v>
      </c>
      <c r="R57" s="45">
        <v>10</v>
      </c>
      <c r="S57" s="45">
        <v>10</v>
      </c>
      <c r="T57" s="45">
        <v>10</v>
      </c>
      <c r="U57" s="45">
        <v>10</v>
      </c>
      <c r="V57" s="45">
        <v>10</v>
      </c>
      <c r="W57" s="45">
        <v>10</v>
      </c>
      <c r="X57" s="45">
        <v>10</v>
      </c>
      <c r="Y57" s="45">
        <v>10</v>
      </c>
      <c r="Z57" s="45">
        <v>10</v>
      </c>
      <c r="AA57" s="45">
        <v>0</v>
      </c>
      <c r="AB57" s="45">
        <v>15</v>
      </c>
      <c r="AC57" s="45">
        <v>15</v>
      </c>
      <c r="AD57" s="45">
        <v>15</v>
      </c>
      <c r="AE57" s="45">
        <v>25</v>
      </c>
      <c r="AF57" s="45">
        <v>25</v>
      </c>
      <c r="AG57" s="54">
        <v>30</v>
      </c>
      <c r="AH57" s="47">
        <f t="shared" si="2"/>
        <v>25</v>
      </c>
      <c r="AI57" s="48">
        <f t="shared" si="3"/>
        <v>0</v>
      </c>
      <c r="AK57" s="49"/>
    </row>
    <row r="58" spans="1:41" x14ac:dyDescent="0.25">
      <c r="A58" s="53" t="s">
        <v>66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45">
        <v>0</v>
      </c>
      <c r="H58" s="45">
        <v>0</v>
      </c>
      <c r="I58" s="45">
        <v>0.8</v>
      </c>
      <c r="J58" s="45">
        <v>0.8</v>
      </c>
      <c r="K58" s="45">
        <v>2</v>
      </c>
      <c r="L58" s="45">
        <v>4.9000000000000004</v>
      </c>
      <c r="M58" s="45">
        <v>4.9000000000000004</v>
      </c>
      <c r="N58" s="45">
        <v>4.9000000000000004</v>
      </c>
      <c r="O58" s="45">
        <v>4.9000000000000004</v>
      </c>
      <c r="P58" s="45">
        <v>4.9000000000000004</v>
      </c>
      <c r="Q58" s="45">
        <v>4.9000000000000004</v>
      </c>
      <c r="R58" s="45">
        <v>4.9000000000000004</v>
      </c>
      <c r="S58" s="45">
        <v>4.9000000000000004</v>
      </c>
      <c r="T58" s="45">
        <v>4.9000000000000004</v>
      </c>
      <c r="U58" s="45">
        <v>4.9000000000000004</v>
      </c>
      <c r="V58" s="45">
        <v>4.9000000000000004</v>
      </c>
      <c r="W58" s="45">
        <v>4.9000000000000004</v>
      </c>
      <c r="X58" s="45">
        <v>4.9000000000000004</v>
      </c>
      <c r="Y58" s="45">
        <v>4.9000000000000004</v>
      </c>
      <c r="Z58" s="45">
        <v>4.9000000000000004</v>
      </c>
      <c r="AA58" s="45">
        <v>4.9000000000000004</v>
      </c>
      <c r="AB58" s="45">
        <v>4.9000000000000004</v>
      </c>
      <c r="AC58" s="45">
        <v>4.9000000000000004</v>
      </c>
      <c r="AD58" s="45">
        <v>4.9000000000000004</v>
      </c>
      <c r="AE58" s="45">
        <v>4.9000000000000004</v>
      </c>
      <c r="AF58" s="45">
        <v>4.9000000000000004</v>
      </c>
      <c r="AG58" s="54">
        <v>25</v>
      </c>
      <c r="AH58" s="47">
        <f t="shared" si="2"/>
        <v>4.9000000000000004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15</v>
      </c>
      <c r="C59" s="65">
        <v>15</v>
      </c>
      <c r="D59" s="65">
        <v>15</v>
      </c>
      <c r="E59" s="65">
        <v>15</v>
      </c>
      <c r="F59" s="65">
        <v>15</v>
      </c>
      <c r="G59" s="65">
        <v>15</v>
      </c>
      <c r="H59" s="65">
        <v>15</v>
      </c>
      <c r="I59" s="65">
        <v>15</v>
      </c>
      <c r="J59" s="65">
        <v>15</v>
      </c>
      <c r="K59" s="65">
        <v>15</v>
      </c>
      <c r="L59" s="65">
        <v>15</v>
      </c>
      <c r="M59" s="65">
        <v>15</v>
      </c>
      <c r="N59" s="65">
        <v>15</v>
      </c>
      <c r="O59" s="65">
        <v>15</v>
      </c>
      <c r="P59" s="65">
        <v>15</v>
      </c>
      <c r="Q59" s="65">
        <v>15</v>
      </c>
      <c r="R59" s="65">
        <v>15</v>
      </c>
      <c r="S59" s="65">
        <v>15</v>
      </c>
      <c r="T59" s="65">
        <v>15</v>
      </c>
      <c r="U59" s="65">
        <v>15</v>
      </c>
      <c r="V59" s="65">
        <v>15</v>
      </c>
      <c r="W59" s="65">
        <v>15</v>
      </c>
      <c r="X59" s="65">
        <v>15</v>
      </c>
      <c r="Y59" s="65">
        <v>15</v>
      </c>
      <c r="Z59" s="65">
        <v>15</v>
      </c>
      <c r="AA59" s="65">
        <v>15</v>
      </c>
      <c r="AB59" s="65">
        <v>15</v>
      </c>
      <c r="AC59" s="65">
        <v>15</v>
      </c>
      <c r="AD59" s="65">
        <v>15</v>
      </c>
      <c r="AE59" s="65">
        <v>15</v>
      </c>
      <c r="AF59" s="65">
        <v>15</v>
      </c>
      <c r="AG59" s="54">
        <v>24</v>
      </c>
      <c r="AH59" s="47">
        <f t="shared" si="2"/>
        <v>15</v>
      </c>
      <c r="AI59" s="48">
        <f t="shared" si="3"/>
        <v>15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13.6</v>
      </c>
      <c r="C61" s="65">
        <v>13.6</v>
      </c>
      <c r="D61" s="65">
        <v>13.6</v>
      </c>
      <c r="E61" s="65">
        <v>13.6</v>
      </c>
      <c r="F61" s="65">
        <v>13.6</v>
      </c>
      <c r="G61" s="65">
        <v>13.6</v>
      </c>
      <c r="H61" s="65">
        <v>13.6</v>
      </c>
      <c r="I61" s="65">
        <v>13.6</v>
      </c>
      <c r="J61" s="65">
        <v>13.6</v>
      </c>
      <c r="K61" s="65">
        <v>13.6</v>
      </c>
      <c r="L61" s="65">
        <v>13.6</v>
      </c>
      <c r="M61" s="65">
        <v>13.6</v>
      </c>
      <c r="N61" s="65">
        <v>13.6</v>
      </c>
      <c r="O61" s="65">
        <v>13.6</v>
      </c>
      <c r="P61" s="65">
        <v>13.6</v>
      </c>
      <c r="Q61" s="65">
        <v>13.6</v>
      </c>
      <c r="R61" s="65">
        <v>13.6</v>
      </c>
      <c r="S61" s="65">
        <v>13.6</v>
      </c>
      <c r="T61" s="65">
        <v>13.6</v>
      </c>
      <c r="U61" s="65">
        <v>13.6</v>
      </c>
      <c r="V61" s="65">
        <v>13.6</v>
      </c>
      <c r="W61" s="65">
        <v>13.6</v>
      </c>
      <c r="X61" s="65">
        <v>13.6</v>
      </c>
      <c r="Y61" s="65">
        <v>13.6</v>
      </c>
      <c r="Z61" s="65">
        <v>13.6</v>
      </c>
      <c r="AA61" s="65">
        <v>13.6</v>
      </c>
      <c r="AB61" s="65">
        <v>13.6</v>
      </c>
      <c r="AC61" s="65">
        <v>13.6</v>
      </c>
      <c r="AD61" s="65">
        <v>13.6</v>
      </c>
      <c r="AE61" s="65">
        <v>13.6</v>
      </c>
      <c r="AF61" s="65">
        <v>13.6</v>
      </c>
      <c r="AG61" s="54">
        <v>14.1</v>
      </c>
      <c r="AH61" s="47">
        <f t="shared" si="2"/>
        <v>13.6</v>
      </c>
      <c r="AI61" s="48">
        <f t="shared" si="3"/>
        <v>13.6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13</v>
      </c>
      <c r="C62" s="65">
        <v>13</v>
      </c>
      <c r="D62" s="65">
        <v>13</v>
      </c>
      <c r="E62" s="65">
        <v>13</v>
      </c>
      <c r="F62" s="65">
        <v>13</v>
      </c>
      <c r="G62" s="65">
        <v>13</v>
      </c>
      <c r="H62" s="65">
        <v>13</v>
      </c>
      <c r="I62" s="65">
        <v>13</v>
      </c>
      <c r="J62" s="65">
        <v>13</v>
      </c>
      <c r="K62" s="65">
        <v>9.1</v>
      </c>
      <c r="L62" s="65">
        <v>9.1</v>
      </c>
      <c r="M62" s="65">
        <v>9.1</v>
      </c>
      <c r="N62" s="65">
        <v>9.1</v>
      </c>
      <c r="O62" s="65">
        <v>9.1</v>
      </c>
      <c r="P62" s="65">
        <v>9.1</v>
      </c>
      <c r="Q62" s="65">
        <v>9.1</v>
      </c>
      <c r="R62" s="65">
        <v>9.1</v>
      </c>
      <c r="S62" s="65">
        <v>9.1</v>
      </c>
      <c r="T62" s="65">
        <v>9.1</v>
      </c>
      <c r="U62" s="65">
        <v>9.1</v>
      </c>
      <c r="V62" s="65">
        <v>9.1</v>
      </c>
      <c r="W62" s="65">
        <v>9.1</v>
      </c>
      <c r="X62" s="65">
        <v>9.1</v>
      </c>
      <c r="Y62" s="65">
        <v>9.1</v>
      </c>
      <c r="Z62" s="65">
        <v>9.1</v>
      </c>
      <c r="AA62" s="65">
        <v>9.1</v>
      </c>
      <c r="AB62" s="65">
        <v>9.1</v>
      </c>
      <c r="AC62" s="65">
        <v>9.1</v>
      </c>
      <c r="AD62" s="65">
        <v>9.1</v>
      </c>
      <c r="AE62" s="65">
        <v>9.1</v>
      </c>
      <c r="AF62" s="65">
        <v>9.1</v>
      </c>
      <c r="AG62" s="54">
        <v>14</v>
      </c>
      <c r="AH62" s="47">
        <f t="shared" si="2"/>
        <v>13</v>
      </c>
      <c r="AI62" s="48">
        <f t="shared" si="3"/>
        <v>9.1</v>
      </c>
      <c r="AK62" s="49"/>
    </row>
    <row r="63" spans="1:41" x14ac:dyDescent="0.25">
      <c r="A63" s="53" t="s">
        <v>71</v>
      </c>
      <c r="B63" s="65">
        <v>4.0999999999999996</v>
      </c>
      <c r="C63" s="65">
        <v>4.0999999999999996</v>
      </c>
      <c r="D63" s="65">
        <v>4.0999999999999996</v>
      </c>
      <c r="E63" s="65">
        <v>4.0999999999999996</v>
      </c>
      <c r="F63" s="65">
        <v>4.0999999999999996</v>
      </c>
      <c r="G63" s="65">
        <v>4.0999999999999996</v>
      </c>
      <c r="H63" s="65">
        <v>4.0999999999999996</v>
      </c>
      <c r="I63" s="65">
        <v>4.0999999999999996</v>
      </c>
      <c r="J63" s="65">
        <v>4.0999999999999996</v>
      </c>
      <c r="K63" s="65">
        <v>4.0999999999999996</v>
      </c>
      <c r="L63" s="65">
        <v>4.0999999999999996</v>
      </c>
      <c r="M63" s="65">
        <v>4.0999999999999996</v>
      </c>
      <c r="N63" s="65">
        <v>4.0999999999999996</v>
      </c>
      <c r="O63" s="65">
        <v>4.0999999999999996</v>
      </c>
      <c r="P63" s="65">
        <v>4.0999999999999996</v>
      </c>
      <c r="Q63" s="65">
        <v>4.0999999999999996</v>
      </c>
      <c r="R63" s="65">
        <v>4.0999999999999996</v>
      </c>
      <c r="S63" s="65">
        <v>4.0999999999999996</v>
      </c>
      <c r="T63" s="65">
        <v>4.0999999999999996</v>
      </c>
      <c r="U63" s="65">
        <v>4.0999999999999996</v>
      </c>
      <c r="V63" s="65">
        <v>4.0999999999999996</v>
      </c>
      <c r="W63" s="65">
        <v>4.0999999999999996</v>
      </c>
      <c r="X63" s="65">
        <v>4.0999999999999996</v>
      </c>
      <c r="Y63" s="65">
        <v>4.0999999999999996</v>
      </c>
      <c r="Z63" s="65">
        <v>4.0999999999999996</v>
      </c>
      <c r="AA63" s="65">
        <v>4.0999999999999996</v>
      </c>
      <c r="AB63" s="65">
        <v>4.0999999999999996</v>
      </c>
      <c r="AC63" s="65">
        <v>4.0999999999999996</v>
      </c>
      <c r="AD63" s="65">
        <v>4.0999999999999996</v>
      </c>
      <c r="AE63" s="65">
        <v>4.0999999999999996</v>
      </c>
      <c r="AF63" s="65">
        <v>4.0999999999999996</v>
      </c>
      <c r="AG63" s="54">
        <v>10.050000000000001</v>
      </c>
      <c r="AH63" s="47">
        <f t="shared" si="2"/>
        <v>4.0999999999999996</v>
      </c>
      <c r="AI63" s="48">
        <f t="shared" si="3"/>
        <v>4.0999999999999996</v>
      </c>
      <c r="AK63" s="49"/>
    </row>
    <row r="64" spans="1:41" x14ac:dyDescent="0.25">
      <c r="A64" s="53" t="s">
        <v>72</v>
      </c>
      <c r="B64" s="65">
        <v>2</v>
      </c>
      <c r="C64" s="65">
        <v>2</v>
      </c>
      <c r="D64" s="65">
        <v>2</v>
      </c>
      <c r="E64" s="65">
        <v>2</v>
      </c>
      <c r="F64" s="65">
        <v>2</v>
      </c>
      <c r="G64" s="65">
        <v>2</v>
      </c>
      <c r="H64" s="65">
        <v>2</v>
      </c>
      <c r="I64" s="65">
        <v>2</v>
      </c>
      <c r="J64" s="65">
        <v>2</v>
      </c>
      <c r="K64" s="65">
        <v>2</v>
      </c>
      <c r="L64" s="65">
        <v>2</v>
      </c>
      <c r="M64" s="65">
        <v>2</v>
      </c>
      <c r="N64" s="65">
        <v>2</v>
      </c>
      <c r="O64" s="65">
        <v>2</v>
      </c>
      <c r="P64" s="65">
        <v>2</v>
      </c>
      <c r="Q64" s="65">
        <v>2</v>
      </c>
      <c r="R64" s="65">
        <v>2</v>
      </c>
      <c r="S64" s="65">
        <v>2</v>
      </c>
      <c r="T64" s="65">
        <v>2</v>
      </c>
      <c r="U64" s="65">
        <v>2</v>
      </c>
      <c r="V64" s="65">
        <v>2</v>
      </c>
      <c r="W64" s="65">
        <v>2</v>
      </c>
      <c r="X64" s="65">
        <v>2</v>
      </c>
      <c r="Y64" s="65">
        <v>2</v>
      </c>
      <c r="Z64" s="65">
        <v>2</v>
      </c>
      <c r="AA64" s="65">
        <v>2</v>
      </c>
      <c r="AB64" s="65">
        <v>2</v>
      </c>
      <c r="AC64" s="65">
        <v>2</v>
      </c>
      <c r="AD64" s="65">
        <v>2</v>
      </c>
      <c r="AE64" s="65">
        <v>2</v>
      </c>
      <c r="AF64" s="65">
        <v>2</v>
      </c>
      <c r="AG64" s="54">
        <v>6.2</v>
      </c>
      <c r="AH64" s="47">
        <f t="shared" si="2"/>
        <v>2</v>
      </c>
      <c r="AI64" s="48">
        <f t="shared" si="3"/>
        <v>2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AG233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f t="shared" ref="B66:AG66" si="6">SUM(B53:B65)</f>
        <v>372.74000000000007</v>
      </c>
      <c r="C66" s="60">
        <f t="shared" si="6"/>
        <v>372.74000000000007</v>
      </c>
      <c r="D66" s="60">
        <f t="shared" si="6"/>
        <v>406.24000000000007</v>
      </c>
      <c r="E66" s="60">
        <f t="shared" si="6"/>
        <v>369.54000000000008</v>
      </c>
      <c r="F66" s="60">
        <f t="shared" si="6"/>
        <v>391.14000000000004</v>
      </c>
      <c r="G66" s="60">
        <f t="shared" si="6"/>
        <v>407.64000000000004</v>
      </c>
      <c r="H66" s="60">
        <f t="shared" si="6"/>
        <v>387.34000000000009</v>
      </c>
      <c r="I66" s="60">
        <f t="shared" si="6"/>
        <v>355.54000000000008</v>
      </c>
      <c r="J66" s="60">
        <f t="shared" si="6"/>
        <v>355.54000000000008</v>
      </c>
      <c r="K66" s="60">
        <f t="shared" si="6"/>
        <v>329.94000000000011</v>
      </c>
      <c r="L66" s="60">
        <f t="shared" si="6"/>
        <v>346.94000000000005</v>
      </c>
      <c r="M66" s="60">
        <f t="shared" si="6"/>
        <v>323.94000000000005</v>
      </c>
      <c r="N66" s="60">
        <f t="shared" si="6"/>
        <v>366.74000000000007</v>
      </c>
      <c r="O66" s="60">
        <f t="shared" si="6"/>
        <v>366.44000000000005</v>
      </c>
      <c r="P66" s="60">
        <f t="shared" si="6"/>
        <v>386.04000000000008</v>
      </c>
      <c r="Q66" s="60">
        <f t="shared" si="6"/>
        <v>391.04000000000008</v>
      </c>
      <c r="R66" s="60">
        <f t="shared" si="6"/>
        <v>379.74000000000007</v>
      </c>
      <c r="S66" s="60">
        <f t="shared" si="6"/>
        <v>368.44000000000005</v>
      </c>
      <c r="T66" s="60">
        <f t="shared" si="6"/>
        <v>340.64000000000004</v>
      </c>
      <c r="U66" s="60">
        <f t="shared" si="6"/>
        <v>315.64000000000004</v>
      </c>
      <c r="V66" s="60">
        <f t="shared" si="6"/>
        <v>315.64000000000004</v>
      </c>
      <c r="W66" s="60">
        <f t="shared" si="6"/>
        <v>317.54000000000008</v>
      </c>
      <c r="X66" s="60">
        <f t="shared" si="6"/>
        <v>297.54000000000013</v>
      </c>
      <c r="Y66" s="60">
        <f t="shared" si="6"/>
        <v>297.54000000000013</v>
      </c>
      <c r="Z66" s="60">
        <f t="shared" si="6"/>
        <v>354.94000000000005</v>
      </c>
      <c r="AA66" s="60">
        <v>364.24000000000007</v>
      </c>
      <c r="AB66" s="60">
        <f t="shared" si="6"/>
        <v>385.44000000000005</v>
      </c>
      <c r="AC66" s="60">
        <f t="shared" si="6"/>
        <v>405.44000000000005</v>
      </c>
      <c r="AD66" s="60">
        <f t="shared" si="6"/>
        <v>407.44000000000005</v>
      </c>
      <c r="AE66" s="60">
        <f t="shared" si="6"/>
        <v>368.74000000000007</v>
      </c>
      <c r="AF66" s="60">
        <f t="shared" si="6"/>
        <v>371.74000000000007</v>
      </c>
      <c r="AG66" s="61">
        <f t="shared" si="6"/>
        <v>489.91</v>
      </c>
      <c r="AH66" s="47">
        <f t="shared" si="2"/>
        <v>407.64000000000004</v>
      </c>
      <c r="AI66" s="48">
        <f t="shared" si="3"/>
        <v>297.54000000000013</v>
      </c>
      <c r="AK66" s="49"/>
    </row>
    <row r="67" spans="1:40" x14ac:dyDescent="0.25">
      <c r="A67" s="44" t="s">
        <v>75</v>
      </c>
      <c r="B67" s="45">
        <v>10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10</v>
      </c>
      <c r="R67" s="45">
        <v>30</v>
      </c>
      <c r="S67" s="45">
        <v>30</v>
      </c>
      <c r="T67" s="45">
        <v>40</v>
      </c>
      <c r="U67" s="45">
        <v>45</v>
      </c>
      <c r="V67" s="45">
        <v>30</v>
      </c>
      <c r="W67" s="45">
        <v>30</v>
      </c>
      <c r="X67" s="45">
        <v>14</v>
      </c>
      <c r="Y67" s="45">
        <v>14</v>
      </c>
      <c r="Z67" s="45">
        <v>14</v>
      </c>
      <c r="AA67" s="45">
        <v>14</v>
      </c>
      <c r="AB67" s="45">
        <v>14</v>
      </c>
      <c r="AC67" s="45">
        <v>30</v>
      </c>
      <c r="AD67" s="45">
        <v>14</v>
      </c>
      <c r="AE67" s="45">
        <v>0</v>
      </c>
      <c r="AF67" s="45">
        <v>0</v>
      </c>
      <c r="AG67" s="51">
        <v>60</v>
      </c>
      <c r="AH67" s="47">
        <f t="shared" si="2"/>
        <v>45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4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5</v>
      </c>
      <c r="R68" s="45">
        <v>10</v>
      </c>
      <c r="S68" s="65">
        <v>14.4</v>
      </c>
      <c r="T68" s="65">
        <v>14.4</v>
      </c>
      <c r="U68" s="65">
        <v>17</v>
      </c>
      <c r="V68" s="65">
        <v>12.9</v>
      </c>
      <c r="W68" s="65">
        <v>12.9</v>
      </c>
      <c r="X68" s="65">
        <v>7.7</v>
      </c>
      <c r="Y68" s="65">
        <v>4.8</v>
      </c>
      <c r="Z68" s="65">
        <v>5.4</v>
      </c>
      <c r="AA68" s="65">
        <v>5.4</v>
      </c>
      <c r="AB68" s="65">
        <v>5.4</v>
      </c>
      <c r="AC68" s="65">
        <v>15</v>
      </c>
      <c r="AD68" s="65">
        <v>7</v>
      </c>
      <c r="AE68" s="65">
        <v>3.4</v>
      </c>
      <c r="AF68" s="45">
        <v>0</v>
      </c>
      <c r="AG68" s="54">
        <v>32</v>
      </c>
      <c r="AH68" s="47">
        <f t="shared" si="2"/>
        <v>17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67">
        <v>2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0</v>
      </c>
      <c r="Q69" s="67">
        <v>2</v>
      </c>
      <c r="R69" s="45">
        <v>4</v>
      </c>
      <c r="S69" s="67">
        <v>5.3</v>
      </c>
      <c r="T69" s="67">
        <v>5.3</v>
      </c>
      <c r="U69" s="67">
        <v>6.2</v>
      </c>
      <c r="V69" s="67">
        <v>4.7</v>
      </c>
      <c r="W69" s="67">
        <v>4.7</v>
      </c>
      <c r="X69" s="67">
        <v>2.8</v>
      </c>
      <c r="Y69" s="67">
        <v>1.7</v>
      </c>
      <c r="Z69" s="67">
        <v>2</v>
      </c>
      <c r="AA69" s="67">
        <v>2</v>
      </c>
      <c r="AB69" s="67">
        <v>2</v>
      </c>
      <c r="AC69" s="67">
        <v>5.6</v>
      </c>
      <c r="AD69" s="67">
        <v>2.6</v>
      </c>
      <c r="AE69" s="67">
        <v>1.2</v>
      </c>
      <c r="AF69" s="45">
        <v>0</v>
      </c>
      <c r="AG69" s="68">
        <v>14</v>
      </c>
      <c r="AH69" s="47">
        <f t="shared" si="2"/>
        <v>6.2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f>B67+B68+B69</f>
        <v>16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7">M67+M68+M69</f>
        <v>0</v>
      </c>
      <c r="N70" s="60">
        <f t="shared" si="7"/>
        <v>0</v>
      </c>
      <c r="O70" s="60">
        <f t="shared" si="7"/>
        <v>0</v>
      </c>
      <c r="P70" s="60">
        <f t="shared" si="7"/>
        <v>0</v>
      </c>
      <c r="Q70" s="60">
        <f t="shared" si="7"/>
        <v>17</v>
      </c>
      <c r="R70" s="60">
        <f t="shared" si="7"/>
        <v>44</v>
      </c>
      <c r="S70" s="60">
        <f t="shared" si="7"/>
        <v>49.699999999999996</v>
      </c>
      <c r="T70" s="60">
        <f t="shared" si="7"/>
        <v>59.699999999999996</v>
      </c>
      <c r="U70" s="60">
        <f t="shared" si="7"/>
        <v>68.2</v>
      </c>
      <c r="V70" s="60">
        <f t="shared" si="7"/>
        <v>47.6</v>
      </c>
      <c r="W70" s="60">
        <f t="shared" si="7"/>
        <v>47.6</v>
      </c>
      <c r="X70" s="60">
        <f t="shared" si="7"/>
        <v>24.5</v>
      </c>
      <c r="Y70" s="60">
        <f t="shared" si="7"/>
        <v>20.5</v>
      </c>
      <c r="Z70" s="60">
        <f t="shared" si="7"/>
        <v>21.4</v>
      </c>
      <c r="AA70" s="60">
        <v>21.4</v>
      </c>
      <c r="AB70" s="60">
        <f t="shared" si="7"/>
        <v>21.4</v>
      </c>
      <c r="AC70" s="60">
        <f t="shared" si="7"/>
        <v>50.6</v>
      </c>
      <c r="AD70" s="60">
        <f t="shared" si="7"/>
        <v>23.6</v>
      </c>
      <c r="AE70" s="60">
        <f t="shared" si="7"/>
        <v>4.5999999999999996</v>
      </c>
      <c r="AF70" s="60">
        <f t="shared" si="7"/>
        <v>0</v>
      </c>
      <c r="AG70" s="61">
        <f>SUM(AG67:AG69)</f>
        <v>106</v>
      </c>
      <c r="AH70" s="47">
        <f t="shared" si="2"/>
        <v>68.2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60</v>
      </c>
      <c r="C71" s="45">
        <v>59.4</v>
      </c>
      <c r="D71" s="45">
        <v>58.7</v>
      </c>
      <c r="E71" s="45">
        <v>53</v>
      </c>
      <c r="F71" s="45">
        <v>47.1</v>
      </c>
      <c r="G71" s="45">
        <v>46.5</v>
      </c>
      <c r="H71" s="45">
        <v>57</v>
      </c>
      <c r="I71" s="45">
        <v>55.1</v>
      </c>
      <c r="J71" s="45">
        <v>48</v>
      </c>
      <c r="K71" s="45">
        <v>40</v>
      </c>
      <c r="L71" s="45">
        <v>55</v>
      </c>
      <c r="M71" s="45">
        <v>60</v>
      </c>
      <c r="N71" s="45">
        <v>66</v>
      </c>
      <c r="O71" s="45">
        <v>68.2</v>
      </c>
      <c r="P71" s="45">
        <v>75.599999999999994</v>
      </c>
      <c r="Q71" s="45">
        <v>57</v>
      </c>
      <c r="R71" s="45">
        <v>64</v>
      </c>
      <c r="S71" s="45">
        <v>67.099999999999994</v>
      </c>
      <c r="T71" s="45">
        <v>50</v>
      </c>
      <c r="U71" s="45">
        <v>72.2</v>
      </c>
      <c r="V71" s="45">
        <v>63.7</v>
      </c>
      <c r="W71" s="45">
        <v>63.6</v>
      </c>
      <c r="X71" s="45">
        <v>67.900000000000006</v>
      </c>
      <c r="Y71" s="45">
        <v>62</v>
      </c>
      <c r="Z71" s="45">
        <v>50.9</v>
      </c>
      <c r="AA71" s="45">
        <v>74</v>
      </c>
      <c r="AB71" s="45">
        <v>36.6</v>
      </c>
      <c r="AC71" s="45">
        <v>57</v>
      </c>
      <c r="AD71" s="45">
        <v>60.5</v>
      </c>
      <c r="AE71" s="45">
        <v>61.2</v>
      </c>
      <c r="AF71" s="45">
        <v>55</v>
      </c>
      <c r="AG71" s="51"/>
      <c r="AH71" s="47">
        <f t="shared" si="2"/>
        <v>75.599999999999994</v>
      </c>
      <c r="AI71" s="48">
        <f t="shared" si="3"/>
        <v>36.6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5</v>
      </c>
      <c r="C73" s="65">
        <v>20</v>
      </c>
      <c r="D73" s="65">
        <v>0</v>
      </c>
      <c r="E73" s="65">
        <v>20</v>
      </c>
      <c r="F73" s="65">
        <v>126.5</v>
      </c>
      <c r="G73" s="65">
        <v>107.4</v>
      </c>
      <c r="H73" s="65">
        <v>130</v>
      </c>
      <c r="I73" s="65">
        <v>105.1</v>
      </c>
      <c r="J73" s="65">
        <v>230</v>
      </c>
      <c r="K73" s="65">
        <v>220</v>
      </c>
      <c r="L73" s="65">
        <v>232</v>
      </c>
      <c r="M73" s="65">
        <v>243</v>
      </c>
      <c r="N73" s="65">
        <v>241</v>
      </c>
      <c r="O73" s="65">
        <v>256</v>
      </c>
      <c r="P73" s="65">
        <v>256</v>
      </c>
      <c r="Q73" s="65">
        <v>217</v>
      </c>
      <c r="R73" s="65">
        <v>263</v>
      </c>
      <c r="S73" s="65">
        <v>280.3</v>
      </c>
      <c r="T73" s="65">
        <v>295</v>
      </c>
      <c r="U73" s="65">
        <v>270</v>
      </c>
      <c r="V73" s="65">
        <v>330</v>
      </c>
      <c r="W73" s="65">
        <v>324</v>
      </c>
      <c r="X73" s="65">
        <v>270</v>
      </c>
      <c r="Y73" s="65">
        <v>300</v>
      </c>
      <c r="Z73" s="65">
        <v>290</v>
      </c>
      <c r="AA73" s="65">
        <v>226</v>
      </c>
      <c r="AB73" s="65">
        <v>174</v>
      </c>
      <c r="AC73" s="65">
        <v>135</v>
      </c>
      <c r="AD73" s="65">
        <v>61.9</v>
      </c>
      <c r="AE73" s="65">
        <v>24.6</v>
      </c>
      <c r="AF73" s="65">
        <v>300</v>
      </c>
      <c r="AG73" s="75"/>
      <c r="AH73" s="47">
        <f t="shared" si="2"/>
        <v>330</v>
      </c>
      <c r="AI73" s="48">
        <f t="shared" si="3"/>
        <v>0</v>
      </c>
      <c r="AK73" s="49"/>
    </row>
    <row r="74" spans="1:40" x14ac:dyDescent="0.25">
      <c r="A74" s="53" t="s">
        <v>82</v>
      </c>
      <c r="B74" s="65">
        <v>6</v>
      </c>
      <c r="C74" s="65">
        <v>6</v>
      </c>
      <c r="D74" s="65">
        <v>6</v>
      </c>
      <c r="E74" s="76">
        <v>6</v>
      </c>
      <c r="F74" s="76">
        <v>6</v>
      </c>
      <c r="G74" s="76">
        <v>6</v>
      </c>
      <c r="H74" s="76">
        <v>10</v>
      </c>
      <c r="I74" s="76">
        <v>10</v>
      </c>
      <c r="J74" s="76">
        <v>10</v>
      </c>
      <c r="K74" s="76">
        <v>21</v>
      </c>
      <c r="L74" s="76">
        <v>51</v>
      </c>
      <c r="M74" s="76">
        <v>48.4</v>
      </c>
      <c r="N74" s="76">
        <v>53.6</v>
      </c>
      <c r="O74" s="76">
        <v>46.4</v>
      </c>
      <c r="P74" s="76">
        <v>55.3</v>
      </c>
      <c r="Q74" s="76">
        <v>53</v>
      </c>
      <c r="R74" s="76">
        <v>44</v>
      </c>
      <c r="S74" s="76">
        <v>54</v>
      </c>
      <c r="T74" s="76">
        <v>54</v>
      </c>
      <c r="U74" s="76">
        <v>54</v>
      </c>
      <c r="V74" s="76">
        <v>41.4</v>
      </c>
      <c r="W74" s="76">
        <v>41.4</v>
      </c>
      <c r="X74" s="76">
        <v>41.4</v>
      </c>
      <c r="Y74" s="65">
        <v>41</v>
      </c>
      <c r="Z74" s="65">
        <v>35</v>
      </c>
      <c r="AA74" s="65">
        <v>43.6</v>
      </c>
      <c r="AB74" s="65">
        <v>42.6</v>
      </c>
      <c r="AC74" s="65">
        <v>10</v>
      </c>
      <c r="AD74" s="65">
        <v>10</v>
      </c>
      <c r="AE74" s="65">
        <v>10</v>
      </c>
      <c r="AF74" s="65">
        <v>10</v>
      </c>
      <c r="AG74" s="75"/>
      <c r="AH74" s="47">
        <f t="shared" si="2"/>
        <v>55.3</v>
      </c>
      <c r="AI74" s="48">
        <f t="shared" si="3"/>
        <v>6</v>
      </c>
      <c r="AK74" s="49"/>
    </row>
    <row r="75" spans="1:40" x14ac:dyDescent="0.25">
      <c r="A75" s="53" t="s">
        <v>83</v>
      </c>
      <c r="B75" s="45">
        <v>0</v>
      </c>
      <c r="C75" s="45">
        <v>0</v>
      </c>
      <c r="D75" s="45">
        <v>0</v>
      </c>
      <c r="E75" s="45">
        <v>0</v>
      </c>
      <c r="F75" s="45">
        <v>28.3</v>
      </c>
      <c r="G75" s="45">
        <v>30.7</v>
      </c>
      <c r="H75" s="45">
        <v>27.2</v>
      </c>
      <c r="I75" s="45">
        <v>26.1</v>
      </c>
      <c r="J75" s="45">
        <v>0</v>
      </c>
      <c r="K75" s="45">
        <v>0</v>
      </c>
      <c r="L75" s="45">
        <v>0</v>
      </c>
      <c r="M75" s="45">
        <v>35.1</v>
      </c>
      <c r="N75" s="45">
        <v>38.799999999999997</v>
      </c>
      <c r="O75" s="45">
        <v>39</v>
      </c>
      <c r="P75" s="45">
        <v>36.700000000000003</v>
      </c>
      <c r="Q75" s="45">
        <v>36.700000000000003</v>
      </c>
      <c r="R75" s="45">
        <v>40</v>
      </c>
      <c r="S75" s="45">
        <v>41</v>
      </c>
      <c r="T75" s="45">
        <v>41</v>
      </c>
      <c r="U75" s="45">
        <v>41</v>
      </c>
      <c r="V75" s="45">
        <v>32.6</v>
      </c>
      <c r="W75" s="45">
        <v>32.6</v>
      </c>
      <c r="X75" s="45">
        <v>32.6</v>
      </c>
      <c r="Y75" s="45">
        <v>29.1</v>
      </c>
      <c r="Z75" s="45">
        <v>27.8</v>
      </c>
      <c r="AA75" s="45">
        <v>27.6</v>
      </c>
      <c r="AB75" s="45">
        <v>27.3</v>
      </c>
      <c r="AC75" s="45">
        <v>27.5</v>
      </c>
      <c r="AD75" s="45">
        <v>27.5</v>
      </c>
      <c r="AE75" s="45">
        <v>29.5</v>
      </c>
      <c r="AF75" s="45">
        <v>29.5</v>
      </c>
      <c r="AG75" s="75"/>
      <c r="AH75" s="47">
        <f t="shared" ref="AH75:AH118" si="8">MAX(B75:AF75)</f>
        <v>41</v>
      </c>
      <c r="AI75" s="48">
        <f t="shared" ref="AI75:AI118" si="9">MIN(B75:AF75)</f>
        <v>0</v>
      </c>
      <c r="AK75" s="49"/>
    </row>
    <row r="76" spans="1:40" x14ac:dyDescent="0.25">
      <c r="A76" s="53" t="s">
        <v>84</v>
      </c>
      <c r="B76" s="77">
        <v>8</v>
      </c>
      <c r="C76" s="77">
        <v>8</v>
      </c>
      <c r="D76" s="77">
        <v>8</v>
      </c>
      <c r="E76" s="77">
        <v>8</v>
      </c>
      <c r="F76" s="77">
        <v>8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/>
      <c r="AH76" s="47">
        <f t="shared" si="8"/>
        <v>8</v>
      </c>
      <c r="AI76" s="48">
        <f t="shared" si="9"/>
        <v>0</v>
      </c>
      <c r="AK76" s="49"/>
    </row>
    <row r="77" spans="1:40" ht="15.75" thickBot="1" x14ac:dyDescent="0.3">
      <c r="A77" s="53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8"/>
        <v>0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8"/>
        <v>0</v>
      </c>
      <c r="AI78" s="48">
        <f t="shared" si="9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8"/>
        <v>0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f t="shared" ref="B82:AF82" si="10">SUMIF(B71:B81,"&gt;0")</f>
        <v>79</v>
      </c>
      <c r="C82" s="60">
        <f t="shared" si="10"/>
        <v>93.4</v>
      </c>
      <c r="D82" s="60">
        <f t="shared" si="10"/>
        <v>72.7</v>
      </c>
      <c r="E82" s="60">
        <f t="shared" si="10"/>
        <v>87</v>
      </c>
      <c r="F82" s="60">
        <f t="shared" si="10"/>
        <v>215.9</v>
      </c>
      <c r="G82" s="60">
        <f t="shared" si="10"/>
        <v>190.6</v>
      </c>
      <c r="H82" s="60">
        <f t="shared" si="10"/>
        <v>224.2</v>
      </c>
      <c r="I82" s="60">
        <f t="shared" si="10"/>
        <v>196.29999999999998</v>
      </c>
      <c r="J82" s="60">
        <f t="shared" si="10"/>
        <v>288</v>
      </c>
      <c r="K82" s="60">
        <f t="shared" si="10"/>
        <v>281</v>
      </c>
      <c r="L82" s="60">
        <f t="shared" si="10"/>
        <v>338</v>
      </c>
      <c r="M82" s="60">
        <f t="shared" si="10"/>
        <v>386.5</v>
      </c>
      <c r="N82" s="60">
        <f t="shared" si="10"/>
        <v>399.40000000000003</v>
      </c>
      <c r="O82" s="60">
        <f t="shared" si="10"/>
        <v>409.59999999999997</v>
      </c>
      <c r="P82" s="60">
        <f t="shared" si="10"/>
        <v>423.6</v>
      </c>
      <c r="Q82" s="60">
        <f t="shared" si="10"/>
        <v>363.7</v>
      </c>
      <c r="R82" s="60">
        <f t="shared" si="10"/>
        <v>411</v>
      </c>
      <c r="S82" s="60">
        <f t="shared" si="10"/>
        <v>442.4</v>
      </c>
      <c r="T82" s="60">
        <f t="shared" si="10"/>
        <v>440</v>
      </c>
      <c r="U82" s="60">
        <f t="shared" si="10"/>
        <v>437.2</v>
      </c>
      <c r="V82" s="60">
        <f t="shared" si="10"/>
        <v>467.7</v>
      </c>
      <c r="W82" s="60">
        <f t="shared" si="10"/>
        <v>461.6</v>
      </c>
      <c r="X82" s="60">
        <f t="shared" si="10"/>
        <v>411.9</v>
      </c>
      <c r="Y82" s="60">
        <f t="shared" si="10"/>
        <v>432.1</v>
      </c>
      <c r="Z82" s="60">
        <f t="shared" si="10"/>
        <v>403.7</v>
      </c>
      <c r="AA82" s="60">
        <v>371.20000000000005</v>
      </c>
      <c r="AB82" s="60">
        <f t="shared" si="10"/>
        <v>280.5</v>
      </c>
      <c r="AC82" s="60">
        <f t="shared" si="10"/>
        <v>229.5</v>
      </c>
      <c r="AD82" s="60">
        <f t="shared" si="10"/>
        <v>159.9</v>
      </c>
      <c r="AE82" s="60">
        <f t="shared" si="10"/>
        <v>125.30000000000001</v>
      </c>
      <c r="AF82" s="60">
        <f t="shared" si="10"/>
        <v>394.5</v>
      </c>
      <c r="AG82" s="88">
        <f>SUM(AG71:AG81)</f>
        <v>0</v>
      </c>
      <c r="AH82" s="47">
        <f t="shared" si="8"/>
        <v>467.7</v>
      </c>
      <c r="AI82" s="48">
        <f t="shared" si="9"/>
        <v>72.7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>
        <v>0</v>
      </c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f t="shared" ref="B87:AG87" si="11">B48+B52+B70+B66+B82+B86</f>
        <v>1497.0400000000002</v>
      </c>
      <c r="C87" s="95">
        <f t="shared" si="11"/>
        <v>1436.4400000000003</v>
      </c>
      <c r="D87" s="95">
        <f t="shared" si="11"/>
        <v>1457.2400000000002</v>
      </c>
      <c r="E87" s="95">
        <f t="shared" si="11"/>
        <v>1423.6400000000003</v>
      </c>
      <c r="F87" s="95">
        <f t="shared" si="11"/>
        <v>1429.0400000000002</v>
      </c>
      <c r="G87" s="95">
        <f t="shared" si="11"/>
        <v>1400.24</v>
      </c>
      <c r="H87" s="95">
        <f t="shared" si="11"/>
        <v>1459.3400000000001</v>
      </c>
      <c r="I87" s="95">
        <f t="shared" si="11"/>
        <v>1369.64</v>
      </c>
      <c r="J87" s="95">
        <f t="shared" si="11"/>
        <v>1366.3400000000001</v>
      </c>
      <c r="K87" s="95">
        <f t="shared" si="11"/>
        <v>1378.74</v>
      </c>
      <c r="L87" s="95">
        <f t="shared" si="11"/>
        <v>1412.7400000000002</v>
      </c>
      <c r="M87" s="95">
        <f t="shared" si="11"/>
        <v>1432.2400000000002</v>
      </c>
      <c r="N87" s="95">
        <f t="shared" si="11"/>
        <v>1487.9400000000003</v>
      </c>
      <c r="O87" s="95">
        <f t="shared" si="11"/>
        <v>1525.24</v>
      </c>
      <c r="P87" s="95">
        <f t="shared" si="11"/>
        <v>1608.8400000000001</v>
      </c>
      <c r="Q87" s="95">
        <f t="shared" si="11"/>
        <v>1590.9400000000003</v>
      </c>
      <c r="R87" s="95">
        <f t="shared" si="11"/>
        <v>1653.94</v>
      </c>
      <c r="S87" s="95">
        <f t="shared" si="11"/>
        <v>1684.94</v>
      </c>
      <c r="T87" s="95">
        <f t="shared" si="11"/>
        <v>1634.7400000000002</v>
      </c>
      <c r="U87" s="95">
        <f t="shared" si="11"/>
        <v>1599.4400000000003</v>
      </c>
      <c r="V87" s="95">
        <f t="shared" si="11"/>
        <v>1564.3400000000001</v>
      </c>
      <c r="W87" s="95">
        <f t="shared" si="11"/>
        <v>1535.1400000000003</v>
      </c>
      <c r="X87" s="95">
        <f t="shared" si="11"/>
        <v>1487.3400000000001</v>
      </c>
      <c r="Y87" s="95">
        <f t="shared" si="11"/>
        <v>1463.5400000000004</v>
      </c>
      <c r="Z87" s="95">
        <f t="shared" si="11"/>
        <v>1563.4400000000003</v>
      </c>
      <c r="AA87" s="95">
        <v>1638.3400000000001</v>
      </c>
      <c r="AB87" s="95">
        <f t="shared" si="11"/>
        <v>1619.44</v>
      </c>
      <c r="AC87" s="95">
        <f t="shared" si="11"/>
        <v>1618.6399999999999</v>
      </c>
      <c r="AD87" s="95">
        <f t="shared" si="11"/>
        <v>1603.04</v>
      </c>
      <c r="AE87" s="95">
        <f t="shared" si="11"/>
        <v>1584.6399999999999</v>
      </c>
      <c r="AF87" s="95">
        <f t="shared" si="11"/>
        <v>1586.34</v>
      </c>
      <c r="AG87" s="61">
        <f t="shared" si="11"/>
        <v>2065.09</v>
      </c>
      <c r="AH87" s="47">
        <f>MAX(B87:AF87)</f>
        <v>1684.94</v>
      </c>
      <c r="AI87" s="48">
        <f>MIN(B87:AF87)</f>
        <v>1366.3400000000001</v>
      </c>
    </row>
    <row r="88" spans="1:40" ht="15.75" thickBot="1" x14ac:dyDescent="0.3">
      <c r="A88" s="96" t="s">
        <v>99</v>
      </c>
      <c r="B88" s="97"/>
      <c r="C88" s="97"/>
      <c r="D88" s="97"/>
      <c r="E88" s="97"/>
      <c r="F88" s="97"/>
      <c r="G88" s="97"/>
      <c r="H88" s="97"/>
      <c r="I88" s="97">
        <v>100</v>
      </c>
      <c r="J88" s="97">
        <v>100</v>
      </c>
      <c r="K88" s="97">
        <v>100</v>
      </c>
      <c r="L88" s="97">
        <v>100</v>
      </c>
      <c r="M88" s="97">
        <v>100</v>
      </c>
      <c r="N88" s="97">
        <v>100</v>
      </c>
      <c r="O88" s="97">
        <v>100</v>
      </c>
      <c r="P88" s="97"/>
      <c r="Q88" s="97"/>
      <c r="R88" s="97"/>
      <c r="S88" s="97"/>
      <c r="T88" s="97"/>
      <c r="U88" s="97"/>
      <c r="V88" s="97"/>
      <c r="W88" s="97"/>
      <c r="X88" s="97"/>
      <c r="Y88" s="97">
        <v>140</v>
      </c>
      <c r="Z88" s="97"/>
      <c r="AA88" s="97">
        <v>150</v>
      </c>
      <c r="AB88" s="97">
        <v>150</v>
      </c>
      <c r="AC88" s="97">
        <v>120</v>
      </c>
      <c r="AD88" s="97">
        <v>70</v>
      </c>
      <c r="AE88" s="97"/>
      <c r="AF88" s="97"/>
      <c r="AG88" s="88"/>
      <c r="AH88" s="47">
        <f t="shared" si="8"/>
        <v>150</v>
      </c>
      <c r="AI88" s="48">
        <f t="shared" si="9"/>
        <v>70</v>
      </c>
    </row>
    <row r="89" spans="1:40" ht="15.75" thickBot="1" x14ac:dyDescent="0.3">
      <c r="A89" s="74" t="s">
        <v>100</v>
      </c>
      <c r="B89" s="95">
        <f t="shared" ref="B89:AF89" si="12">B87+B88</f>
        <v>1497.0400000000002</v>
      </c>
      <c r="C89" s="95">
        <f t="shared" si="12"/>
        <v>1436.4400000000003</v>
      </c>
      <c r="D89" s="95">
        <f t="shared" si="12"/>
        <v>1457.2400000000002</v>
      </c>
      <c r="E89" s="95">
        <f t="shared" si="12"/>
        <v>1423.6400000000003</v>
      </c>
      <c r="F89" s="95">
        <f t="shared" si="12"/>
        <v>1429.0400000000002</v>
      </c>
      <c r="G89" s="95">
        <f t="shared" si="12"/>
        <v>1400.24</v>
      </c>
      <c r="H89" s="95">
        <f t="shared" si="12"/>
        <v>1459.3400000000001</v>
      </c>
      <c r="I89" s="95">
        <f t="shared" si="12"/>
        <v>1469.64</v>
      </c>
      <c r="J89" s="95">
        <f t="shared" si="12"/>
        <v>1466.3400000000001</v>
      </c>
      <c r="K89" s="95">
        <f t="shared" si="12"/>
        <v>1478.74</v>
      </c>
      <c r="L89" s="95">
        <f t="shared" si="12"/>
        <v>1512.7400000000002</v>
      </c>
      <c r="M89" s="95">
        <f t="shared" si="12"/>
        <v>1532.2400000000002</v>
      </c>
      <c r="N89" s="95">
        <f t="shared" si="12"/>
        <v>1587.9400000000003</v>
      </c>
      <c r="O89" s="95">
        <f t="shared" si="12"/>
        <v>1625.24</v>
      </c>
      <c r="P89" s="95">
        <f t="shared" si="12"/>
        <v>1608.8400000000001</v>
      </c>
      <c r="Q89" s="95">
        <f t="shared" si="12"/>
        <v>1590.9400000000003</v>
      </c>
      <c r="R89" s="95">
        <f t="shared" si="12"/>
        <v>1653.94</v>
      </c>
      <c r="S89" s="95">
        <f t="shared" si="12"/>
        <v>1684.94</v>
      </c>
      <c r="T89" s="95">
        <f t="shared" si="12"/>
        <v>1634.7400000000002</v>
      </c>
      <c r="U89" s="95">
        <f t="shared" si="12"/>
        <v>1599.4400000000003</v>
      </c>
      <c r="V89" s="95">
        <f t="shared" si="12"/>
        <v>1564.3400000000001</v>
      </c>
      <c r="W89" s="95">
        <f t="shared" si="12"/>
        <v>1535.1400000000003</v>
      </c>
      <c r="X89" s="95">
        <f t="shared" si="12"/>
        <v>1487.3400000000001</v>
      </c>
      <c r="Y89" s="95">
        <f t="shared" si="12"/>
        <v>1603.5400000000004</v>
      </c>
      <c r="Z89" s="95">
        <f t="shared" si="12"/>
        <v>1563.4400000000003</v>
      </c>
      <c r="AA89" s="95">
        <v>1788.3400000000001</v>
      </c>
      <c r="AB89" s="95">
        <f t="shared" si="12"/>
        <v>1769.44</v>
      </c>
      <c r="AC89" s="95">
        <f t="shared" si="12"/>
        <v>1738.6399999999999</v>
      </c>
      <c r="AD89" s="95">
        <f t="shared" si="12"/>
        <v>1673.04</v>
      </c>
      <c r="AE89" s="95">
        <f t="shared" si="12"/>
        <v>1584.6399999999999</v>
      </c>
      <c r="AF89" s="95">
        <f t="shared" si="12"/>
        <v>1586.34</v>
      </c>
      <c r="AG89" s="88">
        <f>AG86+AG82+AG70+AG66+AG48+AG88</f>
        <v>1526.99</v>
      </c>
      <c r="AH89" s="47">
        <f t="shared" si="8"/>
        <v>1788.3400000000001</v>
      </c>
      <c r="AI89" s="48">
        <f t="shared" si="9"/>
        <v>1400.24</v>
      </c>
    </row>
    <row r="90" spans="1:40" ht="15.75" thickBot="1" x14ac:dyDescent="0.3">
      <c r="A90" s="74" t="s">
        <v>101</v>
      </c>
      <c r="B90" s="95">
        <f t="shared" ref="B90:AF90" si="13">B89-B97</f>
        <v>1497.0400000000002</v>
      </c>
      <c r="C90" s="95">
        <f t="shared" si="13"/>
        <v>1436.4400000000003</v>
      </c>
      <c r="D90" s="95">
        <f t="shared" si="13"/>
        <v>1457.2400000000002</v>
      </c>
      <c r="E90" s="95">
        <f t="shared" si="13"/>
        <v>1423.6400000000003</v>
      </c>
      <c r="F90" s="95">
        <f t="shared" si="13"/>
        <v>1429.0400000000002</v>
      </c>
      <c r="G90" s="95">
        <f t="shared" si="13"/>
        <v>1400.24</v>
      </c>
      <c r="H90" s="95">
        <f t="shared" si="13"/>
        <v>1459.3400000000001</v>
      </c>
      <c r="I90" s="95">
        <f t="shared" si="13"/>
        <v>1469.64</v>
      </c>
      <c r="J90" s="95">
        <f t="shared" si="13"/>
        <v>1466.3400000000001</v>
      </c>
      <c r="K90" s="95">
        <f t="shared" si="13"/>
        <v>1478.74</v>
      </c>
      <c r="L90" s="95">
        <f t="shared" si="13"/>
        <v>1512.7400000000002</v>
      </c>
      <c r="M90" s="95">
        <f t="shared" si="13"/>
        <v>1532.2400000000002</v>
      </c>
      <c r="N90" s="95">
        <f t="shared" si="13"/>
        <v>1587.9400000000003</v>
      </c>
      <c r="O90" s="95">
        <f t="shared" si="13"/>
        <v>1625.24</v>
      </c>
      <c r="P90" s="95">
        <f t="shared" si="13"/>
        <v>1608.8400000000001</v>
      </c>
      <c r="Q90" s="95">
        <f t="shared" si="13"/>
        <v>1590.9400000000003</v>
      </c>
      <c r="R90" s="95">
        <f t="shared" si="13"/>
        <v>1653.94</v>
      </c>
      <c r="S90" s="95">
        <f t="shared" si="13"/>
        <v>1684.94</v>
      </c>
      <c r="T90" s="95">
        <f t="shared" si="13"/>
        <v>1634.7400000000002</v>
      </c>
      <c r="U90" s="95">
        <f t="shared" si="13"/>
        <v>1599.4400000000003</v>
      </c>
      <c r="V90" s="95">
        <f t="shared" si="13"/>
        <v>1564.3400000000001</v>
      </c>
      <c r="W90" s="95">
        <f t="shared" si="13"/>
        <v>1535.1400000000003</v>
      </c>
      <c r="X90" s="95">
        <f t="shared" si="13"/>
        <v>1487.3400000000001</v>
      </c>
      <c r="Y90" s="95">
        <f t="shared" si="13"/>
        <v>1603.5400000000004</v>
      </c>
      <c r="Z90" s="95">
        <f t="shared" si="13"/>
        <v>1563.4400000000003</v>
      </c>
      <c r="AA90" s="95">
        <v>1788.3400000000001</v>
      </c>
      <c r="AB90" s="95">
        <f t="shared" si="13"/>
        <v>1769.44</v>
      </c>
      <c r="AC90" s="95">
        <f t="shared" si="13"/>
        <v>1738.6399999999999</v>
      </c>
      <c r="AD90" s="95">
        <f t="shared" si="13"/>
        <v>1673.04</v>
      </c>
      <c r="AE90" s="95">
        <f t="shared" si="13"/>
        <v>1584.6399999999999</v>
      </c>
      <c r="AF90" s="95">
        <f t="shared" si="13"/>
        <v>1586.34</v>
      </c>
      <c r="AG90" s="88"/>
      <c r="AH90" s="47">
        <f t="shared" si="8"/>
        <v>1788.3400000000001</v>
      </c>
      <c r="AI90" s="48">
        <f t="shared" si="9"/>
        <v>1400.24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>
        <v>0</v>
      </c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f t="shared" ref="B98:AF98" si="14">B82-B97</f>
        <v>79</v>
      </c>
      <c r="C98" s="60">
        <f t="shared" si="14"/>
        <v>93.4</v>
      </c>
      <c r="D98" s="60">
        <f t="shared" si="14"/>
        <v>72.7</v>
      </c>
      <c r="E98" s="60">
        <f t="shared" si="14"/>
        <v>87</v>
      </c>
      <c r="F98" s="60">
        <f t="shared" si="14"/>
        <v>215.9</v>
      </c>
      <c r="G98" s="60">
        <f t="shared" si="14"/>
        <v>190.6</v>
      </c>
      <c r="H98" s="60">
        <f t="shared" si="14"/>
        <v>224.2</v>
      </c>
      <c r="I98" s="60">
        <f t="shared" si="14"/>
        <v>196.29999999999998</v>
      </c>
      <c r="J98" s="60">
        <f t="shared" si="14"/>
        <v>288</v>
      </c>
      <c r="K98" s="60">
        <f t="shared" si="14"/>
        <v>281</v>
      </c>
      <c r="L98" s="60">
        <f t="shared" si="14"/>
        <v>338</v>
      </c>
      <c r="M98" s="60">
        <f t="shared" si="14"/>
        <v>386.5</v>
      </c>
      <c r="N98" s="60">
        <f t="shared" si="14"/>
        <v>399.40000000000003</v>
      </c>
      <c r="O98" s="60">
        <f t="shared" si="14"/>
        <v>409.59999999999997</v>
      </c>
      <c r="P98" s="60">
        <f t="shared" si="14"/>
        <v>423.6</v>
      </c>
      <c r="Q98" s="60">
        <f t="shared" si="14"/>
        <v>363.7</v>
      </c>
      <c r="R98" s="60">
        <f t="shared" si="14"/>
        <v>411</v>
      </c>
      <c r="S98" s="60">
        <f t="shared" si="14"/>
        <v>442.4</v>
      </c>
      <c r="T98" s="60">
        <f t="shared" si="14"/>
        <v>440</v>
      </c>
      <c r="U98" s="60">
        <f t="shared" si="14"/>
        <v>437.2</v>
      </c>
      <c r="V98" s="60">
        <f t="shared" si="14"/>
        <v>467.7</v>
      </c>
      <c r="W98" s="60">
        <f t="shared" si="14"/>
        <v>461.6</v>
      </c>
      <c r="X98" s="60">
        <f t="shared" si="14"/>
        <v>411.9</v>
      </c>
      <c r="Y98" s="60">
        <f t="shared" si="14"/>
        <v>432.1</v>
      </c>
      <c r="Z98" s="60">
        <f t="shared" si="14"/>
        <v>403.7</v>
      </c>
      <c r="AA98" s="60">
        <v>371.20000000000005</v>
      </c>
      <c r="AB98" s="60">
        <f t="shared" si="14"/>
        <v>280.5</v>
      </c>
      <c r="AC98" s="60">
        <f t="shared" si="14"/>
        <v>229.5</v>
      </c>
      <c r="AD98" s="60">
        <f t="shared" si="14"/>
        <v>159.9</v>
      </c>
      <c r="AE98" s="60">
        <f t="shared" si="14"/>
        <v>125.30000000000001</v>
      </c>
      <c r="AF98" s="60">
        <f t="shared" si="14"/>
        <v>394.5</v>
      </c>
      <c r="AG98" s="88"/>
      <c r="AH98" s="47">
        <f t="shared" si="8"/>
        <v>467.7</v>
      </c>
      <c r="AI98" s="48">
        <f t="shared" si="9"/>
        <v>72.7</v>
      </c>
    </row>
    <row r="99" spans="1:37" x14ac:dyDescent="0.25">
      <c r="A99" s="100" t="s">
        <v>107</v>
      </c>
      <c r="B99" s="101">
        <v>49.929000000000002</v>
      </c>
      <c r="C99" s="101">
        <v>49.951999999999998</v>
      </c>
      <c r="D99" s="101">
        <v>49.97</v>
      </c>
      <c r="E99" s="101">
        <v>50.023000000000003</v>
      </c>
      <c r="F99" s="101">
        <v>49.987000000000002</v>
      </c>
      <c r="G99" s="101">
        <v>49.956000000000003</v>
      </c>
      <c r="H99" s="101">
        <v>50.015000000000001</v>
      </c>
      <c r="I99" s="101">
        <v>50.029000000000003</v>
      </c>
      <c r="J99" s="101">
        <v>50.054000000000002</v>
      </c>
      <c r="K99" s="101">
        <v>50.014000000000003</v>
      </c>
      <c r="L99" s="101">
        <v>50.06</v>
      </c>
      <c r="M99" s="101">
        <v>50.042000000000002</v>
      </c>
      <c r="N99" s="101">
        <v>49.906999999999996</v>
      </c>
      <c r="O99" s="101">
        <v>49.835000000000001</v>
      </c>
      <c r="P99" s="101">
        <v>50.078000000000003</v>
      </c>
      <c r="Q99" s="101">
        <v>49.942999999999998</v>
      </c>
      <c r="R99" s="101">
        <v>49.923000000000002</v>
      </c>
      <c r="S99" s="101">
        <v>48.8</v>
      </c>
      <c r="T99" s="101">
        <v>49.996000000000002</v>
      </c>
      <c r="U99" s="101">
        <v>50.03</v>
      </c>
      <c r="V99" s="101">
        <v>50.1</v>
      </c>
      <c r="W99" s="101">
        <v>50.1</v>
      </c>
      <c r="X99" s="101">
        <v>50.05</v>
      </c>
      <c r="Y99" s="101">
        <v>50.08</v>
      </c>
      <c r="Z99" s="101">
        <v>50.1</v>
      </c>
      <c r="AA99" s="101">
        <v>49.96</v>
      </c>
      <c r="AB99" s="101">
        <v>50.073999999999998</v>
      </c>
      <c r="AC99" s="101">
        <v>49.978000000000002</v>
      </c>
      <c r="AD99" s="101">
        <v>50.064999999999998</v>
      </c>
      <c r="AE99" s="101">
        <v>49.985999999999997</v>
      </c>
      <c r="AF99" s="101">
        <v>49.875</v>
      </c>
      <c r="AG99" s="102"/>
      <c r="AH99" s="47">
        <f t="shared" si="8"/>
        <v>50.1</v>
      </c>
      <c r="AI99" s="48">
        <f t="shared" si="9"/>
        <v>48.8</v>
      </c>
    </row>
    <row r="100" spans="1:37" x14ac:dyDescent="0.25">
      <c r="A100" s="103" t="s">
        <v>108</v>
      </c>
      <c r="B100" s="65">
        <v>123.8</v>
      </c>
      <c r="C100" s="65">
        <v>121.5</v>
      </c>
      <c r="D100" s="65">
        <v>123</v>
      </c>
      <c r="E100" s="65">
        <v>124.1</v>
      </c>
      <c r="F100" s="65">
        <v>125</v>
      </c>
      <c r="G100" s="65">
        <v>123.6</v>
      </c>
      <c r="H100" s="65">
        <v>121.5</v>
      </c>
      <c r="I100" s="65">
        <v>125.1</v>
      </c>
      <c r="J100" s="65">
        <v>122.9</v>
      </c>
      <c r="K100" s="65">
        <v>121.2</v>
      </c>
      <c r="L100" s="65">
        <v>122.9</v>
      </c>
      <c r="M100" s="65">
        <v>121.2</v>
      </c>
      <c r="N100" s="65">
        <v>122.4</v>
      </c>
      <c r="O100" s="65">
        <v>120.5</v>
      </c>
      <c r="P100" s="65">
        <v>119.5</v>
      </c>
      <c r="Q100" s="65">
        <v>122.6</v>
      </c>
      <c r="R100" s="65">
        <v>123.4</v>
      </c>
      <c r="S100" s="65">
        <v>121.5</v>
      </c>
      <c r="T100" s="65">
        <v>123.4</v>
      </c>
      <c r="U100" s="65">
        <v>122.7</v>
      </c>
      <c r="V100" s="65">
        <v>124.6</v>
      </c>
      <c r="W100" s="65">
        <v>125</v>
      </c>
      <c r="X100" s="65">
        <v>127.3</v>
      </c>
      <c r="Y100" s="65">
        <v>125.6</v>
      </c>
      <c r="Z100" s="65">
        <v>124</v>
      </c>
      <c r="AA100" s="65">
        <v>124.1</v>
      </c>
      <c r="AB100" s="65">
        <v>125.8</v>
      </c>
      <c r="AC100" s="65">
        <v>125.8</v>
      </c>
      <c r="AD100" s="65">
        <v>125.8</v>
      </c>
      <c r="AE100" s="65">
        <v>125.8</v>
      </c>
      <c r="AF100" s="65">
        <v>125.8</v>
      </c>
      <c r="AG100" s="104"/>
      <c r="AH100" s="47">
        <f t="shared" si="8"/>
        <v>127.3</v>
      </c>
      <c r="AI100" s="48">
        <f t="shared" si="9"/>
        <v>119.5</v>
      </c>
    </row>
    <row r="101" spans="1:37" x14ac:dyDescent="0.25">
      <c r="A101" s="103" t="s">
        <v>109</v>
      </c>
      <c r="B101" s="65">
        <v>128.5</v>
      </c>
      <c r="C101" s="65">
        <v>128.30000000000001</v>
      </c>
      <c r="D101" s="65">
        <v>129</v>
      </c>
      <c r="E101" s="65">
        <v>129.4</v>
      </c>
      <c r="F101" s="65">
        <v>129.9</v>
      </c>
      <c r="G101" s="65">
        <v>129.1</v>
      </c>
      <c r="H101" s="65">
        <v>127.5</v>
      </c>
      <c r="I101" s="65">
        <v>128.5</v>
      </c>
      <c r="J101" s="65">
        <v>127.3</v>
      </c>
      <c r="K101" s="65">
        <v>126.3</v>
      </c>
      <c r="L101" s="65">
        <v>126.6</v>
      </c>
      <c r="M101" s="65">
        <v>125.4</v>
      </c>
      <c r="N101" s="65">
        <v>125.9</v>
      </c>
      <c r="O101" s="65">
        <v>124.7</v>
      </c>
      <c r="P101" s="65">
        <v>124.5</v>
      </c>
      <c r="Q101" s="65">
        <v>126.7</v>
      </c>
      <c r="R101" s="65">
        <v>127.5</v>
      </c>
      <c r="S101" s="65">
        <v>126.5</v>
      </c>
      <c r="T101" s="65">
        <v>127.9</v>
      </c>
      <c r="U101" s="65">
        <v>127.1</v>
      </c>
      <c r="V101" s="65">
        <v>128.80000000000001</v>
      </c>
      <c r="W101" s="65">
        <v>128.80000000000001</v>
      </c>
      <c r="X101" s="65">
        <v>130.4</v>
      </c>
      <c r="Y101" s="65">
        <v>125.6</v>
      </c>
      <c r="Z101" s="65">
        <v>126.8</v>
      </c>
      <c r="AA101" s="65">
        <v>126.6</v>
      </c>
      <c r="AB101" s="65">
        <v>128.69999999999999</v>
      </c>
      <c r="AC101" s="65">
        <v>128.69999999999999</v>
      </c>
      <c r="AD101" s="65">
        <v>128.69999999999999</v>
      </c>
      <c r="AE101" s="65">
        <v>128.69999999999999</v>
      </c>
      <c r="AF101" s="65">
        <v>128.69999999999999</v>
      </c>
      <c r="AG101" s="104"/>
      <c r="AH101" s="47">
        <f t="shared" si="8"/>
        <v>130.4</v>
      </c>
      <c r="AI101" s="48">
        <f t="shared" si="9"/>
        <v>124.5</v>
      </c>
    </row>
    <row r="102" spans="1:37" x14ac:dyDescent="0.25">
      <c r="A102" s="103" t="s">
        <v>110</v>
      </c>
      <c r="B102" s="65">
        <v>125.7</v>
      </c>
      <c r="C102" s="65">
        <v>128.6</v>
      </c>
      <c r="D102" s="65">
        <v>128</v>
      </c>
      <c r="E102" s="65">
        <v>131.69999999999999</v>
      </c>
      <c r="F102" s="65">
        <v>132.1</v>
      </c>
      <c r="G102" s="65">
        <v>124.5</v>
      </c>
      <c r="H102" s="65">
        <v>126.7</v>
      </c>
      <c r="I102" s="65">
        <v>129.1</v>
      </c>
      <c r="J102" s="65">
        <v>125.5</v>
      </c>
      <c r="K102" s="65">
        <v>125.6</v>
      </c>
      <c r="L102" s="65">
        <v>127.2</v>
      </c>
      <c r="M102" s="65">
        <v>125.5</v>
      </c>
      <c r="N102" s="65">
        <v>123</v>
      </c>
      <c r="O102" s="65">
        <v>122.4</v>
      </c>
      <c r="P102" s="65">
        <v>122.9</v>
      </c>
      <c r="Q102" s="65">
        <v>128.30000000000001</v>
      </c>
      <c r="R102" s="65">
        <v>127.4</v>
      </c>
      <c r="S102" s="65">
        <v>124.2</v>
      </c>
      <c r="T102" s="65">
        <v>127.8</v>
      </c>
      <c r="U102" s="65">
        <v>128.5</v>
      </c>
      <c r="V102" s="65">
        <v>130.69999999999999</v>
      </c>
      <c r="W102" s="65">
        <v>130.69999999999999</v>
      </c>
      <c r="X102" s="65">
        <v>129.4</v>
      </c>
      <c r="Y102" s="65">
        <v>127.1</v>
      </c>
      <c r="Z102" s="65">
        <v>125.8</v>
      </c>
      <c r="AA102" s="65">
        <v>126.5</v>
      </c>
      <c r="AB102" s="65">
        <v>129</v>
      </c>
      <c r="AC102" s="65">
        <v>129</v>
      </c>
      <c r="AD102" s="65">
        <v>129</v>
      </c>
      <c r="AE102" s="65">
        <v>129</v>
      </c>
      <c r="AF102" s="65">
        <v>129</v>
      </c>
      <c r="AG102" s="104"/>
      <c r="AH102" s="47">
        <f t="shared" si="8"/>
        <v>132.1</v>
      </c>
      <c r="AI102" s="48">
        <f t="shared" si="9"/>
        <v>122.4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7"/>
      <c r="AH104" s="47">
        <f t="shared" si="8"/>
        <v>0</v>
      </c>
      <c r="AI104" s="48">
        <f t="shared" si="9"/>
        <v>0</v>
      </c>
    </row>
    <row r="105" spans="1:37" x14ac:dyDescent="0.25">
      <c r="A105" s="103" t="s">
        <v>113</v>
      </c>
      <c r="B105" s="65">
        <v>125.2</v>
      </c>
      <c r="C105" s="65">
        <v>131.19999999999999</v>
      </c>
      <c r="D105" s="65">
        <v>134</v>
      </c>
      <c r="E105" s="65">
        <v>135.9</v>
      </c>
      <c r="F105" s="65">
        <v>135.30000000000001</v>
      </c>
      <c r="G105" s="65">
        <v>132.69999999999999</v>
      </c>
      <c r="H105" s="65">
        <v>129.5</v>
      </c>
      <c r="I105" s="65">
        <v>128.5</v>
      </c>
      <c r="J105" s="65"/>
      <c r="K105" s="65"/>
      <c r="L105" s="65"/>
      <c r="M105" s="65"/>
      <c r="N105" s="65">
        <v>128.19999999999999</v>
      </c>
      <c r="O105" s="65">
        <v>127.5</v>
      </c>
      <c r="P105" s="65">
        <v>126.9</v>
      </c>
      <c r="Q105" s="65">
        <v>126.5</v>
      </c>
      <c r="R105" s="65">
        <v>130.69999999999999</v>
      </c>
      <c r="S105" s="65">
        <v>130.1</v>
      </c>
      <c r="T105" s="65">
        <v>131.1</v>
      </c>
      <c r="U105" s="65">
        <v>129.4</v>
      </c>
      <c r="V105" s="65">
        <v>132.1</v>
      </c>
      <c r="W105" s="65">
        <v>132.1</v>
      </c>
      <c r="X105" s="65">
        <v>129.19999999999999</v>
      </c>
      <c r="Y105" s="65">
        <v>132.30000000000001</v>
      </c>
      <c r="Z105" s="65">
        <v>132</v>
      </c>
      <c r="AA105" s="65">
        <v>126.8</v>
      </c>
      <c r="AB105" s="65">
        <v>125</v>
      </c>
      <c r="AC105" s="65">
        <v>125</v>
      </c>
      <c r="AD105" s="65">
        <v>125</v>
      </c>
      <c r="AE105" s="65">
        <v>125</v>
      </c>
      <c r="AF105" s="65">
        <v>125</v>
      </c>
      <c r="AG105" s="104"/>
      <c r="AH105" s="47">
        <f t="shared" si="8"/>
        <v>135.9</v>
      </c>
      <c r="AI105" s="48">
        <f t="shared" si="9"/>
        <v>125</v>
      </c>
    </row>
    <row r="106" spans="1:37" ht="15.75" thickBot="1" x14ac:dyDescent="0.3">
      <c r="A106" s="103" t="s">
        <v>114</v>
      </c>
      <c r="B106" s="92">
        <v>64.599999999999994</v>
      </c>
      <c r="C106" s="92">
        <v>64.3</v>
      </c>
      <c r="D106" s="92">
        <v>64.7</v>
      </c>
      <c r="E106" s="92">
        <v>65.3</v>
      </c>
      <c r="F106" s="92">
        <v>65.2</v>
      </c>
      <c r="G106" s="92">
        <v>64.599999999999994</v>
      </c>
      <c r="H106" s="92">
        <v>63.9</v>
      </c>
      <c r="I106" s="92">
        <v>64.400000000000006</v>
      </c>
      <c r="J106" s="92">
        <v>63.6</v>
      </c>
      <c r="K106" s="92">
        <v>63.2</v>
      </c>
      <c r="L106" s="92">
        <v>63.3</v>
      </c>
      <c r="M106" s="92">
        <v>62.7</v>
      </c>
      <c r="N106" s="92">
        <v>63.1</v>
      </c>
      <c r="O106" s="92">
        <v>62</v>
      </c>
      <c r="P106" s="92">
        <v>62.4</v>
      </c>
      <c r="Q106" s="92">
        <v>63.2</v>
      </c>
      <c r="R106" s="92">
        <v>64</v>
      </c>
      <c r="S106" s="92">
        <v>63.4</v>
      </c>
      <c r="T106" s="92">
        <v>64.3</v>
      </c>
      <c r="U106" s="92">
        <v>63.7</v>
      </c>
      <c r="V106" s="92">
        <v>64.400000000000006</v>
      </c>
      <c r="W106" s="92">
        <v>64.400000000000006</v>
      </c>
      <c r="X106" s="92">
        <v>65.2</v>
      </c>
      <c r="Y106" s="92">
        <v>63.9</v>
      </c>
      <c r="Z106" s="92">
        <v>63</v>
      </c>
      <c r="AA106" s="92">
        <v>63</v>
      </c>
      <c r="AB106" s="92">
        <v>64.3</v>
      </c>
      <c r="AC106" s="92">
        <v>64.3</v>
      </c>
      <c r="AD106" s="92">
        <v>64.3</v>
      </c>
      <c r="AE106" s="92">
        <v>65.400000000000006</v>
      </c>
      <c r="AF106" s="92">
        <v>65.400000000000006</v>
      </c>
      <c r="AG106" s="108"/>
      <c r="AH106" s="47">
        <f t="shared" si="8"/>
        <v>65.400000000000006</v>
      </c>
      <c r="AI106" s="48">
        <f t="shared" si="9"/>
        <v>62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 t="s">
        <v>115</v>
      </c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f t="shared" ref="B108:AF108" si="15">SUM(B18,B24,B27:B28,B56,B58:B59,B61,B63,B109:B113,B136,B142,B148,B157,B159,B171,B178,B181:B182,B189,B191,B193,B197:B199,B201:B203,B208,B214:B215,B217:B219,B227,B232)</f>
        <v>223.29999999999998</v>
      </c>
      <c r="C108" s="111">
        <f t="shared" si="15"/>
        <v>64.339999999999975</v>
      </c>
      <c r="D108" s="111">
        <f t="shared" si="15"/>
        <v>79.139999999999986</v>
      </c>
      <c r="E108" s="111">
        <f t="shared" si="15"/>
        <v>78.739999999999952</v>
      </c>
      <c r="F108" s="111">
        <f t="shared" si="15"/>
        <v>81.339999999999975</v>
      </c>
      <c r="G108" s="111">
        <f t="shared" si="15"/>
        <v>100.73999999999997</v>
      </c>
      <c r="H108" s="111">
        <f t="shared" si="15"/>
        <v>129.94000000000003</v>
      </c>
      <c r="I108" s="111">
        <f t="shared" si="15"/>
        <v>151.34000000000003</v>
      </c>
      <c r="J108" s="111">
        <f t="shared" si="15"/>
        <v>208.74</v>
      </c>
      <c r="K108" s="111">
        <f t="shared" si="15"/>
        <v>277.24</v>
      </c>
      <c r="L108" s="111">
        <f t="shared" si="15"/>
        <v>255.73999999999998</v>
      </c>
      <c r="M108" s="111">
        <f t="shared" si="15"/>
        <v>249.44</v>
      </c>
      <c r="N108" s="111">
        <f t="shared" si="15"/>
        <v>235.23999999999998</v>
      </c>
      <c r="O108" s="111">
        <f t="shared" si="15"/>
        <v>236.13999999999996</v>
      </c>
      <c r="P108" s="111">
        <v>42</v>
      </c>
      <c r="Q108" s="111">
        <f t="shared" si="15"/>
        <v>229.10000000000002</v>
      </c>
      <c r="R108" s="111">
        <f t="shared" si="15"/>
        <v>226</v>
      </c>
      <c r="S108" s="111">
        <f t="shared" si="15"/>
        <v>202.4</v>
      </c>
      <c r="T108" s="111">
        <f t="shared" si="15"/>
        <v>199</v>
      </c>
      <c r="U108" s="111">
        <f t="shared" si="15"/>
        <v>214</v>
      </c>
      <c r="V108" s="111">
        <f t="shared" si="15"/>
        <v>225.2</v>
      </c>
      <c r="W108" s="111">
        <f t="shared" si="15"/>
        <v>218.8</v>
      </c>
      <c r="X108" s="111">
        <f t="shared" si="15"/>
        <v>228.49999999999997</v>
      </c>
      <c r="Y108" s="111">
        <f t="shared" si="15"/>
        <v>273.10000000000002</v>
      </c>
      <c r="Z108" s="111">
        <f t="shared" si="15"/>
        <v>296.39999999999998</v>
      </c>
      <c r="AA108" s="111">
        <v>392.19708333333335</v>
      </c>
      <c r="AB108" s="111">
        <f t="shared" si="15"/>
        <v>275.90000000000003</v>
      </c>
      <c r="AC108" s="111">
        <f t="shared" si="15"/>
        <v>259.5</v>
      </c>
      <c r="AD108" s="111">
        <f t="shared" si="15"/>
        <v>214.67</v>
      </c>
      <c r="AE108" s="111">
        <f t="shared" si="15"/>
        <v>171.3</v>
      </c>
      <c r="AF108" s="111">
        <f t="shared" si="15"/>
        <v>130.9</v>
      </c>
      <c r="AG108" s="112"/>
      <c r="AH108" s="47">
        <f t="shared" si="8"/>
        <v>392.19708333333335</v>
      </c>
      <c r="AI108" s="48">
        <f t="shared" si="9"/>
        <v>42</v>
      </c>
    </row>
    <row r="109" spans="1:37" x14ac:dyDescent="0.25">
      <c r="A109" s="100" t="s">
        <v>117</v>
      </c>
      <c r="B109" s="113">
        <v>36</v>
      </c>
      <c r="C109" s="113">
        <v>43.4</v>
      </c>
      <c r="D109" s="113">
        <v>53</v>
      </c>
      <c r="E109" s="113">
        <v>51.2</v>
      </c>
      <c r="F109" s="113">
        <v>50.5</v>
      </c>
      <c r="G109" s="113">
        <v>50.4</v>
      </c>
      <c r="H109" s="113">
        <v>51</v>
      </c>
      <c r="I109" s="113">
        <v>64.900000000000006</v>
      </c>
      <c r="J109" s="113">
        <v>65.599999999999994</v>
      </c>
      <c r="K109" s="113">
        <v>74.2</v>
      </c>
      <c r="L109" s="113">
        <v>71.8</v>
      </c>
      <c r="M109" s="113">
        <v>73.8</v>
      </c>
      <c r="N109" s="113">
        <v>65.2</v>
      </c>
      <c r="O109" s="113">
        <v>63.9</v>
      </c>
      <c r="P109" s="113">
        <v>50.4</v>
      </c>
      <c r="Q109" s="113">
        <v>44.3</v>
      </c>
      <c r="R109" s="113">
        <v>33.6</v>
      </c>
      <c r="S109" s="113">
        <v>23.1</v>
      </c>
      <c r="T109" s="113">
        <v>28</v>
      </c>
      <c r="U109" s="113">
        <v>49</v>
      </c>
      <c r="V109" s="113">
        <v>38.4</v>
      </c>
      <c r="W109" s="113">
        <v>32</v>
      </c>
      <c r="X109" s="113">
        <v>27.7</v>
      </c>
      <c r="Y109" s="113">
        <v>40.6</v>
      </c>
      <c r="Z109" s="113">
        <v>44.9</v>
      </c>
      <c r="AA109" s="113">
        <v>49.2</v>
      </c>
      <c r="AB109" s="113">
        <v>44.9</v>
      </c>
      <c r="AC109" s="113">
        <v>42.5</v>
      </c>
      <c r="AD109" s="113">
        <v>41.3</v>
      </c>
      <c r="AE109" s="113">
        <v>28.3</v>
      </c>
      <c r="AF109" s="113"/>
      <c r="AG109" s="114">
        <v>75</v>
      </c>
      <c r="AH109" s="47">
        <f t="shared" si="8"/>
        <v>74.2</v>
      </c>
      <c r="AI109" s="48">
        <f t="shared" si="9"/>
        <v>23.1</v>
      </c>
    </row>
    <row r="110" spans="1:37" x14ac:dyDescent="0.25">
      <c r="A110" s="103" t="s">
        <v>118</v>
      </c>
      <c r="B110" s="115">
        <v>55.1</v>
      </c>
      <c r="C110" s="115">
        <v>72.8</v>
      </c>
      <c r="D110" s="115">
        <v>89</v>
      </c>
      <c r="E110" s="115">
        <v>84.9</v>
      </c>
      <c r="F110" s="115">
        <v>84.3</v>
      </c>
      <c r="G110" s="115">
        <v>83.5</v>
      </c>
      <c r="H110" s="115">
        <v>79.2</v>
      </c>
      <c r="I110" s="115">
        <v>104.4</v>
      </c>
      <c r="J110" s="115">
        <v>103.2</v>
      </c>
      <c r="K110" s="115">
        <v>108</v>
      </c>
      <c r="L110" s="115">
        <v>106.6</v>
      </c>
      <c r="M110" s="115">
        <v>108</v>
      </c>
      <c r="N110" s="115">
        <v>95.7</v>
      </c>
      <c r="O110" s="115">
        <v>98.6</v>
      </c>
      <c r="P110" s="115">
        <v>84.9</v>
      </c>
      <c r="Q110" s="115">
        <v>77.2</v>
      </c>
      <c r="R110" s="115">
        <v>62.2</v>
      </c>
      <c r="S110" s="115">
        <v>41.9</v>
      </c>
      <c r="T110" s="115">
        <v>63</v>
      </c>
      <c r="U110" s="115">
        <v>79</v>
      </c>
      <c r="V110" s="115">
        <v>63</v>
      </c>
      <c r="W110" s="115">
        <v>63</v>
      </c>
      <c r="X110" s="115">
        <v>38.6</v>
      </c>
      <c r="Y110" s="115">
        <v>56</v>
      </c>
      <c r="Z110" s="115">
        <v>62.5</v>
      </c>
      <c r="AA110" s="115">
        <v>68.900000000000006</v>
      </c>
      <c r="AB110" s="115">
        <v>63.1</v>
      </c>
      <c r="AC110" s="115">
        <v>66.3</v>
      </c>
      <c r="AD110" s="115">
        <v>63.2</v>
      </c>
      <c r="AE110" s="115">
        <v>47.1</v>
      </c>
      <c r="AF110" s="115"/>
      <c r="AG110" s="114">
        <v>240</v>
      </c>
      <c r="AH110" s="47">
        <f t="shared" si="8"/>
        <v>108</v>
      </c>
      <c r="AI110" s="48">
        <f t="shared" si="9"/>
        <v>38.6</v>
      </c>
    </row>
    <row r="111" spans="1:37" x14ac:dyDescent="0.25">
      <c r="A111" s="103" t="s">
        <v>119</v>
      </c>
      <c r="B111" s="115">
        <v>-66</v>
      </c>
      <c r="C111" s="115">
        <v>-145</v>
      </c>
      <c r="D111" s="115">
        <v>-167</v>
      </c>
      <c r="E111" s="115">
        <f>-78.3-84.2</f>
        <v>-162.5</v>
      </c>
      <c r="F111" s="115">
        <f>-75-80.9</f>
        <v>-155.9</v>
      </c>
      <c r="G111" s="115">
        <f>-69-74.2</f>
        <v>-143.19999999999999</v>
      </c>
      <c r="H111" s="115">
        <f>-55-59.6</f>
        <v>-114.6</v>
      </c>
      <c r="I111" s="115">
        <f>-61-65.9</f>
        <v>-126.9</v>
      </c>
      <c r="J111" s="115">
        <f>-58.6-64</f>
        <v>-122.6</v>
      </c>
      <c r="K111" s="115">
        <v>-63</v>
      </c>
      <c r="L111" s="115">
        <v>-94</v>
      </c>
      <c r="M111" s="115">
        <v>-102</v>
      </c>
      <c r="N111" s="115">
        <v>-100</v>
      </c>
      <c r="O111" s="115">
        <v>-107.3</v>
      </c>
      <c r="P111" s="115">
        <v>-103</v>
      </c>
      <c r="Q111" s="115">
        <v>-90</v>
      </c>
      <c r="R111" s="115">
        <v>-80</v>
      </c>
      <c r="S111" s="115">
        <f>-51.4-39.5</f>
        <v>-90.9</v>
      </c>
      <c r="T111" s="115">
        <f>-62.1-43.5</f>
        <v>-105.6</v>
      </c>
      <c r="U111" s="115">
        <f>-64.2-49</f>
        <v>-113.2</v>
      </c>
      <c r="V111" s="115">
        <f>-51.2-40.5</f>
        <v>-91.7</v>
      </c>
      <c r="W111" s="115">
        <f>-51.2-40.5</f>
        <v>-91.7</v>
      </c>
      <c r="X111" s="115">
        <f>-27.6-17.6</f>
        <v>-45.2</v>
      </c>
      <c r="Y111" s="115">
        <f>-15-10.3</f>
        <v>-25.3</v>
      </c>
      <c r="Z111" s="115">
        <f>-14.4-9</f>
        <v>-23.4</v>
      </c>
      <c r="AA111" s="115">
        <v>-29</v>
      </c>
      <c r="AB111" s="115">
        <v>-30</v>
      </c>
      <c r="AC111" s="115">
        <v>-48</v>
      </c>
      <c r="AD111" s="115">
        <v>-50</v>
      </c>
      <c r="AE111" s="115">
        <v>-91</v>
      </c>
      <c r="AF111" s="115"/>
      <c r="AG111" s="114">
        <v>240</v>
      </c>
      <c r="AH111" s="47">
        <f t="shared" si="8"/>
        <v>-23.4</v>
      </c>
      <c r="AI111" s="48">
        <f t="shared" si="9"/>
        <v>-167</v>
      </c>
    </row>
    <row r="112" spans="1:37" x14ac:dyDescent="0.25">
      <c r="A112" s="103" t="s">
        <v>120</v>
      </c>
      <c r="B112" s="115">
        <v>17</v>
      </c>
      <c r="C112" s="115">
        <v>-20</v>
      </c>
      <c r="D112" s="115">
        <v>-22</v>
      </c>
      <c r="E112" s="115">
        <v>-21.5</v>
      </c>
      <c r="F112" s="115">
        <v>-22.4</v>
      </c>
      <c r="G112" s="115">
        <v>-14.8</v>
      </c>
      <c r="H112" s="115">
        <v>-8.6999999999999993</v>
      </c>
      <c r="I112" s="115">
        <v>-14.9</v>
      </c>
      <c r="J112" s="115">
        <v>-10.7</v>
      </c>
      <c r="K112" s="115">
        <v>-12</v>
      </c>
      <c r="L112" s="115">
        <v>-9</v>
      </c>
      <c r="M112" s="115">
        <v>-8.1</v>
      </c>
      <c r="N112" s="115">
        <v>-6.2</v>
      </c>
      <c r="O112" s="115">
        <v>-8.1999999999999993</v>
      </c>
      <c r="P112" s="115">
        <v>-6.3</v>
      </c>
      <c r="Q112" s="115">
        <v>0.9</v>
      </c>
      <c r="R112" s="115">
        <v>12.7</v>
      </c>
      <c r="S112" s="115">
        <v>11.6</v>
      </c>
      <c r="T112" s="115">
        <v>18.5</v>
      </c>
      <c r="U112" s="115">
        <v>19.2</v>
      </c>
      <c r="V112" s="115">
        <v>16.5</v>
      </c>
      <c r="W112" s="115">
        <v>16.5</v>
      </c>
      <c r="X112" s="115">
        <v>15.6</v>
      </c>
      <c r="Y112" s="115">
        <v>18</v>
      </c>
      <c r="Z112" s="115">
        <v>18.5</v>
      </c>
      <c r="AA112" s="115">
        <v>18.8</v>
      </c>
      <c r="AB112" s="115">
        <v>14.9</v>
      </c>
      <c r="AC112" s="115">
        <v>25.6</v>
      </c>
      <c r="AD112" s="115">
        <v>10</v>
      </c>
      <c r="AE112" s="115">
        <v>-3.3</v>
      </c>
      <c r="AF112" s="115"/>
      <c r="AG112" s="114">
        <v>60</v>
      </c>
      <c r="AH112" s="47">
        <f t="shared" si="8"/>
        <v>25.6</v>
      </c>
      <c r="AI112" s="48">
        <f t="shared" si="9"/>
        <v>-22.4</v>
      </c>
    </row>
    <row r="113" spans="1:37" x14ac:dyDescent="0.25">
      <c r="A113" s="116" t="s">
        <v>121</v>
      </c>
      <c r="B113" s="117">
        <v>74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49.4</v>
      </c>
      <c r="K113" s="117">
        <v>45</v>
      </c>
      <c r="L113" s="117">
        <v>52.4</v>
      </c>
      <c r="M113" s="117">
        <v>49.8</v>
      </c>
      <c r="N113" s="117">
        <v>52.6</v>
      </c>
      <c r="O113" s="117">
        <v>60.9</v>
      </c>
      <c r="P113" s="117">
        <v>67</v>
      </c>
      <c r="Q113" s="117">
        <v>69.400000000000006</v>
      </c>
      <c r="R113" s="117">
        <v>70.2</v>
      </c>
      <c r="S113" s="117">
        <v>89.9</v>
      </c>
      <c r="T113" s="117">
        <v>70.3</v>
      </c>
      <c r="U113" s="117">
        <v>55.2</v>
      </c>
      <c r="V113" s="117">
        <v>74.2</v>
      </c>
      <c r="W113" s="117">
        <v>74.2</v>
      </c>
      <c r="X113" s="117">
        <v>67</v>
      </c>
      <c r="Y113" s="117">
        <v>59</v>
      </c>
      <c r="Z113" s="117">
        <v>69.099999999999994</v>
      </c>
      <c r="AA113" s="117">
        <v>72.5</v>
      </c>
      <c r="AB113" s="117">
        <v>53.6</v>
      </c>
      <c r="AC113" s="117">
        <v>43.7</v>
      </c>
      <c r="AD113" s="117">
        <v>20.77</v>
      </c>
      <c r="AE113" s="117">
        <v>59.3</v>
      </c>
      <c r="AF113" s="117"/>
      <c r="AG113" s="118">
        <v>120</v>
      </c>
      <c r="AH113" s="47">
        <f t="shared" si="8"/>
        <v>89.9</v>
      </c>
      <c r="AI113" s="48">
        <f t="shared" si="9"/>
        <v>0</v>
      </c>
    </row>
    <row r="114" spans="1:37" x14ac:dyDescent="0.25">
      <c r="A114" s="116" t="s">
        <v>122</v>
      </c>
      <c r="B114" s="117">
        <v>68</v>
      </c>
      <c r="C114" s="117">
        <v>103</v>
      </c>
      <c r="D114" s="117">
        <v>83</v>
      </c>
      <c r="E114" s="117">
        <v>68.3</v>
      </c>
      <c r="F114" s="117">
        <v>62.6</v>
      </c>
      <c r="G114" s="117">
        <v>75.2</v>
      </c>
      <c r="H114" s="117">
        <v>68.7</v>
      </c>
      <c r="I114" s="117">
        <v>63.1</v>
      </c>
      <c r="J114" s="117">
        <v>62.4</v>
      </c>
      <c r="K114" s="117">
        <v>60</v>
      </c>
      <c r="L114" s="117">
        <v>57.2</v>
      </c>
      <c r="M114" s="117">
        <v>62.5</v>
      </c>
      <c r="N114" s="117">
        <v>65.900000000000006</v>
      </c>
      <c r="O114" s="117">
        <v>77.3</v>
      </c>
      <c r="P114" s="117">
        <v>78.8</v>
      </c>
      <c r="Q114" s="117">
        <v>81.900000000000006</v>
      </c>
      <c r="R114" s="117">
        <v>83</v>
      </c>
      <c r="S114" s="117">
        <v>100.3</v>
      </c>
      <c r="T114" s="117">
        <v>85.2</v>
      </c>
      <c r="U114" s="117">
        <v>71.400000000000006</v>
      </c>
      <c r="V114" s="117">
        <v>87.6</v>
      </c>
      <c r="W114" s="117">
        <v>87.6</v>
      </c>
      <c r="X114" s="117">
        <v>64.599999999999994</v>
      </c>
      <c r="Y114" s="117">
        <v>67.400000000000006</v>
      </c>
      <c r="Z114" s="117">
        <v>74</v>
      </c>
      <c r="AA114" s="117">
        <v>67.5</v>
      </c>
      <c r="AB114" s="117">
        <v>64.2</v>
      </c>
      <c r="AC114" s="117">
        <v>46.3</v>
      </c>
      <c r="AD114" s="117">
        <v>61</v>
      </c>
      <c r="AE114" s="117">
        <v>62.9</v>
      </c>
      <c r="AF114" s="117"/>
      <c r="AG114" s="118"/>
      <c r="AH114" s="47">
        <f t="shared" si="8"/>
        <v>103</v>
      </c>
      <c r="AI114" s="48">
        <f t="shared" si="9"/>
        <v>46.3</v>
      </c>
    </row>
    <row r="115" spans="1:37" x14ac:dyDescent="0.25">
      <c r="A115" s="116" t="s">
        <v>123</v>
      </c>
      <c r="B115" s="117">
        <v>0.1</v>
      </c>
      <c r="C115" s="117">
        <v>83</v>
      </c>
      <c r="D115" s="117">
        <v>84</v>
      </c>
      <c r="E115" s="117">
        <v>80.5</v>
      </c>
      <c r="F115" s="117">
        <v>65.2</v>
      </c>
      <c r="G115" s="117">
        <v>83.7</v>
      </c>
      <c r="H115" s="117">
        <v>67.3</v>
      </c>
      <c r="I115" s="117">
        <v>59</v>
      </c>
      <c r="J115" s="117">
        <v>49.9</v>
      </c>
      <c r="K115" s="117">
        <v>17</v>
      </c>
      <c r="L115" s="117">
        <v>6.7</v>
      </c>
      <c r="M115" s="117">
        <v>4</v>
      </c>
      <c r="N115" s="117">
        <v>10</v>
      </c>
      <c r="O115" s="117">
        <v>5.9</v>
      </c>
      <c r="P115" s="117">
        <v>17.600000000000001</v>
      </c>
      <c r="Q115" s="117">
        <v>26.8</v>
      </c>
      <c r="R115" s="117">
        <v>30.8</v>
      </c>
      <c r="S115" s="117">
        <v>23.6</v>
      </c>
      <c r="T115" s="117">
        <v>75.599999999999994</v>
      </c>
      <c r="U115" s="117">
        <v>-6.9</v>
      </c>
      <c r="V115" s="117">
        <v>7.6</v>
      </c>
      <c r="W115" s="117">
        <v>7.6</v>
      </c>
      <c r="X115" s="117">
        <v>19.5</v>
      </c>
      <c r="Y115" s="117">
        <v>24.1</v>
      </c>
      <c r="Z115" s="117">
        <v>21.6</v>
      </c>
      <c r="AA115" s="117">
        <v>12.7</v>
      </c>
      <c r="AB115" s="117">
        <v>24.6</v>
      </c>
      <c r="AC115" s="117">
        <v>17.8</v>
      </c>
      <c r="AD115" s="117">
        <v>21.7</v>
      </c>
      <c r="AE115" s="117">
        <v>29.7</v>
      </c>
      <c r="AF115" s="117"/>
      <c r="AG115" s="119"/>
      <c r="AH115" s="47">
        <f t="shared" si="8"/>
        <v>84</v>
      </c>
      <c r="AI115" s="48">
        <f t="shared" si="9"/>
        <v>-6.9</v>
      </c>
    </row>
    <row r="116" spans="1:37" x14ac:dyDescent="0.25">
      <c r="A116" s="120" t="s">
        <v>124</v>
      </c>
      <c r="B116" s="106">
        <v>11</v>
      </c>
      <c r="C116" s="106">
        <v>26</v>
      </c>
      <c r="D116" s="106">
        <v>24</v>
      </c>
      <c r="E116" s="106">
        <v>23.4</v>
      </c>
      <c r="F116" s="106">
        <v>21.5</v>
      </c>
      <c r="G116" s="106">
        <v>25.3</v>
      </c>
      <c r="H116" s="106">
        <v>15.5</v>
      </c>
      <c r="I116" s="106">
        <v>10.6</v>
      </c>
      <c r="J116" s="106">
        <v>8.3000000000000007</v>
      </c>
      <c r="K116" s="106">
        <v>3.1</v>
      </c>
      <c r="L116" s="106">
        <v>0</v>
      </c>
      <c r="M116" s="106">
        <v>1.9</v>
      </c>
      <c r="N116" s="106">
        <v>4.7</v>
      </c>
      <c r="O116" s="106">
        <v>1.5</v>
      </c>
      <c r="P116" s="106">
        <v>6.8</v>
      </c>
      <c r="Q116" s="106">
        <v>-13.4</v>
      </c>
      <c r="R116" s="106">
        <v>0.9</v>
      </c>
      <c r="S116" s="106">
        <v>-2.1</v>
      </c>
      <c r="T116" s="106">
        <v>-6.6</v>
      </c>
      <c r="U116" s="106">
        <v>-1.1000000000000001</v>
      </c>
      <c r="V116" s="106">
        <v>-6.6</v>
      </c>
      <c r="W116" s="106">
        <v>-6.6</v>
      </c>
      <c r="X116" s="106">
        <v>-19.5</v>
      </c>
      <c r="Y116" s="106">
        <v>-15.2</v>
      </c>
      <c r="Z116" s="106">
        <v>-19.8</v>
      </c>
      <c r="AA116" s="106">
        <v>-18.600000000000001</v>
      </c>
      <c r="AB116" s="106">
        <v>-16</v>
      </c>
      <c r="AC116" s="106">
        <v>-13.8</v>
      </c>
      <c r="AD116" s="106">
        <v>-11.9</v>
      </c>
      <c r="AE116" s="106">
        <v>-4</v>
      </c>
      <c r="AF116" s="106"/>
      <c r="AG116" s="119"/>
      <c r="AH116" s="47">
        <f t="shared" si="8"/>
        <v>26</v>
      </c>
      <c r="AI116" s="48">
        <f t="shared" si="9"/>
        <v>-19.8</v>
      </c>
    </row>
    <row r="117" spans="1:37" x14ac:dyDescent="0.25">
      <c r="A117" s="120" t="s">
        <v>258</v>
      </c>
      <c r="B117" s="106"/>
      <c r="C117" s="106"/>
      <c r="D117" s="106">
        <v>96</v>
      </c>
      <c r="E117" s="106">
        <v>97</v>
      </c>
      <c r="F117" s="106">
        <v>91.6</v>
      </c>
      <c r="G117" s="106">
        <v>78</v>
      </c>
      <c r="H117" s="106">
        <v>64.7</v>
      </c>
      <c r="I117" s="106">
        <v>47.8</v>
      </c>
      <c r="J117" s="106">
        <v>43.8</v>
      </c>
      <c r="K117" s="106">
        <v>55</v>
      </c>
      <c r="L117" s="106">
        <v>49.4</v>
      </c>
      <c r="M117" s="106">
        <v>59.7</v>
      </c>
      <c r="N117" s="106">
        <v>55.7</v>
      </c>
      <c r="O117" s="106">
        <v>63.5</v>
      </c>
      <c r="P117" s="106">
        <v>66.400000000000006</v>
      </c>
      <c r="Q117" s="106">
        <v>63.8</v>
      </c>
      <c r="R117" s="106">
        <v>63.2</v>
      </c>
      <c r="S117" s="106">
        <v>56.6</v>
      </c>
      <c r="T117" s="106">
        <v>66.599999999999994</v>
      </c>
      <c r="U117" s="106">
        <v>82</v>
      </c>
      <c r="V117" s="106">
        <v>57</v>
      </c>
      <c r="W117" s="106">
        <v>57</v>
      </c>
      <c r="X117" s="106">
        <v>29.6</v>
      </c>
      <c r="Y117" s="106">
        <v>17.399999999999999</v>
      </c>
      <c r="Z117" s="106">
        <v>9.1</v>
      </c>
      <c r="AA117" s="106">
        <v>12.7</v>
      </c>
      <c r="AB117" s="106">
        <v>21.6</v>
      </c>
      <c r="AC117" s="106">
        <v>78.599999999999994</v>
      </c>
      <c r="AD117" s="106">
        <v>60.9</v>
      </c>
      <c r="AE117" s="106">
        <v>96</v>
      </c>
      <c r="AF117" s="106"/>
      <c r="AG117" s="119"/>
      <c r="AH117" s="47"/>
      <c r="AI117" s="48"/>
    </row>
    <row r="118" spans="1:37" ht="15.75" thickBot="1" x14ac:dyDescent="0.3">
      <c r="A118" s="120" t="s">
        <v>125</v>
      </c>
      <c r="B118" s="106">
        <v>70</v>
      </c>
      <c r="C118" s="106">
        <v>62</v>
      </c>
      <c r="D118" s="106">
        <v>64</v>
      </c>
      <c r="E118" s="106">
        <v>57.6</v>
      </c>
      <c r="F118" s="106">
        <v>55</v>
      </c>
      <c r="G118" s="106">
        <v>54.9</v>
      </c>
      <c r="H118" s="106">
        <v>64</v>
      </c>
      <c r="I118" s="106">
        <v>64.099999999999994</v>
      </c>
      <c r="J118" s="106">
        <v>70.099999999999994</v>
      </c>
      <c r="K118" s="106">
        <v>76</v>
      </c>
      <c r="L118" s="106">
        <v>72</v>
      </c>
      <c r="M118" s="106">
        <v>70.5</v>
      </c>
      <c r="N118" s="106">
        <v>78.5</v>
      </c>
      <c r="O118" s="106">
        <v>79.099999999999994</v>
      </c>
      <c r="P118" s="106">
        <v>87.9</v>
      </c>
      <c r="Q118" s="106">
        <v>87.5</v>
      </c>
      <c r="R118" s="106">
        <v>87.4</v>
      </c>
      <c r="S118" s="106">
        <v>91.4</v>
      </c>
      <c r="T118" s="106">
        <v>85</v>
      </c>
      <c r="U118" s="106">
        <v>90.2</v>
      </c>
      <c r="V118" s="106">
        <v>85.1</v>
      </c>
      <c r="W118" s="106">
        <v>85.1</v>
      </c>
      <c r="X118" s="106">
        <v>77.8</v>
      </c>
      <c r="Y118" s="106">
        <v>86.7</v>
      </c>
      <c r="Z118" s="106">
        <v>102.2</v>
      </c>
      <c r="AA118" s="106">
        <v>113.1</v>
      </c>
      <c r="AB118" s="106">
        <v>108.4</v>
      </c>
      <c r="AC118" s="106">
        <v>112.6</v>
      </c>
      <c r="AD118" s="106">
        <v>105.6</v>
      </c>
      <c r="AE118" s="106">
        <v>111.8</v>
      </c>
      <c r="AF118" s="106"/>
      <c r="AG118" s="119"/>
      <c r="AH118" s="47">
        <f t="shared" si="8"/>
        <v>113.1</v>
      </c>
      <c r="AI118" s="48">
        <f t="shared" si="9"/>
        <v>54.9</v>
      </c>
    </row>
    <row r="119" spans="1:37" ht="15.75" thickBot="1" x14ac:dyDescent="0.3">
      <c r="A119" s="121" t="s">
        <v>126</v>
      </c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47"/>
      <c r="AI119" s="48"/>
      <c r="AK119" s="49"/>
    </row>
    <row r="120" spans="1:37" x14ac:dyDescent="0.25">
      <c r="A120" s="124" t="s">
        <v>127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>
        <v>9.94</v>
      </c>
      <c r="AH120" s="47"/>
      <c r="AI120" s="48"/>
      <c r="AK120" s="49"/>
    </row>
    <row r="121" spans="1:37" x14ac:dyDescent="0.25">
      <c r="A121" s="103" t="s">
        <v>128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129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130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131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132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133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134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135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136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137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138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139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140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141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142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143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0">
        <v>9.9</v>
      </c>
      <c r="AH136" s="47"/>
      <c r="AI136" s="48"/>
      <c r="AK136" s="49"/>
    </row>
    <row r="137" spans="1:37" x14ac:dyDescent="0.25">
      <c r="A137" s="116" t="s">
        <v>144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9.6579999999999995</v>
      </c>
      <c r="AH137" s="47"/>
      <c r="AI137" s="48"/>
      <c r="AK137" s="49"/>
    </row>
    <row r="138" spans="1:37" x14ac:dyDescent="0.25">
      <c r="A138" s="116" t="s">
        <v>145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9.6</v>
      </c>
      <c r="AH138" s="47"/>
      <c r="AI138" s="48"/>
      <c r="AK138" s="49"/>
    </row>
    <row r="139" spans="1:37" x14ac:dyDescent="0.25">
      <c r="A139" s="116" t="s">
        <v>146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9.51</v>
      </c>
      <c r="AH139" s="47"/>
      <c r="AI139" s="48"/>
      <c r="AK139" s="49"/>
    </row>
    <row r="140" spans="1:37" x14ac:dyDescent="0.25">
      <c r="A140" s="116" t="s">
        <v>147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9.4</v>
      </c>
      <c r="AH140" s="47"/>
      <c r="AI140" s="48"/>
      <c r="AK140" s="49"/>
    </row>
    <row r="141" spans="1:37" x14ac:dyDescent="0.25">
      <c r="A141" s="116" t="s">
        <v>148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8.8000000000000007</v>
      </c>
      <c r="AH141" s="47"/>
      <c r="AI141" s="48"/>
      <c r="AK141" s="49"/>
    </row>
    <row r="142" spans="1:37" x14ac:dyDescent="0.25">
      <c r="A142" s="116" t="s">
        <v>149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150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8.5</v>
      </c>
      <c r="AH143" s="47"/>
      <c r="AI143" s="48"/>
      <c r="AK143" s="49"/>
    </row>
    <row r="144" spans="1:37" x14ac:dyDescent="0.25">
      <c r="A144" s="116" t="s">
        <v>151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8.4</v>
      </c>
      <c r="AH144" s="47"/>
      <c r="AI144" s="48"/>
      <c r="AK144" s="49"/>
    </row>
    <row r="145" spans="1:37" ht="13.5" customHeight="1" x14ac:dyDescent="0.25">
      <c r="A145" s="116" t="s">
        <v>152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153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154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155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7.8</v>
      </c>
      <c r="AH148" s="47"/>
      <c r="AI148" s="48"/>
      <c r="AK148" s="49"/>
    </row>
    <row r="149" spans="1:37" x14ac:dyDescent="0.25">
      <c r="A149" s="116" t="s">
        <v>156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7.6</v>
      </c>
      <c r="AH149" s="47"/>
      <c r="AI149" s="48"/>
      <c r="AK149" s="49"/>
    </row>
    <row r="150" spans="1:37" x14ac:dyDescent="0.25">
      <c r="A150" s="116" t="s">
        <v>157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158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7.5</v>
      </c>
      <c r="AH151" s="47"/>
      <c r="AI151" s="48"/>
      <c r="AK151" s="49"/>
    </row>
    <row r="152" spans="1:37" x14ac:dyDescent="0.25">
      <c r="A152" s="116" t="s">
        <v>159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160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161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162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163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164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6.6</v>
      </c>
      <c r="AH157" s="47"/>
      <c r="AI157" s="48"/>
      <c r="AK157" s="49"/>
    </row>
    <row r="158" spans="1:37" x14ac:dyDescent="0.25">
      <c r="A158" s="116" t="s">
        <v>165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6.4</v>
      </c>
      <c r="AH158" s="47"/>
      <c r="AI158" s="48"/>
      <c r="AK158" s="49"/>
    </row>
    <row r="159" spans="1:37" x14ac:dyDescent="0.25">
      <c r="A159" s="116" t="s">
        <v>166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</v>
      </c>
      <c r="AH159" s="47"/>
      <c r="AI159" s="48"/>
      <c r="AK159" s="49"/>
    </row>
    <row r="160" spans="1:37" x14ac:dyDescent="0.25">
      <c r="A160" s="116" t="s">
        <v>167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5.0999999999999996</v>
      </c>
      <c r="AH160" s="47"/>
      <c r="AI160" s="48"/>
      <c r="AK160" s="49"/>
    </row>
    <row r="161" spans="1:37" x14ac:dyDescent="0.25">
      <c r="A161" s="116" t="s">
        <v>168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03" t="s">
        <v>169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0">
        <v>5</v>
      </c>
      <c r="AH162" s="47"/>
      <c r="AI162" s="48"/>
      <c r="AK162" s="49"/>
    </row>
    <row r="163" spans="1:37" x14ac:dyDescent="0.25">
      <c r="A163" s="116" t="s">
        <v>170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171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172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173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174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175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4.9930000000000003</v>
      </c>
      <c r="AH168" s="47"/>
      <c r="AI168" s="48"/>
      <c r="AK168" s="49"/>
    </row>
    <row r="169" spans="1:37" x14ac:dyDescent="0.25">
      <c r="A169" s="116" t="s">
        <v>176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4.9800000000000004</v>
      </c>
      <c r="AH169" s="47"/>
      <c r="AI169" s="48"/>
      <c r="AK169" s="49"/>
    </row>
    <row r="170" spans="1:37" x14ac:dyDescent="0.25">
      <c r="A170" s="116" t="s">
        <v>177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178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4.95</v>
      </c>
      <c r="AH171" s="47"/>
      <c r="AI171" s="48"/>
      <c r="AK171" s="49"/>
    </row>
    <row r="172" spans="1:37" x14ac:dyDescent="0.25">
      <c r="A172" s="116" t="s">
        <v>179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180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181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182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183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4.5</v>
      </c>
      <c r="AH176" s="47"/>
      <c r="AI176" s="48"/>
      <c r="AK176" s="49"/>
    </row>
    <row r="177" spans="1:37" x14ac:dyDescent="0.25">
      <c r="A177" s="116" t="s">
        <v>184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4.4550000000000001</v>
      </c>
      <c r="AH177" s="47"/>
      <c r="AI177" s="48"/>
      <c r="AK177" s="49"/>
    </row>
    <row r="178" spans="1:37" x14ac:dyDescent="0.25">
      <c r="A178" s="116" t="s">
        <v>185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4.41</v>
      </c>
      <c r="AH178" s="47"/>
      <c r="AI178" s="48"/>
      <c r="AK178" s="49"/>
    </row>
    <row r="179" spans="1:37" x14ac:dyDescent="0.25">
      <c r="A179" s="116" t="s">
        <v>186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4.4000000000000004</v>
      </c>
      <c r="AH179" s="47"/>
      <c r="AI179" s="48"/>
      <c r="AK179" s="49"/>
    </row>
    <row r="180" spans="1:37" x14ac:dyDescent="0.25">
      <c r="A180" s="116" t="s">
        <v>187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4.3600000000000003</v>
      </c>
      <c r="AH180" s="47"/>
      <c r="AI180" s="48"/>
      <c r="AK180" s="49"/>
    </row>
    <row r="181" spans="1:37" x14ac:dyDescent="0.25">
      <c r="A181" s="116" t="s">
        <v>188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4.2</v>
      </c>
      <c r="AH181" s="47"/>
      <c r="AI181" s="48"/>
      <c r="AK181" s="49"/>
    </row>
    <row r="182" spans="1:37" x14ac:dyDescent="0.25">
      <c r="A182" s="116" t="s">
        <v>189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190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191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192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193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194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195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196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197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3.75</v>
      </c>
      <c r="AH190" s="47"/>
      <c r="AI190" s="48"/>
      <c r="AK190" s="49"/>
    </row>
    <row r="191" spans="1:37" x14ac:dyDescent="0.25">
      <c r="A191" s="116" t="s">
        <v>198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3.52</v>
      </c>
      <c r="AH191" s="47"/>
      <c r="AI191" s="48"/>
      <c r="AK191" s="49"/>
    </row>
    <row r="192" spans="1:37" x14ac:dyDescent="0.25">
      <c r="A192" s="116" t="s">
        <v>199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3.33</v>
      </c>
      <c r="AH192" s="47"/>
      <c r="AI192" s="48"/>
      <c r="AK192" s="49"/>
    </row>
    <row r="193" spans="1:37" x14ac:dyDescent="0.25">
      <c r="A193" s="116" t="s">
        <v>200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3.2</v>
      </c>
      <c r="AH193" s="47"/>
      <c r="AI193" s="48"/>
      <c r="AK193" s="49"/>
    </row>
    <row r="194" spans="1:37" x14ac:dyDescent="0.25">
      <c r="A194" s="116" t="s">
        <v>201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202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203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204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205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206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207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208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209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2.83</v>
      </c>
      <c r="AH202" s="47"/>
      <c r="AI202" s="48"/>
      <c r="AK202" s="49"/>
    </row>
    <row r="203" spans="1:37" x14ac:dyDescent="0.25">
      <c r="A203" s="116" t="s">
        <v>210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211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2.5</v>
      </c>
      <c r="AH204" s="47"/>
      <c r="AI204" s="48"/>
      <c r="AK204" s="49"/>
    </row>
    <row r="205" spans="1:37" x14ac:dyDescent="0.25">
      <c r="A205" s="116" t="s">
        <v>212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213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2.4</v>
      </c>
      <c r="AH206" s="47"/>
      <c r="AI206" s="48"/>
      <c r="AK206" s="49"/>
    </row>
    <row r="207" spans="1:37" x14ac:dyDescent="0.25">
      <c r="A207" s="116" t="s">
        <v>214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2.2000000000000002</v>
      </c>
      <c r="AH207" s="47"/>
      <c r="AI207" s="48"/>
      <c r="AK207" s="49"/>
    </row>
    <row r="208" spans="1:37" x14ac:dyDescent="0.25">
      <c r="A208" s="116" t="s">
        <v>215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216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217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218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219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1.8</v>
      </c>
      <c r="AH212" s="47"/>
      <c r="AI212" s="48"/>
      <c r="AK212" s="49"/>
    </row>
    <row r="213" spans="1:37" x14ac:dyDescent="0.25">
      <c r="A213" s="116" t="s">
        <v>220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1.65</v>
      </c>
      <c r="AH213" s="47"/>
      <c r="AI213" s="48"/>
      <c r="AK213" s="49"/>
    </row>
    <row r="214" spans="1:37" x14ac:dyDescent="0.25">
      <c r="A214" s="116" t="s">
        <v>221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1.5</v>
      </c>
      <c r="AH214" s="47"/>
      <c r="AI214" s="48"/>
      <c r="AK214" s="49"/>
    </row>
    <row r="215" spans="1:37" x14ac:dyDescent="0.25">
      <c r="A215" s="116" t="s">
        <v>222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0.998</v>
      </c>
      <c r="AH215" s="47"/>
      <c r="AI215" s="48"/>
      <c r="AK215" s="49"/>
    </row>
    <row r="216" spans="1:37" x14ac:dyDescent="0.25">
      <c r="A216" s="116" t="s">
        <v>223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224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0.997</v>
      </c>
      <c r="AH217" s="47"/>
      <c r="AI217" s="48"/>
      <c r="AK217" s="49"/>
    </row>
    <row r="218" spans="1:37" x14ac:dyDescent="0.25">
      <c r="A218" s="116" t="s">
        <v>225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226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227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228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0.995</v>
      </c>
      <c r="AH221" s="47"/>
      <c r="AI221" s="48"/>
      <c r="AK221" s="49"/>
    </row>
    <row r="222" spans="1:37" x14ac:dyDescent="0.25">
      <c r="A222" s="116" t="s">
        <v>229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0.99299999999999999</v>
      </c>
      <c r="AH222" s="47"/>
      <c r="AI222" s="48"/>
      <c r="AK222" s="49"/>
    </row>
    <row r="223" spans="1:37" x14ac:dyDescent="0.25">
      <c r="A223" s="116" t="s">
        <v>230</v>
      </c>
      <c r="B223" s="128"/>
      <c r="C223" s="126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</v>
      </c>
      <c r="AH223" s="47"/>
      <c r="AI223" s="48"/>
      <c r="AK223" s="49"/>
    </row>
    <row r="224" spans="1:37" ht="15.75" thickBot="1" x14ac:dyDescent="0.3">
      <c r="A224" s="116" t="s">
        <v>231</v>
      </c>
      <c r="B224" s="132"/>
      <c r="C224" s="133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1">
        <v>0.97899999999999998</v>
      </c>
      <c r="AH224" s="47"/>
      <c r="AI224" s="48"/>
      <c r="AK224" s="49"/>
    </row>
    <row r="225" spans="1:37" ht="15.75" thickBot="1" x14ac:dyDescent="0.3">
      <c r="A225" s="134" t="s">
        <v>232</v>
      </c>
      <c r="B225" s="135">
        <f t="shared" ref="B225:AG225" si="16">SUM(B120:B224)</f>
        <v>0</v>
      </c>
      <c r="C225" s="136">
        <f t="shared" si="16"/>
        <v>0</v>
      </c>
      <c r="D225" s="136">
        <f t="shared" si="16"/>
        <v>0</v>
      </c>
      <c r="E225" s="136">
        <f t="shared" si="16"/>
        <v>0</v>
      </c>
      <c r="F225" s="136">
        <f t="shared" si="16"/>
        <v>0</v>
      </c>
      <c r="G225" s="136">
        <f t="shared" si="16"/>
        <v>0</v>
      </c>
      <c r="H225" s="136">
        <f t="shared" si="16"/>
        <v>0</v>
      </c>
      <c r="I225" s="136">
        <f t="shared" si="16"/>
        <v>0</v>
      </c>
      <c r="J225" s="136">
        <f t="shared" si="16"/>
        <v>0</v>
      </c>
      <c r="K225" s="136">
        <f t="shared" si="16"/>
        <v>0</v>
      </c>
      <c r="L225" s="136">
        <f t="shared" si="16"/>
        <v>0</v>
      </c>
      <c r="M225" s="136">
        <f t="shared" si="16"/>
        <v>0</v>
      </c>
      <c r="N225" s="136">
        <f t="shared" si="16"/>
        <v>0</v>
      </c>
      <c r="O225" s="136">
        <f t="shared" si="16"/>
        <v>0</v>
      </c>
      <c r="P225" s="136">
        <f t="shared" si="16"/>
        <v>0</v>
      </c>
      <c r="Q225" s="136">
        <f t="shared" si="16"/>
        <v>0</v>
      </c>
      <c r="R225" s="136">
        <f t="shared" si="16"/>
        <v>0</v>
      </c>
      <c r="S225" s="136">
        <f t="shared" si="16"/>
        <v>0</v>
      </c>
      <c r="T225" s="136">
        <f t="shared" si="16"/>
        <v>0</v>
      </c>
      <c r="U225" s="136">
        <f t="shared" si="16"/>
        <v>0</v>
      </c>
      <c r="V225" s="136">
        <f t="shared" si="16"/>
        <v>0</v>
      </c>
      <c r="W225" s="136">
        <f t="shared" si="16"/>
        <v>0</v>
      </c>
      <c r="X225" s="136">
        <f t="shared" si="16"/>
        <v>0</v>
      </c>
      <c r="Y225" s="136">
        <f t="shared" si="16"/>
        <v>0</v>
      </c>
      <c r="Z225" s="136">
        <f t="shared" si="16"/>
        <v>0</v>
      </c>
      <c r="AA225" s="136">
        <f t="shared" si="16"/>
        <v>0</v>
      </c>
      <c r="AB225" s="136">
        <f t="shared" si="16"/>
        <v>0</v>
      </c>
      <c r="AC225" s="136">
        <f t="shared" si="16"/>
        <v>0</v>
      </c>
      <c r="AD225" s="136">
        <f t="shared" si="16"/>
        <v>0</v>
      </c>
      <c r="AE225" s="136">
        <f t="shared" si="16"/>
        <v>0</v>
      </c>
      <c r="AF225" s="137">
        <f t="shared" si="16"/>
        <v>0</v>
      </c>
      <c r="AG225" s="138">
        <f t="shared" si="16"/>
        <v>412.72299999999984</v>
      </c>
      <c r="AH225" s="47"/>
      <c r="AI225" s="48"/>
      <c r="AK225" s="49"/>
    </row>
    <row r="226" spans="1:37" ht="15.75" thickBot="1" x14ac:dyDescent="0.3">
      <c r="A226" s="26" t="s">
        <v>73</v>
      </c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  <c r="AF226" s="139"/>
      <c r="AG226" s="119"/>
      <c r="AH226" s="47"/>
      <c r="AI226" s="48"/>
      <c r="AK226" s="49"/>
    </row>
    <row r="227" spans="1:37" x14ac:dyDescent="0.25">
      <c r="A227" s="100" t="s">
        <v>233</v>
      </c>
      <c r="B227" s="140">
        <f t="shared" ref="B227:B232" si="17">AF227</f>
        <v>0</v>
      </c>
      <c r="C227" s="140">
        <v>0.3</v>
      </c>
      <c r="D227" s="140">
        <f t="shared" ref="D227:P232" si="18">C227</f>
        <v>0.3</v>
      </c>
      <c r="E227" s="140">
        <f t="shared" si="18"/>
        <v>0.3</v>
      </c>
      <c r="F227" s="140">
        <f t="shared" si="18"/>
        <v>0.3</v>
      </c>
      <c r="G227" s="140">
        <f t="shared" si="18"/>
        <v>0.3</v>
      </c>
      <c r="H227" s="140">
        <f t="shared" si="18"/>
        <v>0.3</v>
      </c>
      <c r="I227" s="140">
        <f t="shared" si="18"/>
        <v>0.3</v>
      </c>
      <c r="J227" s="140">
        <f t="shared" si="18"/>
        <v>0.3</v>
      </c>
      <c r="K227" s="140">
        <f t="shared" si="18"/>
        <v>0.3</v>
      </c>
      <c r="L227" s="140">
        <f t="shared" si="18"/>
        <v>0.3</v>
      </c>
      <c r="M227" s="140">
        <f t="shared" si="18"/>
        <v>0.3</v>
      </c>
      <c r="N227" s="140">
        <f t="shared" si="18"/>
        <v>0.3</v>
      </c>
      <c r="O227" s="140">
        <f t="shared" si="18"/>
        <v>0.3</v>
      </c>
      <c r="P227" s="140">
        <f t="shared" si="18"/>
        <v>0.3</v>
      </c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1">
        <v>2.4</v>
      </c>
      <c r="AH227" s="47"/>
      <c r="AI227" s="48"/>
      <c r="AK227" s="49"/>
    </row>
    <row r="228" spans="1:37" ht="15.75" thickBot="1" x14ac:dyDescent="0.3">
      <c r="A228" s="103" t="s">
        <v>234</v>
      </c>
      <c r="B228" s="128">
        <f t="shared" si="17"/>
        <v>0</v>
      </c>
      <c r="C228" s="128">
        <v>0.4</v>
      </c>
      <c r="D228" s="128">
        <f t="shared" si="18"/>
        <v>0.4</v>
      </c>
      <c r="E228" s="128">
        <f t="shared" si="18"/>
        <v>0.4</v>
      </c>
      <c r="F228" s="128">
        <f t="shared" si="18"/>
        <v>0.4</v>
      </c>
      <c r="G228" s="128">
        <f t="shared" si="18"/>
        <v>0.4</v>
      </c>
      <c r="H228" s="128">
        <f t="shared" si="18"/>
        <v>0.4</v>
      </c>
      <c r="I228" s="128">
        <f t="shared" si="18"/>
        <v>0.4</v>
      </c>
      <c r="J228" s="128">
        <f t="shared" si="18"/>
        <v>0.4</v>
      </c>
      <c r="K228" s="128">
        <f t="shared" si="18"/>
        <v>0.4</v>
      </c>
      <c r="L228" s="128">
        <f t="shared" si="18"/>
        <v>0.4</v>
      </c>
      <c r="M228" s="128">
        <f t="shared" si="18"/>
        <v>0.4</v>
      </c>
      <c r="N228" s="128">
        <f t="shared" si="18"/>
        <v>0.4</v>
      </c>
      <c r="O228" s="128">
        <f t="shared" si="18"/>
        <v>0.4</v>
      </c>
      <c r="P228" s="128">
        <f t="shared" si="18"/>
        <v>0.4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2</v>
      </c>
      <c r="AH228" s="47"/>
      <c r="AI228" s="48"/>
      <c r="AK228" s="49"/>
    </row>
    <row r="229" spans="1:37" x14ac:dyDescent="0.25">
      <c r="A229" s="103" t="s">
        <v>235</v>
      </c>
      <c r="B229" s="128">
        <f t="shared" si="17"/>
        <v>0</v>
      </c>
      <c r="C229" s="128">
        <v>1.5</v>
      </c>
      <c r="D229" s="128">
        <f t="shared" si="18"/>
        <v>1.5</v>
      </c>
      <c r="E229" s="128">
        <f t="shared" si="18"/>
        <v>1.5</v>
      </c>
      <c r="F229" s="128">
        <f t="shared" si="18"/>
        <v>1.5</v>
      </c>
      <c r="G229" s="128">
        <f t="shared" si="18"/>
        <v>1.5</v>
      </c>
      <c r="H229" s="128">
        <f t="shared" si="18"/>
        <v>1.5</v>
      </c>
      <c r="I229" s="111">
        <f ca="1">SUM(I141,I147,I150:I151,I177,I179:I180,I182,I184,I230:I234,I256,I262,I268,I277,I279,I291,I298,I301:I302,I309,I311,I313,I317:I319,I321:I323,I328,I334:I335,I337:I339,I347,I352)</f>
        <v>123.21900000000009</v>
      </c>
      <c r="J229" s="128">
        <f t="shared" ca="1" si="18"/>
        <v>123.21900000000009</v>
      </c>
      <c r="K229" s="128">
        <f t="shared" ca="1" si="18"/>
        <v>123.21900000000009</v>
      </c>
      <c r="L229" s="128">
        <f t="shared" ca="1" si="18"/>
        <v>123.21900000000009</v>
      </c>
      <c r="M229" s="128">
        <f t="shared" ca="1" si="18"/>
        <v>123.21900000000009</v>
      </c>
      <c r="N229" s="128">
        <f t="shared" ca="1" si="18"/>
        <v>119.19900000000008</v>
      </c>
      <c r="O229" s="128">
        <f t="shared" ca="1" si="18"/>
        <v>119.19900000000008</v>
      </c>
      <c r="P229" s="128">
        <f t="shared" ca="1" si="18"/>
        <v>119.19900000000008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1.5</v>
      </c>
      <c r="AH229" s="47"/>
      <c r="AI229" s="48"/>
      <c r="AK229" s="49"/>
    </row>
    <row r="230" spans="1:37" x14ac:dyDescent="0.25">
      <c r="A230" s="103" t="s">
        <v>236</v>
      </c>
      <c r="B230" s="128">
        <f t="shared" si="17"/>
        <v>0</v>
      </c>
      <c r="C230" s="128">
        <v>0.3</v>
      </c>
      <c r="D230" s="128">
        <f t="shared" si="18"/>
        <v>0.3</v>
      </c>
      <c r="E230" s="128">
        <f t="shared" si="18"/>
        <v>0.3</v>
      </c>
      <c r="F230" s="128">
        <f t="shared" si="18"/>
        <v>0.3</v>
      </c>
      <c r="G230" s="128">
        <f t="shared" si="18"/>
        <v>0.3</v>
      </c>
      <c r="H230" s="128">
        <f t="shared" si="18"/>
        <v>0.3</v>
      </c>
      <c r="I230" s="128">
        <f t="shared" si="18"/>
        <v>0.3</v>
      </c>
      <c r="J230" s="128">
        <f t="shared" si="18"/>
        <v>0.3</v>
      </c>
      <c r="K230" s="128">
        <f t="shared" si="18"/>
        <v>0.3</v>
      </c>
      <c r="L230" s="128">
        <f t="shared" si="18"/>
        <v>0.3</v>
      </c>
      <c r="M230" s="128">
        <f t="shared" si="18"/>
        <v>0.3</v>
      </c>
      <c r="N230" s="128">
        <f t="shared" si="18"/>
        <v>0.3</v>
      </c>
      <c r="O230" s="128">
        <f t="shared" si="18"/>
        <v>0.3</v>
      </c>
      <c r="P230" s="128">
        <f t="shared" si="18"/>
        <v>0.3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x14ac:dyDescent="0.25">
      <c r="A231" s="103" t="s">
        <v>237</v>
      </c>
      <c r="B231" s="128">
        <f t="shared" si="17"/>
        <v>0</v>
      </c>
      <c r="C231" s="128">
        <v>0.4</v>
      </c>
      <c r="D231" s="128">
        <f t="shared" si="18"/>
        <v>0.4</v>
      </c>
      <c r="E231" s="128">
        <f t="shared" si="18"/>
        <v>0.4</v>
      </c>
      <c r="F231" s="128">
        <f t="shared" si="18"/>
        <v>0.4</v>
      </c>
      <c r="G231" s="128">
        <f t="shared" si="18"/>
        <v>0.4</v>
      </c>
      <c r="H231" s="128">
        <f t="shared" si="18"/>
        <v>0.4</v>
      </c>
      <c r="I231" s="128">
        <f t="shared" si="18"/>
        <v>0.4</v>
      </c>
      <c r="J231" s="128">
        <f t="shared" si="18"/>
        <v>0.4</v>
      </c>
      <c r="K231" s="128">
        <f t="shared" si="18"/>
        <v>0.4</v>
      </c>
      <c r="L231" s="128">
        <f t="shared" si="18"/>
        <v>0.4</v>
      </c>
      <c r="M231" s="128">
        <f t="shared" si="18"/>
        <v>0.4</v>
      </c>
      <c r="N231" s="128">
        <f t="shared" si="18"/>
        <v>0.4</v>
      </c>
      <c r="O231" s="128">
        <f t="shared" si="18"/>
        <v>0.4</v>
      </c>
      <c r="P231" s="128">
        <f t="shared" si="18"/>
        <v>0.4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</v>
      </c>
      <c r="AH231" s="47"/>
      <c r="AI231" s="48"/>
      <c r="AK231" s="49"/>
    </row>
    <row r="232" spans="1:37" ht="15.75" thickBot="1" x14ac:dyDescent="0.3">
      <c r="A232" s="116" t="s">
        <v>238</v>
      </c>
      <c r="B232" s="132">
        <f t="shared" si="17"/>
        <v>0</v>
      </c>
      <c r="C232" s="132">
        <v>0.64</v>
      </c>
      <c r="D232" s="132">
        <f t="shared" si="18"/>
        <v>0.64</v>
      </c>
      <c r="E232" s="132">
        <f t="shared" si="18"/>
        <v>0.64</v>
      </c>
      <c r="F232" s="132">
        <f t="shared" si="18"/>
        <v>0.64</v>
      </c>
      <c r="G232" s="132">
        <f t="shared" si="18"/>
        <v>0.64</v>
      </c>
      <c r="H232" s="132">
        <f t="shared" si="18"/>
        <v>0.64</v>
      </c>
      <c r="I232" s="132">
        <f t="shared" si="18"/>
        <v>0.64</v>
      </c>
      <c r="J232" s="132">
        <f t="shared" si="18"/>
        <v>0.64</v>
      </c>
      <c r="K232" s="132">
        <f t="shared" si="18"/>
        <v>0.64</v>
      </c>
      <c r="L232" s="132">
        <f t="shared" si="18"/>
        <v>0.64</v>
      </c>
      <c r="M232" s="132">
        <f t="shared" si="18"/>
        <v>0.64</v>
      </c>
      <c r="N232" s="132">
        <f t="shared" si="18"/>
        <v>0.64</v>
      </c>
      <c r="O232" s="132">
        <f t="shared" si="18"/>
        <v>0.64</v>
      </c>
      <c r="P232" s="132">
        <f t="shared" si="18"/>
        <v>0.64</v>
      </c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43">
        <v>0.66</v>
      </c>
      <c r="AH232" s="47"/>
      <c r="AI232" s="48"/>
    </row>
    <row r="233" spans="1:37" ht="15.75" thickBot="1" x14ac:dyDescent="0.3">
      <c r="A233" s="144" t="s">
        <v>73</v>
      </c>
      <c r="B233" s="136">
        <f t="shared" ref="B233:AG233" si="19">SUM(B227:B232)</f>
        <v>0</v>
      </c>
      <c r="C233" s="136">
        <f t="shared" si="19"/>
        <v>3.54</v>
      </c>
      <c r="D233" s="136">
        <f t="shared" si="19"/>
        <v>3.54</v>
      </c>
      <c r="E233" s="136">
        <f t="shared" si="19"/>
        <v>3.54</v>
      </c>
      <c r="F233" s="136">
        <f t="shared" si="19"/>
        <v>3.54</v>
      </c>
      <c r="G233" s="136">
        <f t="shared" si="19"/>
        <v>3.54</v>
      </c>
      <c r="H233" s="136">
        <f t="shared" si="19"/>
        <v>3.54</v>
      </c>
      <c r="I233" s="136">
        <f t="shared" ca="1" si="19"/>
        <v>121.23900000000009</v>
      </c>
      <c r="J233" s="136">
        <f t="shared" ca="1" si="19"/>
        <v>121.23900000000009</v>
      </c>
      <c r="K233" s="136">
        <f t="shared" ca="1" si="19"/>
        <v>121.23900000000009</v>
      </c>
      <c r="L233" s="136">
        <f t="shared" ca="1" si="19"/>
        <v>121.23900000000009</v>
      </c>
      <c r="M233" s="136">
        <f t="shared" ca="1" si="19"/>
        <v>125.2590000000001</v>
      </c>
      <c r="N233" s="136">
        <f t="shared" ca="1" si="19"/>
        <v>121.23900000000009</v>
      </c>
      <c r="O233" s="136">
        <f t="shared" ca="1" si="19"/>
        <v>121.23900000000009</v>
      </c>
      <c r="P233" s="136">
        <f t="shared" ca="1" si="19"/>
        <v>109.17900000000006</v>
      </c>
      <c r="Q233" s="136">
        <f t="shared" si="19"/>
        <v>0</v>
      </c>
      <c r="R233" s="136">
        <f t="shared" si="19"/>
        <v>0</v>
      </c>
      <c r="S233" s="136">
        <f t="shared" si="19"/>
        <v>0</v>
      </c>
      <c r="T233" s="136">
        <f t="shared" si="19"/>
        <v>0</v>
      </c>
      <c r="U233" s="136">
        <f t="shared" si="19"/>
        <v>0</v>
      </c>
      <c r="V233" s="136">
        <f t="shared" si="19"/>
        <v>0</v>
      </c>
      <c r="W233" s="136">
        <f t="shared" si="19"/>
        <v>0</v>
      </c>
      <c r="X233" s="136">
        <f t="shared" si="19"/>
        <v>0</v>
      </c>
      <c r="Y233" s="136">
        <f t="shared" si="19"/>
        <v>0</v>
      </c>
      <c r="Z233" s="136">
        <f t="shared" si="19"/>
        <v>0</v>
      </c>
      <c r="AA233" s="136">
        <f t="shared" si="19"/>
        <v>0</v>
      </c>
      <c r="AB233" s="136">
        <f t="shared" si="19"/>
        <v>0</v>
      </c>
      <c r="AC233" s="136">
        <f t="shared" si="19"/>
        <v>0</v>
      </c>
      <c r="AD233" s="136">
        <f t="shared" si="19"/>
        <v>0</v>
      </c>
      <c r="AE233" s="136">
        <f t="shared" si="19"/>
        <v>0</v>
      </c>
      <c r="AF233" s="136">
        <f t="shared" si="19"/>
        <v>0</v>
      </c>
      <c r="AG233" s="145">
        <f t="shared" si="19"/>
        <v>8.56</v>
      </c>
      <c r="AH233" s="47"/>
      <c r="AI233" s="48"/>
    </row>
    <row r="234" spans="1:37" ht="15.75" thickBot="1" x14ac:dyDescent="0.3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139"/>
      <c r="AH234" s="43"/>
    </row>
    <row r="235" spans="1:37" x14ac:dyDescent="0.25">
      <c r="A235" s="146" t="s">
        <v>239</v>
      </c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8"/>
      <c r="AG235" s="43"/>
      <c r="AH235" s="47"/>
      <c r="AI235" s="48"/>
    </row>
    <row r="236" spans="1:37" x14ac:dyDescent="0.25">
      <c r="A236" s="149" t="s">
        <v>240</v>
      </c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1"/>
      <c r="AG236" s="152"/>
      <c r="AH236" s="47"/>
      <c r="AI236" s="48"/>
    </row>
    <row r="237" spans="1:37" x14ac:dyDescent="0.25">
      <c r="A237" s="153" t="s">
        <v>241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x14ac:dyDescent="0.25">
      <c r="A238" s="153" t="s">
        <v>242</v>
      </c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5"/>
      <c r="AG238" s="152"/>
      <c r="AH238" s="47"/>
      <c r="AI238" s="48"/>
    </row>
    <row r="239" spans="1:37" ht="15.75" thickBot="1" x14ac:dyDescent="0.3">
      <c r="A239" s="156" t="s">
        <v>243</v>
      </c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8"/>
      <c r="AG239" s="152"/>
      <c r="AH239" s="47"/>
      <c r="AI239" s="48"/>
    </row>
    <row r="240" spans="1:37" x14ac:dyDescent="0.25"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A242" s="159" t="s">
        <v>244</v>
      </c>
      <c r="B242" s="160">
        <f>MAX(G89:N89)</f>
        <v>1587.9400000000003</v>
      </c>
      <c r="C242" s="161">
        <f>INDEX(G9:N9,1,MATCH(MAX(G89:N89),G89:N89,0))</f>
        <v>0.375</v>
      </c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MID(CELL("filename",C7),FIND("]",CELL("filename",C7))+1,600)</f>
        <v>8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78" t="s">
        <v>245</v>
      </c>
      <c r="B244" s="178"/>
      <c r="C244" s="43"/>
      <c r="D244" s="162" t="str">
        <f ca="1">"Pie Chart of Daily Peak Demand(Inclusive of Export) of Nepal ("&amp;A4&amp;" "&amp;B4&amp;")"</f>
        <v>Pie Chart of Daily Peak Demand(Inclusive of Export) of Nepal (Nepali Date: 2080/02/8)</v>
      </c>
      <c r="E244" s="43"/>
      <c r="F244" s="43"/>
      <c r="G244" s="162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162" t="str">
        <f ca="1">"Daily Load Curve(Excluding of Export) of Nepal ("&amp;A4&amp;" "&amp;B4&amp;")"</f>
        <v>Daily Load Curve(Excluding of Export) of Nepal (Nepali Date: 2080/02/8)</v>
      </c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2.75" customHeight="1" thickBot="1" x14ac:dyDescent="0.3">
      <c r="A245" s="163" t="s">
        <v>7</v>
      </c>
      <c r="B245" s="164"/>
      <c r="C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ht="15.75" thickTop="1" x14ac:dyDescent="0.25">
      <c r="A246" s="163" t="s">
        <v>246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5" t="s">
        <v>247</v>
      </c>
      <c r="T246" s="166">
        <v>0</v>
      </c>
      <c r="U246" s="167">
        <v>4.1666666666666664E-2</v>
      </c>
      <c r="V246" s="168">
        <v>8.3333333333333301E-2</v>
      </c>
      <c r="W246" s="168">
        <v>0.125</v>
      </c>
      <c r="X246" s="168">
        <v>0.16666666666666699</v>
      </c>
      <c r="Y246" s="168">
        <v>0.20833333333333301</v>
      </c>
      <c r="Z246" s="168">
        <v>0.22916666666666666</v>
      </c>
      <c r="AA246" s="168">
        <v>0.25</v>
      </c>
      <c r="AB246" s="168">
        <v>0.27083333333333331</v>
      </c>
      <c r="AC246" s="168">
        <v>0.29166666666666669</v>
      </c>
      <c r="AD246" s="168">
        <v>0.3125</v>
      </c>
      <c r="AE246" s="169">
        <v>0.33333333333333331</v>
      </c>
      <c r="AF246" s="169">
        <v>0.375</v>
      </c>
      <c r="AG246" s="169">
        <v>0.41666666666666702</v>
      </c>
      <c r="AH246" s="169">
        <v>0.45833333333333298</v>
      </c>
      <c r="AI246" s="169">
        <v>0.5</v>
      </c>
      <c r="AJ246" s="169">
        <v>0.54166666666666696</v>
      </c>
      <c r="AK246" s="169">
        <v>0.58333333333333304</v>
      </c>
      <c r="AL246" s="169">
        <v>0.625</v>
      </c>
      <c r="AM246" s="169">
        <v>0.66666666666666696</v>
      </c>
      <c r="AN246" s="169">
        <v>0.70833333333333304</v>
      </c>
      <c r="AO246" s="169">
        <v>0.72916666666666663</v>
      </c>
      <c r="AP246" s="169">
        <v>0.75</v>
      </c>
      <c r="AQ246" s="169">
        <v>0.77083333333333337</v>
      </c>
      <c r="AR246" s="169">
        <v>0.79166666666666663</v>
      </c>
      <c r="AS246" s="169">
        <v>0.8125</v>
      </c>
      <c r="AT246" s="168">
        <v>0.83333333333333337</v>
      </c>
      <c r="AU246" s="168">
        <v>0.85416666666666663</v>
      </c>
      <c r="AV246" s="168">
        <v>0.875</v>
      </c>
      <c r="AW246" s="168">
        <v>0.91666666666666696</v>
      </c>
      <c r="AX246" s="168">
        <v>0.95833333333333304</v>
      </c>
    </row>
    <row r="247" spans="1:50" x14ac:dyDescent="0.25">
      <c r="A247" s="163" t="s">
        <v>248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 t="s">
        <v>249</v>
      </c>
      <c r="T247" s="170">
        <f t="shared" ref="T247:AX247" si="20">B89</f>
        <v>1497.0400000000002</v>
      </c>
      <c r="U247" s="170">
        <f t="shared" si="20"/>
        <v>1436.4400000000003</v>
      </c>
      <c r="V247" s="170">
        <f t="shared" si="20"/>
        <v>1457.2400000000002</v>
      </c>
      <c r="W247" s="170">
        <f t="shared" si="20"/>
        <v>1423.6400000000003</v>
      </c>
      <c r="X247" s="170">
        <f t="shared" si="20"/>
        <v>1429.0400000000002</v>
      </c>
      <c r="Y247" s="170">
        <f t="shared" si="20"/>
        <v>1400.24</v>
      </c>
      <c r="Z247" s="170">
        <f t="shared" si="20"/>
        <v>1459.3400000000001</v>
      </c>
      <c r="AA247" s="170">
        <f t="shared" si="20"/>
        <v>1469.64</v>
      </c>
      <c r="AB247" s="170">
        <f t="shared" si="20"/>
        <v>1466.3400000000001</v>
      </c>
      <c r="AC247" s="170">
        <f t="shared" si="20"/>
        <v>1478.74</v>
      </c>
      <c r="AD247" s="170">
        <f t="shared" si="20"/>
        <v>1512.7400000000002</v>
      </c>
      <c r="AE247" s="170">
        <f t="shared" si="20"/>
        <v>1532.2400000000002</v>
      </c>
      <c r="AF247" s="170">
        <f t="shared" si="20"/>
        <v>1587.9400000000003</v>
      </c>
      <c r="AG247" s="170">
        <f t="shared" si="20"/>
        <v>1625.24</v>
      </c>
      <c r="AH247" s="170">
        <f t="shared" si="20"/>
        <v>1608.8400000000001</v>
      </c>
      <c r="AI247" s="170">
        <f t="shared" si="20"/>
        <v>1590.9400000000003</v>
      </c>
      <c r="AJ247" s="170">
        <f t="shared" si="20"/>
        <v>1653.94</v>
      </c>
      <c r="AK247" s="170">
        <f t="shared" si="20"/>
        <v>1684.94</v>
      </c>
      <c r="AL247" s="170">
        <f t="shared" si="20"/>
        <v>1634.7400000000002</v>
      </c>
      <c r="AM247" s="170">
        <f t="shared" si="20"/>
        <v>1599.4400000000003</v>
      </c>
      <c r="AN247" s="170">
        <f t="shared" si="20"/>
        <v>1564.3400000000001</v>
      </c>
      <c r="AO247" s="170">
        <f t="shared" si="20"/>
        <v>1535.1400000000003</v>
      </c>
      <c r="AP247" s="170">
        <f t="shared" si="20"/>
        <v>1487.3400000000001</v>
      </c>
      <c r="AQ247" s="170">
        <f t="shared" si="20"/>
        <v>1603.5400000000004</v>
      </c>
      <c r="AR247" s="170">
        <f t="shared" si="20"/>
        <v>1563.4400000000003</v>
      </c>
      <c r="AS247" s="170">
        <f t="shared" si="20"/>
        <v>1788.3400000000001</v>
      </c>
      <c r="AT247" s="170">
        <f t="shared" si="20"/>
        <v>1769.44</v>
      </c>
      <c r="AU247" s="170">
        <f t="shared" si="20"/>
        <v>1738.6399999999999</v>
      </c>
      <c r="AV247" s="170">
        <f t="shared" si="20"/>
        <v>1673.04</v>
      </c>
      <c r="AW247" s="170">
        <f t="shared" si="20"/>
        <v>1584.6399999999999</v>
      </c>
      <c r="AX247" s="170">
        <f t="shared" si="20"/>
        <v>1586.34</v>
      </c>
    </row>
    <row r="248" spans="1:50" x14ac:dyDescent="0.25">
      <c r="A248" s="163" t="s">
        <v>250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252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253</v>
      </c>
      <c r="B251" s="171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254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A268" s="172" t="s">
        <v>239</v>
      </c>
      <c r="B268" s="173">
        <f t="shared" ref="B268:AE268" si="21">C232</f>
        <v>0.64</v>
      </c>
      <c r="C268" s="173">
        <f t="shared" si="21"/>
        <v>0.64</v>
      </c>
      <c r="D268" s="173">
        <f t="shared" si="21"/>
        <v>0.64</v>
      </c>
      <c r="E268" s="173">
        <f t="shared" si="21"/>
        <v>0.64</v>
      </c>
      <c r="F268" s="173">
        <f t="shared" si="21"/>
        <v>0.64</v>
      </c>
      <c r="G268" s="173">
        <f t="shared" si="21"/>
        <v>0.64</v>
      </c>
      <c r="H268" s="173">
        <f t="shared" si="21"/>
        <v>0.64</v>
      </c>
      <c r="I268" s="173">
        <f t="shared" si="21"/>
        <v>0.64</v>
      </c>
      <c r="J268" s="173">
        <f t="shared" si="21"/>
        <v>0.64</v>
      </c>
      <c r="K268" s="173">
        <f t="shared" si="21"/>
        <v>0.64</v>
      </c>
      <c r="L268" s="173">
        <f t="shared" si="21"/>
        <v>0.64</v>
      </c>
      <c r="M268" s="173">
        <f t="shared" si="21"/>
        <v>0.64</v>
      </c>
      <c r="N268" s="173">
        <f t="shared" si="21"/>
        <v>0.64</v>
      </c>
      <c r="O268" s="173">
        <f t="shared" si="21"/>
        <v>0.64</v>
      </c>
      <c r="P268" s="173">
        <f t="shared" si="21"/>
        <v>0</v>
      </c>
      <c r="Q268" s="173">
        <f t="shared" si="21"/>
        <v>0</v>
      </c>
      <c r="R268" s="173">
        <f t="shared" si="21"/>
        <v>0</v>
      </c>
      <c r="S268" s="173">
        <f t="shared" si="21"/>
        <v>0</v>
      </c>
      <c r="T268" s="173">
        <f t="shared" si="21"/>
        <v>0</v>
      </c>
      <c r="U268" s="173">
        <f t="shared" si="21"/>
        <v>0</v>
      </c>
      <c r="V268" s="173">
        <f t="shared" si="21"/>
        <v>0</v>
      </c>
      <c r="W268" s="173">
        <f t="shared" si="21"/>
        <v>0</v>
      </c>
      <c r="X268" s="173">
        <f t="shared" si="21"/>
        <v>0</v>
      </c>
      <c r="Y268" s="173">
        <f t="shared" si="21"/>
        <v>0</v>
      </c>
      <c r="Z268" s="173">
        <f t="shared" si="21"/>
        <v>0</v>
      </c>
      <c r="AA268" s="173">
        <f t="shared" si="21"/>
        <v>0</v>
      </c>
      <c r="AB268" s="173">
        <f t="shared" si="21"/>
        <v>0</v>
      </c>
      <c r="AC268" s="173">
        <f t="shared" si="21"/>
        <v>0</v>
      </c>
      <c r="AD268" s="173">
        <f t="shared" si="21"/>
        <v>0</v>
      </c>
      <c r="AE268" s="173">
        <f t="shared" si="21"/>
        <v>0</v>
      </c>
      <c r="AF268" s="173">
        <f>B232</f>
        <v>0</v>
      </c>
      <c r="AG268" s="43"/>
      <c r="AH268" s="43"/>
    </row>
    <row r="269" spans="1:34" x14ac:dyDescent="0.25">
      <c r="A269" s="174" t="str">
        <f>A236</f>
        <v>KGA</v>
      </c>
      <c r="B269" s="174" t="str">
        <f t="shared" ref="B269:AF269" si="22">IF(B236&lt;100,"",B236-520)</f>
        <v/>
      </c>
      <c r="C269" s="174" t="str">
        <f t="shared" si="22"/>
        <v/>
      </c>
      <c r="D269" s="174" t="str">
        <f t="shared" si="22"/>
        <v/>
      </c>
      <c r="E269" s="174" t="str">
        <f t="shared" si="22"/>
        <v/>
      </c>
      <c r="F269" s="174" t="str">
        <f t="shared" si="22"/>
        <v/>
      </c>
      <c r="G269" s="174" t="str">
        <f t="shared" si="22"/>
        <v/>
      </c>
      <c r="H269" s="174" t="str">
        <f t="shared" si="22"/>
        <v/>
      </c>
      <c r="I269" s="174" t="str">
        <f t="shared" si="22"/>
        <v/>
      </c>
      <c r="J269" s="174" t="str">
        <f t="shared" si="22"/>
        <v/>
      </c>
      <c r="K269" s="174" t="str">
        <f t="shared" si="22"/>
        <v/>
      </c>
      <c r="L269" s="174" t="str">
        <f t="shared" si="22"/>
        <v/>
      </c>
      <c r="M269" s="174" t="str">
        <f t="shared" si="22"/>
        <v/>
      </c>
      <c r="N269" s="174" t="str">
        <f t="shared" si="22"/>
        <v/>
      </c>
      <c r="O269" s="174" t="str">
        <f t="shared" si="22"/>
        <v/>
      </c>
      <c r="P269" s="174" t="str">
        <f t="shared" si="22"/>
        <v/>
      </c>
      <c r="Q269" s="174" t="str">
        <f t="shared" si="22"/>
        <v/>
      </c>
      <c r="R269" s="174" t="str">
        <f t="shared" si="22"/>
        <v/>
      </c>
      <c r="S269" s="174" t="str">
        <f t="shared" si="22"/>
        <v/>
      </c>
      <c r="T269" s="174" t="str">
        <f t="shared" si="22"/>
        <v/>
      </c>
      <c r="U269" s="174" t="str">
        <f t="shared" si="22"/>
        <v/>
      </c>
      <c r="V269" s="174" t="str">
        <f t="shared" si="22"/>
        <v/>
      </c>
      <c r="W269" s="174" t="str">
        <f t="shared" si="22"/>
        <v/>
      </c>
      <c r="X269" s="174" t="str">
        <f t="shared" si="22"/>
        <v/>
      </c>
      <c r="Y269" s="174" t="str">
        <f t="shared" si="22"/>
        <v/>
      </c>
      <c r="Z269" s="174" t="str">
        <f t="shared" si="22"/>
        <v/>
      </c>
      <c r="AA269" s="174" t="str">
        <f t="shared" si="22"/>
        <v/>
      </c>
      <c r="AB269" s="174" t="str">
        <f t="shared" si="22"/>
        <v/>
      </c>
      <c r="AC269" s="174" t="str">
        <f t="shared" si="22"/>
        <v/>
      </c>
      <c r="AD269" s="174" t="str">
        <f t="shared" si="22"/>
        <v/>
      </c>
      <c r="AE269" s="174" t="str">
        <f t="shared" si="22"/>
        <v/>
      </c>
      <c r="AF269" s="174" t="str">
        <f t="shared" si="22"/>
        <v/>
      </c>
      <c r="AG269" s="43"/>
      <c r="AH269" s="43"/>
    </row>
    <row r="270" spans="1:34" x14ac:dyDescent="0.25">
      <c r="A270" s="174" t="str">
        <f>A237</f>
        <v>MMRS</v>
      </c>
      <c r="B270" s="174" t="str">
        <f t="shared" ref="B270:AF270" si="23">IF(B237&lt;100,"",B237-620)</f>
        <v/>
      </c>
      <c r="C270" s="174" t="str">
        <f t="shared" si="23"/>
        <v/>
      </c>
      <c r="D270" s="174" t="str">
        <f t="shared" si="23"/>
        <v/>
      </c>
      <c r="E270" s="174" t="str">
        <f t="shared" si="23"/>
        <v/>
      </c>
      <c r="F270" s="174" t="str">
        <f t="shared" si="23"/>
        <v/>
      </c>
      <c r="G270" s="174" t="str">
        <f t="shared" si="23"/>
        <v/>
      </c>
      <c r="H270" s="174" t="str">
        <f t="shared" si="23"/>
        <v/>
      </c>
      <c r="I270" s="174" t="str">
        <f t="shared" si="23"/>
        <v/>
      </c>
      <c r="J270" s="174" t="str">
        <f t="shared" si="23"/>
        <v/>
      </c>
      <c r="K270" s="174" t="str">
        <f t="shared" si="23"/>
        <v/>
      </c>
      <c r="L270" s="174" t="str">
        <f t="shared" si="23"/>
        <v/>
      </c>
      <c r="M270" s="174" t="str">
        <f t="shared" si="23"/>
        <v/>
      </c>
      <c r="N270" s="174" t="str">
        <f t="shared" si="23"/>
        <v/>
      </c>
      <c r="O270" s="174" t="str">
        <f t="shared" si="23"/>
        <v/>
      </c>
      <c r="P270" s="174" t="str">
        <f t="shared" si="23"/>
        <v/>
      </c>
      <c r="Q270" s="174" t="str">
        <f t="shared" si="23"/>
        <v/>
      </c>
      <c r="R270" s="174" t="str">
        <f t="shared" si="23"/>
        <v/>
      </c>
      <c r="S270" s="174" t="str">
        <f t="shared" si="23"/>
        <v/>
      </c>
      <c r="T270" s="174" t="str">
        <f t="shared" si="23"/>
        <v/>
      </c>
      <c r="U270" s="174" t="str">
        <f t="shared" si="23"/>
        <v/>
      </c>
      <c r="V270" s="174" t="str">
        <f t="shared" si="23"/>
        <v/>
      </c>
      <c r="W270" s="174" t="str">
        <f t="shared" si="23"/>
        <v/>
      </c>
      <c r="X270" s="174" t="str">
        <f t="shared" si="23"/>
        <v/>
      </c>
      <c r="Y270" s="174" t="str">
        <f t="shared" si="23"/>
        <v/>
      </c>
      <c r="Z270" s="174" t="str">
        <f t="shared" si="23"/>
        <v/>
      </c>
      <c r="AA270" s="174" t="str">
        <f t="shared" si="23"/>
        <v/>
      </c>
      <c r="AB270" s="174" t="str">
        <f t="shared" si="23"/>
        <v/>
      </c>
      <c r="AC270" s="174" t="str">
        <f t="shared" si="23"/>
        <v/>
      </c>
      <c r="AD270" s="174" t="str">
        <f t="shared" si="23"/>
        <v/>
      </c>
      <c r="AE270" s="174" t="str">
        <f t="shared" si="23"/>
        <v/>
      </c>
      <c r="AF270" s="174" t="str">
        <f t="shared" si="23"/>
        <v/>
      </c>
      <c r="AG270" s="43"/>
      <c r="AH270" s="43"/>
    </row>
    <row r="271" spans="1:34" x14ac:dyDescent="0.25">
      <c r="A271" s="174" t="str">
        <f>A238</f>
        <v>MRS</v>
      </c>
      <c r="B271" s="174" t="str">
        <f t="shared" ref="B271:AF271" si="24">IF(B238&lt;100,"",B238-330)</f>
        <v/>
      </c>
      <c r="C271" s="174" t="str">
        <f t="shared" si="24"/>
        <v/>
      </c>
      <c r="D271" s="174" t="str">
        <f t="shared" si="24"/>
        <v/>
      </c>
      <c r="E271" s="174" t="str">
        <f t="shared" si="24"/>
        <v/>
      </c>
      <c r="F271" s="174" t="str">
        <f t="shared" si="24"/>
        <v/>
      </c>
      <c r="G271" s="174" t="str">
        <f t="shared" si="24"/>
        <v/>
      </c>
      <c r="H271" s="174" t="str">
        <f t="shared" si="24"/>
        <v/>
      </c>
      <c r="I271" s="174" t="str">
        <f t="shared" si="24"/>
        <v/>
      </c>
      <c r="J271" s="174" t="str">
        <f t="shared" si="24"/>
        <v/>
      </c>
      <c r="K271" s="174" t="str">
        <f t="shared" si="24"/>
        <v/>
      </c>
      <c r="L271" s="174" t="str">
        <f t="shared" si="24"/>
        <v/>
      </c>
      <c r="M271" s="174" t="str">
        <f t="shared" si="24"/>
        <v/>
      </c>
      <c r="N271" s="174" t="str">
        <f t="shared" si="24"/>
        <v/>
      </c>
      <c r="O271" s="174" t="str">
        <f t="shared" si="24"/>
        <v/>
      </c>
      <c r="P271" s="174" t="str">
        <f t="shared" si="24"/>
        <v/>
      </c>
      <c r="Q271" s="174" t="str">
        <f t="shared" si="24"/>
        <v/>
      </c>
      <c r="R271" s="174" t="str">
        <f t="shared" si="24"/>
        <v/>
      </c>
      <c r="S271" s="174" t="str">
        <f t="shared" si="24"/>
        <v/>
      </c>
      <c r="T271" s="174" t="str">
        <f t="shared" si="24"/>
        <v/>
      </c>
      <c r="U271" s="174" t="str">
        <f t="shared" si="24"/>
        <v/>
      </c>
      <c r="V271" s="174" t="str">
        <f t="shared" si="24"/>
        <v/>
      </c>
      <c r="W271" s="174" t="str">
        <f t="shared" si="24"/>
        <v/>
      </c>
      <c r="X271" s="174" t="str">
        <f t="shared" si="24"/>
        <v/>
      </c>
      <c r="Y271" s="174" t="str">
        <f t="shared" si="24"/>
        <v/>
      </c>
      <c r="Z271" s="174" t="str">
        <f t="shared" si="24"/>
        <v/>
      </c>
      <c r="AA271" s="174" t="str">
        <f t="shared" si="24"/>
        <v/>
      </c>
      <c r="AB271" s="174" t="str">
        <f t="shared" si="24"/>
        <v/>
      </c>
      <c r="AC271" s="174" t="str">
        <f t="shared" si="24"/>
        <v/>
      </c>
      <c r="AD271" s="174" t="str">
        <f t="shared" si="24"/>
        <v/>
      </c>
      <c r="AE271" s="174" t="str">
        <f t="shared" si="24"/>
        <v/>
      </c>
      <c r="AF271" s="174" t="str">
        <f t="shared" si="24"/>
        <v/>
      </c>
      <c r="AG271" s="43"/>
      <c r="AH271" s="43"/>
    </row>
    <row r="272" spans="1:34" x14ac:dyDescent="0.25">
      <c r="A272" s="174" t="str">
        <f>A239</f>
        <v>KL 1</v>
      </c>
      <c r="B272" s="174" t="str">
        <f t="shared" ref="B272:AF272" si="25">IF(B239&lt;100,"",B239-1500)</f>
        <v/>
      </c>
      <c r="C272" s="174" t="str">
        <f t="shared" si="25"/>
        <v/>
      </c>
      <c r="D272" s="174" t="str">
        <f t="shared" si="25"/>
        <v/>
      </c>
      <c r="E272" s="174" t="str">
        <f t="shared" si="25"/>
        <v/>
      </c>
      <c r="F272" s="174" t="str">
        <f t="shared" si="25"/>
        <v/>
      </c>
      <c r="G272" s="174" t="str">
        <f t="shared" si="25"/>
        <v/>
      </c>
      <c r="H272" s="174" t="str">
        <f t="shared" si="25"/>
        <v/>
      </c>
      <c r="I272" s="174" t="str">
        <f t="shared" si="25"/>
        <v/>
      </c>
      <c r="J272" s="174" t="str">
        <f t="shared" si="25"/>
        <v/>
      </c>
      <c r="K272" s="174" t="str">
        <f t="shared" si="25"/>
        <v/>
      </c>
      <c r="L272" s="174" t="str">
        <f t="shared" si="25"/>
        <v/>
      </c>
      <c r="M272" s="174" t="str">
        <f t="shared" si="25"/>
        <v/>
      </c>
      <c r="N272" s="174" t="str">
        <f t="shared" si="25"/>
        <v/>
      </c>
      <c r="O272" s="174" t="str">
        <f t="shared" si="25"/>
        <v/>
      </c>
      <c r="P272" s="174" t="str">
        <f t="shared" si="25"/>
        <v/>
      </c>
      <c r="Q272" s="174" t="str">
        <f t="shared" si="25"/>
        <v/>
      </c>
      <c r="R272" s="174" t="str">
        <f t="shared" si="25"/>
        <v/>
      </c>
      <c r="S272" s="174" t="str">
        <f t="shared" si="25"/>
        <v/>
      </c>
      <c r="T272" s="174" t="str">
        <f t="shared" si="25"/>
        <v/>
      </c>
      <c r="U272" s="174" t="str">
        <f t="shared" si="25"/>
        <v/>
      </c>
      <c r="V272" s="174" t="str">
        <f t="shared" si="25"/>
        <v/>
      </c>
      <c r="W272" s="174" t="str">
        <f t="shared" si="25"/>
        <v/>
      </c>
      <c r="X272" s="174" t="str">
        <f t="shared" si="25"/>
        <v/>
      </c>
      <c r="Y272" s="174" t="str">
        <f t="shared" si="25"/>
        <v/>
      </c>
      <c r="Z272" s="174" t="str">
        <f t="shared" si="25"/>
        <v/>
      </c>
      <c r="AA272" s="174" t="str">
        <f t="shared" si="25"/>
        <v/>
      </c>
      <c r="AB272" s="174" t="str">
        <f t="shared" si="25"/>
        <v/>
      </c>
      <c r="AC272" s="174" t="str">
        <f t="shared" si="25"/>
        <v/>
      </c>
      <c r="AD272" s="174" t="str">
        <f t="shared" si="25"/>
        <v/>
      </c>
      <c r="AE272" s="174" t="str">
        <f t="shared" si="25"/>
        <v/>
      </c>
      <c r="AF272" s="174" t="str">
        <f t="shared" si="25"/>
        <v/>
      </c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</row>
  </sheetData>
  <mergeCells count="49">
    <mergeCell ref="AN82:AN83"/>
    <mergeCell ref="A244:B244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7:AF228 B227:B233 B225:AF225 U246:AF246 B9:AF10 D230:AF233 D229:H229 J229:AF229 D109:AF109 D111:AF117">
    <cfRule type="expression" dxfId="10974" priority="344">
      <formula>B$9&gt;=20/24</formula>
    </cfRule>
    <cfRule type="expression" dxfId="10973" priority="345">
      <formula>AND(B$9&gt;=14/24,B$9&lt;20/24)</formula>
    </cfRule>
    <cfRule type="expression" dxfId="10972" priority="346">
      <formula>AND(B$9&gt;=8/24,B$9&lt;14/24)</formula>
    </cfRule>
    <cfRule type="expression" dxfId="10971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0970" priority="342">
      <formula>AG65&gt;$AG65</formula>
    </cfRule>
  </conditionalFormatting>
  <conditionalFormatting sqref="A99:A109 A59:A86 A95:A97 A203:A233 A46:A57 A119:A190 A41:A42 A91:A93 A88:A89 A111:A113 A38:A39 A19:A20 A12:A15 A22:A32 A17 A34:A36">
    <cfRule type="expression" dxfId="10969" priority="341">
      <formula>$AH12=0</formula>
    </cfRule>
  </conditionalFormatting>
  <conditionalFormatting sqref="A114">
    <cfRule type="expression" dxfId="10968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0967" priority="338">
      <formula>$AH45=0</formula>
    </cfRule>
  </conditionalFormatting>
  <conditionalFormatting sqref="A98">
    <cfRule type="expression" dxfId="10966" priority="337">
      <formula>$AH98=0</formula>
    </cfRule>
  </conditionalFormatting>
  <conditionalFormatting sqref="A18">
    <cfRule type="expression" dxfId="10965" priority="336">
      <formula>$AH18=0</formula>
    </cfRule>
  </conditionalFormatting>
  <conditionalFormatting sqref="A197:A202">
    <cfRule type="expression" dxfId="10964" priority="335">
      <formula>$AH197=0</formula>
    </cfRule>
  </conditionalFormatting>
  <conditionalFormatting sqref="A191:A196">
    <cfRule type="expression" dxfId="10963" priority="334">
      <formula>$AH191=0</formula>
    </cfRule>
  </conditionalFormatting>
  <conditionalFormatting sqref="A58">
    <cfRule type="expression" dxfId="10962" priority="333">
      <formula>$AH58=0</formula>
    </cfRule>
  </conditionalFormatting>
  <conditionalFormatting sqref="A94">
    <cfRule type="expression" dxfId="10961" priority="332">
      <formula>$AH94=0</formula>
    </cfRule>
  </conditionalFormatting>
  <conditionalFormatting sqref="AD99:AF99 E99:X99">
    <cfRule type="expression" dxfId="10960" priority="328">
      <formula>E$9&gt;=20/24</formula>
    </cfRule>
    <cfRule type="expression" dxfId="10959" priority="329">
      <formula>AND(E$9&gt;=14/24,E$9&lt;20/24)</formula>
    </cfRule>
    <cfRule type="expression" dxfId="10958" priority="330">
      <formula>AND(E$9&gt;=8/24,E$9&lt;14/24)</formula>
    </cfRule>
    <cfRule type="expression" dxfId="10957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956" priority="350">
      <formula>C$9&gt;=20/24</formula>
    </cfRule>
    <cfRule type="expression" dxfId="10955" priority="351">
      <formula>AND(C$9&gt;=14/24,C$9&lt;20/24)</formula>
    </cfRule>
    <cfRule type="expression" dxfId="10954" priority="352">
      <formula>AND(C$9&gt;=8/24,C$9&lt;14/24)</formula>
    </cfRule>
    <cfRule type="expression" dxfId="10953" priority="353">
      <formula>C$9&lt;8/24</formula>
    </cfRule>
  </conditionalFormatting>
  <conditionalFormatting sqref="A234">
    <cfRule type="expression" dxfId="10952" priority="354">
      <formula>$AH234=0</formula>
    </cfRule>
  </conditionalFormatting>
  <conditionalFormatting sqref="AG246">
    <cfRule type="expression" dxfId="10951" priority="355">
      <formula>B$9&gt;=20/24</formula>
    </cfRule>
    <cfRule type="expression" dxfId="10950" priority="356">
      <formula>AND(B$9&gt;=14/24,B$9&lt;20/24)</formula>
    </cfRule>
    <cfRule type="expression" dxfId="10949" priority="357">
      <formula>AND(B$9&gt;=8/24,B$9&lt;14/24)</formula>
    </cfRule>
    <cfRule type="expression" dxfId="10948" priority="358">
      <formula>B$9&lt;8/24</formula>
    </cfRule>
  </conditionalFormatting>
  <conditionalFormatting sqref="S8">
    <cfRule type="expression" dxfId="10947" priority="323">
      <formula>U$9&gt;=20/24</formula>
    </cfRule>
    <cfRule type="expression" dxfId="10946" priority="324">
      <formula>AND(U$9&gt;=14/24,U$9&lt;20/24)</formula>
    </cfRule>
    <cfRule type="expression" dxfId="10945" priority="325">
      <formula>AND(U$9&gt;=8/24,U$9&lt;14/24)</formula>
    </cfRule>
    <cfRule type="expression" dxfId="10944" priority="326">
      <formula>U$9&lt;8/24</formula>
    </cfRule>
  </conditionalFormatting>
  <conditionalFormatting sqref="AB8">
    <cfRule type="expression" dxfId="10943" priority="319">
      <formula>AD$9&gt;=20/24</formula>
    </cfRule>
    <cfRule type="expression" dxfId="10942" priority="320">
      <formula>AND(AD$9&gt;=14/24,AD$9&lt;20/24)</formula>
    </cfRule>
    <cfRule type="expression" dxfId="10941" priority="321">
      <formula>AND(AD$9&gt;=8/24,AD$9&lt;14/24)</formula>
    </cfRule>
    <cfRule type="expression" dxfId="10940" priority="322">
      <formula>AD$9&lt;8/24</formula>
    </cfRule>
  </conditionalFormatting>
  <conditionalFormatting sqref="AH246:AX246">
    <cfRule type="expression" dxfId="10939" priority="359">
      <formula>AG$9&gt;=20/24</formula>
    </cfRule>
    <cfRule type="expression" dxfId="10938" priority="360">
      <formula>AND(AG$9&gt;=14/24,AG$9&lt;20/24)</formula>
    </cfRule>
    <cfRule type="expression" dxfId="10937" priority="361">
      <formula>AND(AG$9&gt;=8/24,AG$9&lt;14/24)</formula>
    </cfRule>
    <cfRule type="expression" dxfId="10936" priority="362">
      <formula>AG$9&lt;8/24</formula>
    </cfRule>
  </conditionalFormatting>
  <conditionalFormatting sqref="T246">
    <cfRule type="expression" dxfId="10935" priority="363">
      <formula>AX$9&gt;=20/24</formula>
    </cfRule>
    <cfRule type="expression" dxfId="10934" priority="364">
      <formula>AND(AX$9&gt;=14/24,AX$9&lt;20/24)</formula>
    </cfRule>
    <cfRule type="expression" dxfId="10933" priority="365">
      <formula>AND(AX$9&gt;=8/24,AX$9&lt;14/24)</formula>
    </cfRule>
    <cfRule type="expression" dxfId="10932" priority="366">
      <formula>AX$9&lt;8/24</formula>
    </cfRule>
  </conditionalFormatting>
  <conditionalFormatting sqref="A115:A117">
    <cfRule type="expression" dxfId="10931" priority="318">
      <formula>$AH115=0</formula>
    </cfRule>
  </conditionalFormatting>
  <conditionalFormatting sqref="O54:R56 E71:AF71 AB54:AD55 AE54:AF56">
    <cfRule type="expression" dxfId="10930" priority="314">
      <formula>E$9&gt;=20/24</formula>
    </cfRule>
    <cfRule type="expression" dxfId="10929" priority="315">
      <formula>AND(E$9&gt;=14/24,E$9&lt;20/24)</formula>
    </cfRule>
    <cfRule type="expression" dxfId="10928" priority="316">
      <formula>AND(E$9&gt;=8/24,E$9&lt;14/24)</formula>
    </cfRule>
    <cfRule type="expression" dxfId="10927" priority="317">
      <formula>E$9&lt;8/24</formula>
    </cfRule>
  </conditionalFormatting>
  <conditionalFormatting sqref="O53:R53 AC53:AF53">
    <cfRule type="expression" dxfId="10926" priority="310">
      <formula>O$9&gt;=20/24</formula>
    </cfRule>
    <cfRule type="expression" dxfId="10925" priority="311">
      <formula>AND(O$9&gt;=14/24,O$9&lt;20/24)</formula>
    </cfRule>
    <cfRule type="expression" dxfId="10924" priority="312">
      <formula>AND(O$9&gt;=8/24,O$9&lt;14/24)</formula>
    </cfRule>
    <cfRule type="expression" dxfId="10923" priority="313">
      <formula>O$9&lt;8/24</formula>
    </cfRule>
  </conditionalFormatting>
  <conditionalFormatting sqref="O53:R56 AC53:AE53 AE54:AE56 AB54:AD55 AF53:AF56">
    <cfRule type="expression" dxfId="10922" priority="309">
      <formula>O53&gt;$AG53</formula>
    </cfRule>
  </conditionalFormatting>
  <conditionalFormatting sqref="D86:AF86 X96:AF96 X47:AF47 E72:AF73 M100:X106 X67:AF69 Y74:AF74">
    <cfRule type="expression" dxfId="10921" priority="305">
      <formula>D$9&gt;=20/24</formula>
    </cfRule>
    <cfRule type="expression" dxfId="10920" priority="306">
      <formula>AND(D$9&gt;=14/24,D$9&lt;20/24)</formula>
    </cfRule>
    <cfRule type="expression" dxfId="10919" priority="307">
      <formula>AND(D$9&gt;=8/24,D$9&lt;14/24)</formula>
    </cfRule>
    <cfRule type="expression" dxfId="10918" priority="308">
      <formula>D$9&lt;8/24</formula>
    </cfRule>
  </conditionalFormatting>
  <conditionalFormatting sqref="X47:AF47 X67:AF69">
    <cfRule type="expression" dxfId="10917" priority="304">
      <formula>X47&gt;$AG47</formula>
    </cfRule>
  </conditionalFormatting>
  <conditionalFormatting sqref="Z53:AA56 S53:Y57 AA57:AA58 Z57 AB53 AB56:AD58 AE57:AF58">
    <cfRule type="expression" dxfId="10916" priority="300">
      <formula>S$9&gt;=20/24</formula>
    </cfRule>
    <cfRule type="expression" dxfId="10915" priority="301">
      <formula>AND(S$9&gt;=14/24,S$9&lt;20/24)</formula>
    </cfRule>
    <cfRule type="expression" dxfId="10914" priority="302">
      <formula>AND(S$9&gt;=8/24,S$9&lt;14/24)</formula>
    </cfRule>
    <cfRule type="expression" dxfId="10913" priority="303">
      <formula>S$9&lt;8/24</formula>
    </cfRule>
  </conditionalFormatting>
  <conditionalFormatting sqref="Z53:AA56 S53:Y57 AA57:AA58 Z57 AB53 AB56:AD58 AE57:AF58">
    <cfRule type="expression" dxfId="10912" priority="299">
      <formula>S53&gt;$AG53</formula>
    </cfRule>
  </conditionalFormatting>
  <conditionalFormatting sqref="C97:AF97 D88:AF88">
    <cfRule type="expression" dxfId="10911" priority="295">
      <formula>C$9&gt;=20/24</formula>
    </cfRule>
    <cfRule type="expression" dxfId="10910" priority="296">
      <formula>AND(C$9&gt;=14/24,C$9&lt;20/24)</formula>
    </cfRule>
    <cfRule type="expression" dxfId="10909" priority="297">
      <formula>AND(C$9&gt;=8/24,C$9&lt;14/24)</formula>
    </cfRule>
    <cfRule type="expression" dxfId="10908" priority="298">
      <formula>C$9&lt;8/24</formula>
    </cfRule>
  </conditionalFormatting>
  <conditionalFormatting sqref="T47:W47">
    <cfRule type="expression" dxfId="10907" priority="291">
      <formula>T$9&gt;=20/24</formula>
    </cfRule>
    <cfRule type="expression" dxfId="10906" priority="292">
      <formula>AND(T$9&gt;=14/24,T$9&lt;20/24)</formula>
    </cfRule>
    <cfRule type="expression" dxfId="10905" priority="293">
      <formula>AND(T$9&gt;=8/24,T$9&lt;14/24)</formula>
    </cfRule>
    <cfRule type="expression" dxfId="10904" priority="294">
      <formula>T$9&lt;8/24</formula>
    </cfRule>
  </conditionalFormatting>
  <conditionalFormatting sqref="T47:W47">
    <cfRule type="expression" dxfId="10903" priority="290">
      <formula>T47&gt;$AG47</formula>
    </cfRule>
  </conditionalFormatting>
  <conditionalFormatting sqref="E54:N55">
    <cfRule type="expression" dxfId="10902" priority="286">
      <formula>E$9&gt;=20/24</formula>
    </cfRule>
    <cfRule type="expression" dxfId="10901" priority="287">
      <formula>AND(E$9&gt;=14/24,E$9&lt;20/24)</formula>
    </cfRule>
    <cfRule type="expression" dxfId="10900" priority="288">
      <formula>AND(E$9&gt;=8/24,E$9&lt;14/24)</formula>
    </cfRule>
    <cfRule type="expression" dxfId="10899" priority="289">
      <formula>E$9&lt;8/24</formula>
    </cfRule>
  </conditionalFormatting>
  <conditionalFormatting sqref="E53:N53">
    <cfRule type="expression" dxfId="10898" priority="282">
      <formula>E$9&gt;=20/24</formula>
    </cfRule>
    <cfRule type="expression" dxfId="10897" priority="283">
      <formula>AND(E$9&gt;=14/24,E$9&lt;20/24)</formula>
    </cfRule>
    <cfRule type="expression" dxfId="10896" priority="284">
      <formula>AND(E$9&gt;=8/24,E$9&lt;14/24)</formula>
    </cfRule>
    <cfRule type="expression" dxfId="10895" priority="285">
      <formula>E$9&lt;8/24</formula>
    </cfRule>
  </conditionalFormatting>
  <conditionalFormatting sqref="E53:N55">
    <cfRule type="expression" dxfId="10894" priority="281">
      <formula>E53&gt;$AG53</formula>
    </cfRule>
  </conditionalFormatting>
  <conditionalFormatting sqref="AG70 AG87 E100:L106 R67:W69">
    <cfRule type="expression" dxfId="10893" priority="277">
      <formula>E$9&gt;=20/24</formula>
    </cfRule>
    <cfRule type="expression" dxfId="10892" priority="278">
      <formula>AND(E$9&gt;=14/24,E$9&lt;20/24)</formula>
    </cfRule>
    <cfRule type="expression" dxfId="10891" priority="279">
      <formula>AND(E$9&gt;=8/24,E$9&lt;14/24)</formula>
    </cfRule>
    <cfRule type="expression" dxfId="10890" priority="280">
      <formula>E$9&lt;8/24</formula>
    </cfRule>
  </conditionalFormatting>
  <conditionalFormatting sqref="AG48 AG66 AG70 R67:W69">
    <cfRule type="expression" dxfId="10889" priority="276">
      <formula>R48&gt;$AG48</formula>
    </cfRule>
  </conditionalFormatting>
  <conditionalFormatting sqref="A43">
    <cfRule type="expression" dxfId="10888" priority="270">
      <formula>$AH43=0</formula>
    </cfRule>
  </conditionalFormatting>
  <conditionalFormatting sqref="X91:AF95">
    <cfRule type="expression" dxfId="10887" priority="266">
      <formula>X$9&gt;=20/24</formula>
    </cfRule>
    <cfRule type="expression" dxfId="10886" priority="267">
      <formula>AND(X$9&gt;=14/24,X$9&lt;20/24)</formula>
    </cfRule>
    <cfRule type="expression" dxfId="10885" priority="268">
      <formula>AND(X$9&gt;=8/24,X$9&lt;14/24)</formula>
    </cfRule>
    <cfRule type="expression" dxfId="10884" priority="269">
      <formula>X$9&lt;8/24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10883" priority="262">
      <formula>E$9&gt;=20/24</formula>
    </cfRule>
    <cfRule type="expression" dxfId="10882" priority="263">
      <formula>AND(E$9&gt;=14/24,E$9&lt;20/24)</formula>
    </cfRule>
    <cfRule type="expression" dxfId="10881" priority="264">
      <formula>AND(E$9&gt;=8/24,E$9&lt;14/24)</formula>
    </cfRule>
    <cfRule type="expression" dxfId="10880" priority="265">
      <formula>E$9&lt;8/24</formula>
    </cfRule>
  </conditionalFormatting>
  <conditionalFormatting sqref="E49:AF51">
    <cfRule type="expression" dxfId="10879" priority="261">
      <formula>E49&gt;$AG49</formula>
    </cfRule>
  </conditionalFormatting>
  <conditionalFormatting sqref="AG52">
    <cfRule type="expression" dxfId="10878" priority="257">
      <formula>AG$9&gt;=20/24</formula>
    </cfRule>
    <cfRule type="expression" dxfId="10877" priority="258">
      <formula>AND(AG$9&gt;=14/24,AG$9&lt;20/24)</formula>
    </cfRule>
    <cfRule type="expression" dxfId="10876" priority="259">
      <formula>AND(AG$9&gt;=8/24,AG$9&lt;14/24)</formula>
    </cfRule>
    <cfRule type="expression" dxfId="10875" priority="260">
      <formula>AG$9&lt;8/24</formula>
    </cfRule>
  </conditionalFormatting>
  <conditionalFormatting sqref="AG52">
    <cfRule type="expression" dxfId="10874" priority="256">
      <formula>AG52&gt;$AG52</formula>
    </cfRule>
  </conditionalFormatting>
  <conditionalFormatting sqref="C107:AF107">
    <cfRule type="expression" dxfId="10873" priority="252">
      <formula>C$9&gt;=20/24</formula>
    </cfRule>
    <cfRule type="expression" dxfId="10872" priority="253">
      <formula>AND(C$9&gt;=14/24,C$9&lt;20/24)</formula>
    </cfRule>
    <cfRule type="expression" dxfId="10871" priority="254">
      <formula>AND(C$9&gt;=8/24,C$9&lt;14/24)</formula>
    </cfRule>
    <cfRule type="expression" dxfId="10870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0869" priority="250">
      <formula>$AH40=0</formula>
    </cfRule>
  </conditionalFormatting>
  <conditionalFormatting sqref="A90">
    <cfRule type="expression" dxfId="10868" priority="248">
      <formula>$AH90=0</formula>
    </cfRule>
  </conditionalFormatting>
  <conditionalFormatting sqref="A87">
    <cfRule type="expression" dxfId="10867" priority="249">
      <formula>$AH87=0</formula>
    </cfRule>
  </conditionalFormatting>
  <conditionalFormatting sqref="D110:AF110">
    <cfRule type="expression" dxfId="10866" priority="244">
      <formula>D$9&gt;=20/24</formula>
    </cfRule>
    <cfRule type="expression" dxfId="10865" priority="245">
      <formula>AND(D$9&gt;=14/24,D$9&lt;20/24)</formula>
    </cfRule>
    <cfRule type="expression" dxfId="10864" priority="246">
      <formula>AND(D$9&gt;=8/24,D$9&lt;14/24)</formula>
    </cfRule>
    <cfRule type="expression" dxfId="10863" priority="247">
      <formula>D$9&lt;8/24</formula>
    </cfRule>
  </conditionalFormatting>
  <conditionalFormatting sqref="A110">
    <cfRule type="expression" dxfId="10862" priority="243">
      <formula>$AH110=0</formula>
    </cfRule>
  </conditionalFormatting>
  <conditionalFormatting sqref="A21">
    <cfRule type="expression" dxfId="10861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0860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0859" priority="235">
      <formula>Y$9&gt;=20/24</formula>
    </cfRule>
    <cfRule type="expression" dxfId="10858" priority="236">
      <formula>AND(Y$9&gt;=14/24,Y$9&lt;20/24)</formula>
    </cfRule>
    <cfRule type="expression" dxfId="10857" priority="237">
      <formula>AND(Y$9&gt;=8/24,Y$9&lt;14/24)</formula>
    </cfRule>
    <cfRule type="expression" dxfId="10856" priority="238">
      <formula>Y$9&lt;8/24</formula>
    </cfRule>
  </conditionalFormatting>
  <conditionalFormatting sqref="Y100:AF106">
    <cfRule type="expression" dxfId="10855" priority="231">
      <formula>Y$9&gt;=20/24</formula>
    </cfRule>
    <cfRule type="expression" dxfId="10854" priority="232">
      <formula>AND(Y$9&gt;=14/24,Y$9&lt;20/24)</formula>
    </cfRule>
    <cfRule type="expression" dxfId="10853" priority="233">
      <formula>AND(Y$9&gt;=8/24,Y$9&lt;14/24)</formula>
    </cfRule>
    <cfRule type="expression" dxfId="10852" priority="234">
      <formula>Y$9&lt;8/24</formula>
    </cfRule>
  </conditionalFormatting>
  <conditionalFormatting sqref="C109 C111:C117 AA34:AF43 AA17:AF32">
    <cfRule type="expression" dxfId="10851" priority="227">
      <formula>C$9&gt;=20/24</formula>
    </cfRule>
    <cfRule type="expression" dxfId="10850" priority="228">
      <formula>AND(C$9&gt;=14/24,C$9&lt;20/24)</formula>
    </cfRule>
    <cfRule type="expression" dxfId="10849" priority="229">
      <formula>AND(C$9&gt;=8/24,C$9&lt;14/24)</formula>
    </cfRule>
    <cfRule type="expression" dxfId="10848" priority="230">
      <formula>C$9&lt;8/24</formula>
    </cfRule>
  </conditionalFormatting>
  <conditionalFormatting sqref="C47:S47">
    <cfRule type="expression" dxfId="10847" priority="223">
      <formula>C$9&gt;=20/24</formula>
    </cfRule>
    <cfRule type="expression" dxfId="10846" priority="224">
      <formula>AND(C$9&gt;=14/24,C$9&lt;20/24)</formula>
    </cfRule>
    <cfRule type="expression" dxfId="10845" priority="225">
      <formula>AND(C$9&gt;=8/24,C$9&lt;14/24)</formula>
    </cfRule>
    <cfRule type="expression" dxfId="10844" priority="226">
      <formula>C$9&lt;8/24</formula>
    </cfRule>
  </conditionalFormatting>
  <conditionalFormatting sqref="C47:S47 AA34:AF43 AA17:AF32">
    <cfRule type="expression" dxfId="10843" priority="222">
      <formula>C17&gt;$AG17</formula>
    </cfRule>
  </conditionalFormatting>
  <conditionalFormatting sqref="C99:D99">
    <cfRule type="expression" dxfId="10842" priority="218">
      <formula>C$9&gt;=20/24</formula>
    </cfRule>
    <cfRule type="expression" dxfId="10841" priority="219">
      <formula>AND(C$9&gt;=14/24,C$9&lt;20/24)</formula>
    </cfRule>
    <cfRule type="expression" dxfId="10840" priority="220">
      <formula>AND(C$9&gt;=8/24,C$9&lt;14/24)</formula>
    </cfRule>
    <cfRule type="expression" dxfId="10839" priority="221">
      <formula>C$9&lt;8/24</formula>
    </cfRule>
  </conditionalFormatting>
  <conditionalFormatting sqref="C86 C96:W96 C83:AF85 D100:D106 E67:Q69 E74:V75 G76:V76 W74:X76 Y75:AF76">
    <cfRule type="expression" dxfId="10838" priority="214">
      <formula>C$9&gt;=20/24</formula>
    </cfRule>
    <cfRule type="expression" dxfId="10837" priority="215">
      <formula>AND(C$9&gt;=14/24,C$9&lt;20/24)</formula>
    </cfRule>
    <cfRule type="expression" dxfId="10836" priority="216">
      <formula>AND(C$9&gt;=8/24,C$9&lt;14/24)</formula>
    </cfRule>
    <cfRule type="expression" dxfId="10835" priority="217">
      <formula>C$9&lt;8/24</formula>
    </cfRule>
  </conditionalFormatting>
  <conditionalFormatting sqref="E56:N56 F57:L57 E67:Q69">
    <cfRule type="expression" dxfId="10834" priority="213">
      <formula>E56&gt;$AG56</formula>
    </cfRule>
  </conditionalFormatting>
  <conditionalFormatting sqref="G58:Z58">
    <cfRule type="expression" dxfId="10833" priority="209">
      <formula>G$9&gt;=20/24</formula>
    </cfRule>
    <cfRule type="expression" dxfId="10832" priority="210">
      <formula>AND(G$9&gt;=14/24,G$9&lt;20/24)</formula>
    </cfRule>
    <cfRule type="expression" dxfId="10831" priority="211">
      <formula>AND(G$9&gt;=8/24,G$9&lt;14/24)</formula>
    </cfRule>
    <cfRule type="expression" dxfId="10830" priority="212">
      <formula>G$9&lt;8/24</formula>
    </cfRule>
  </conditionalFormatting>
  <conditionalFormatting sqref="G58:Z58">
    <cfRule type="expression" dxfId="10829" priority="208">
      <formula>G58&gt;$AG58</formula>
    </cfRule>
  </conditionalFormatting>
  <conditionalFormatting sqref="B54:D57 B71:D71 E57">
    <cfRule type="expression" dxfId="10828" priority="137">
      <formula>B$9&gt;=20/24</formula>
    </cfRule>
    <cfRule type="expression" dxfId="10827" priority="138">
      <formula>AND(B$9&gt;=14/24,B$9&lt;20/24)</formula>
    </cfRule>
    <cfRule type="expression" dxfId="10826" priority="139">
      <formula>AND(B$9&gt;=8/24,B$9&lt;14/24)</formula>
    </cfRule>
    <cfRule type="expression" dxfId="10825" priority="140">
      <formula>B$9&lt;8/24</formula>
    </cfRule>
  </conditionalFormatting>
  <conditionalFormatting sqref="C87:AF87 C89:AF89 C98:AF98 C70:AF70">
    <cfRule type="expression" dxfId="10824" priority="204">
      <formula>C$9&gt;=20/24</formula>
    </cfRule>
    <cfRule type="expression" dxfId="10823" priority="205">
      <formula>AND(C$9&gt;=14/24,C$9&lt;20/24)</formula>
    </cfRule>
    <cfRule type="expression" dxfId="10822" priority="206">
      <formula>AND(C$9&gt;=8/24,C$9&lt;14/24)</formula>
    </cfRule>
    <cfRule type="expression" dxfId="10821" priority="207">
      <formula>C$9&lt;8/24</formula>
    </cfRule>
  </conditionalFormatting>
  <conditionalFormatting sqref="C70:AF70 C65:AF66">
    <cfRule type="expression" dxfId="10820" priority="203">
      <formula>C65&gt;$AG65</formula>
    </cfRule>
  </conditionalFormatting>
  <conditionalFormatting sqref="C82:AF82">
    <cfRule type="expression" dxfId="10819" priority="199">
      <formula>C$9&gt;=20/24</formula>
    </cfRule>
    <cfRule type="expression" dxfId="10818" priority="200">
      <formula>AND(C$9&gt;=14/24,C$9&lt;20/24)</formula>
    </cfRule>
    <cfRule type="expression" dxfId="10817" priority="201">
      <formula>AND(C$9&gt;=8/24,C$9&lt;14/24)</formula>
    </cfRule>
    <cfRule type="expression" dxfId="10816" priority="202">
      <formula>C$9&lt;8/24</formula>
    </cfRule>
  </conditionalFormatting>
  <conditionalFormatting sqref="C91:W95">
    <cfRule type="expression" dxfId="10815" priority="195">
      <formula>C$9&gt;=20/24</formula>
    </cfRule>
    <cfRule type="expression" dxfId="10814" priority="196">
      <formula>AND(C$9&gt;=14/24,C$9&lt;20/24)</formula>
    </cfRule>
    <cfRule type="expression" dxfId="10813" priority="197">
      <formula>AND(C$9&gt;=8/24,C$9&lt;14/24)</formula>
    </cfRule>
    <cfRule type="expression" dxfId="10812" priority="198">
      <formula>C$9&lt;8/24</formula>
    </cfRule>
  </conditionalFormatting>
  <conditionalFormatting sqref="C52:AF52">
    <cfRule type="expression" dxfId="10811" priority="191">
      <formula>C$9&gt;=20/24</formula>
    </cfRule>
    <cfRule type="expression" dxfId="10810" priority="192">
      <formula>AND(C$9&gt;=14/24,C$9&lt;20/24)</formula>
    </cfRule>
    <cfRule type="expression" dxfId="10809" priority="193">
      <formula>AND(C$9&gt;=8/24,C$9&lt;14/24)</formula>
    </cfRule>
    <cfRule type="expression" dxfId="10808" priority="194">
      <formula>C$9&lt;8/24</formula>
    </cfRule>
  </conditionalFormatting>
  <conditionalFormatting sqref="C52:AF52">
    <cfRule type="expression" dxfId="10807" priority="190">
      <formula>C52&gt;$AG52</formula>
    </cfRule>
  </conditionalFormatting>
  <conditionalFormatting sqref="B49:D51">
    <cfRule type="expression" dxfId="10806" priority="105">
      <formula>B$9&gt;=20/24</formula>
    </cfRule>
    <cfRule type="expression" dxfId="10805" priority="106">
      <formula>AND(B$9&gt;=14/24,B$9&lt;20/24)</formula>
    </cfRule>
    <cfRule type="expression" dxfId="10804" priority="107">
      <formula>AND(B$9&gt;=8/24,B$9&lt;14/24)</formula>
    </cfRule>
    <cfRule type="expression" dxfId="10803" priority="108">
      <formula>B$9&lt;8/24</formula>
    </cfRule>
  </conditionalFormatting>
  <conditionalFormatting sqref="C110">
    <cfRule type="expression" dxfId="10802" priority="182">
      <formula>C$9&gt;=20/24</formula>
    </cfRule>
    <cfRule type="expression" dxfId="10801" priority="183">
      <formula>AND(C$9&gt;=14/24,C$9&lt;20/24)</formula>
    </cfRule>
    <cfRule type="expression" dxfId="10800" priority="184">
      <formula>AND(C$9&gt;=8/24,C$9&lt;14/24)</formula>
    </cfRule>
    <cfRule type="expression" dxfId="10799" priority="185">
      <formula>C$9&lt;8/24</formula>
    </cfRule>
  </conditionalFormatting>
  <conditionalFormatting sqref="G59:Z59 AA59:AF64">
    <cfRule type="expression" dxfId="10798" priority="178">
      <formula>G$9&gt;=20/24</formula>
    </cfRule>
    <cfRule type="expression" dxfId="10797" priority="179">
      <formula>AND(G$9&gt;=14/24,G$9&lt;20/24)</formula>
    </cfRule>
    <cfRule type="expression" dxfId="10796" priority="180">
      <formula>AND(G$9&gt;=8/24,G$9&lt;14/24)</formula>
    </cfRule>
    <cfRule type="expression" dxfId="10795" priority="181">
      <formula>G$9&lt;8/24</formula>
    </cfRule>
  </conditionalFormatting>
  <conditionalFormatting sqref="G59:Z59 AA59:AF64">
    <cfRule type="expression" dxfId="10794" priority="177">
      <formula>G59&gt;$AG59</formula>
    </cfRule>
  </conditionalFormatting>
  <conditionalFormatting sqref="AA13:AF15 AA45:AF45">
    <cfRule type="expression" dxfId="10793" priority="176">
      <formula>AA13&gt;$AG13</formula>
    </cfRule>
  </conditionalFormatting>
  <conditionalFormatting sqref="AA12:AF12">
    <cfRule type="expression" dxfId="10792" priority="172">
      <formula>AA$9&gt;=20/24</formula>
    </cfRule>
    <cfRule type="expression" dxfId="10791" priority="173">
      <formula>AND(AA$9&gt;=14/24,AA$9&lt;20/24)</formula>
    </cfRule>
    <cfRule type="expression" dxfId="10790" priority="174">
      <formula>AND(AA$9&gt;=8/24,AA$9&lt;14/24)</formula>
    </cfRule>
    <cfRule type="expression" dxfId="10789" priority="175">
      <formula>AA$9&lt;8/24</formula>
    </cfRule>
  </conditionalFormatting>
  <conditionalFormatting sqref="AA12:AF12">
    <cfRule type="expression" dxfId="10788" priority="171">
      <formula>AA12&gt;$AG12</formula>
    </cfRule>
  </conditionalFormatting>
  <conditionalFormatting sqref="AA13:AF15">
    <cfRule type="expression" dxfId="10787" priority="167">
      <formula>AA$9&gt;=20/24</formula>
    </cfRule>
    <cfRule type="expression" dxfId="10786" priority="168">
      <formula>AND(AA$9&gt;=14/24,AA$9&lt;20/24)</formula>
    </cfRule>
    <cfRule type="expression" dxfId="10785" priority="169">
      <formula>AND(AA$9&gt;=8/24,AA$9&lt;14/24)</formula>
    </cfRule>
    <cfRule type="expression" dxfId="10784" priority="170">
      <formula>AA$9&lt;8/24</formula>
    </cfRule>
  </conditionalFormatting>
  <conditionalFormatting sqref="AA45:AF45">
    <cfRule type="expression" dxfId="10783" priority="163">
      <formula>AA$9&gt;=20/24</formula>
    </cfRule>
    <cfRule type="expression" dxfId="10782" priority="164">
      <formula>AND(AA$9&gt;=14/24,AA$9&lt;20/24)</formula>
    </cfRule>
    <cfRule type="expression" dxfId="10781" priority="165">
      <formula>AND(AA$9&gt;=8/24,AA$9&lt;14/24)</formula>
    </cfRule>
    <cfRule type="expression" dxfId="10780" priority="166">
      <formula>AA$9&lt;8/24</formula>
    </cfRule>
  </conditionalFormatting>
  <conditionalFormatting sqref="E81:AF81 M77:AF80">
    <cfRule type="expression" dxfId="10779" priority="159">
      <formula>E$9&gt;=20/24</formula>
    </cfRule>
    <cfRule type="expression" dxfId="10778" priority="160">
      <formula>AND(E$9&gt;=14/24,E$9&lt;20/24)</formula>
    </cfRule>
    <cfRule type="expression" dxfId="10777" priority="161">
      <formula>AND(E$9&gt;=8/24,E$9&lt;14/24)</formula>
    </cfRule>
    <cfRule type="expression" dxfId="10776" priority="162">
      <formula>E$9&lt;8/24</formula>
    </cfRule>
  </conditionalFormatting>
  <conditionalFormatting sqref="AL78:AN78 AL84:AN84 AN79:AN80">
    <cfRule type="expression" dxfId="10775" priority="155">
      <formula>AL$9&gt;=20/24</formula>
    </cfRule>
    <cfRule type="expression" dxfId="10774" priority="156">
      <formula>AND(AL$9&gt;=14/24,AL$9&lt;20/24)</formula>
    </cfRule>
    <cfRule type="expression" dxfId="10773" priority="157">
      <formula>AND(AL$9&gt;=8/24,AL$9&lt;14/24)</formula>
    </cfRule>
    <cfRule type="expression" dxfId="10772" priority="158">
      <formula>AL$9&lt;8/24</formula>
    </cfRule>
  </conditionalFormatting>
  <conditionalFormatting sqref="AN81:AN82">
    <cfRule type="expression" dxfId="10771" priority="151">
      <formula>AN$9&gt;=20/24</formula>
    </cfRule>
    <cfRule type="expression" dxfId="10770" priority="152">
      <formula>AND(AN$9&gt;=14/24,AN$9&lt;20/24)</formula>
    </cfRule>
    <cfRule type="expression" dxfId="10769" priority="153">
      <formula>AND(AN$9&gt;=8/24,AN$9&lt;14/24)</formula>
    </cfRule>
    <cfRule type="expression" dxfId="10768" priority="154">
      <formula>AN$9&lt;8/24</formula>
    </cfRule>
  </conditionalFormatting>
  <conditionalFormatting sqref="AL79:AM83">
    <cfRule type="expression" dxfId="10767" priority="368">
      <formula>AJ$9&gt;=20/24</formula>
    </cfRule>
    <cfRule type="expression" dxfId="10766" priority="369">
      <formula>AND(AJ$9&gt;=14/24,AJ$9&lt;20/24)</formula>
    </cfRule>
    <cfRule type="expression" dxfId="10765" priority="370">
      <formula>AND(AJ$9&gt;=8/24,AJ$9&lt;14/24)</formula>
    </cfRule>
    <cfRule type="expression" dxfId="10764" priority="371">
      <formula>AJ$9&lt;8/24</formula>
    </cfRule>
  </conditionalFormatting>
  <conditionalFormatting sqref="A118">
    <cfRule type="expression" dxfId="10763" priority="150">
      <formula>$AH118=0</formula>
    </cfRule>
  </conditionalFormatting>
  <conditionalFormatting sqref="B109 B111:B117 B17:Z32 B34:Z43 B45:Z45 B12:Z15">
    <cfRule type="expression" dxfId="10762" priority="146">
      <formula>B$9&gt;=20/24</formula>
    </cfRule>
    <cfRule type="expression" dxfId="10761" priority="147">
      <formula>AND(B$9&gt;=14/24,B$9&lt;20/24)</formula>
    </cfRule>
    <cfRule type="expression" dxfId="10760" priority="148">
      <formula>AND(B$9&gt;=8/24,B$9&lt;14/24)</formula>
    </cfRule>
    <cfRule type="expression" dxfId="10759" priority="149">
      <formula>B$9&lt;8/24</formula>
    </cfRule>
  </conditionalFormatting>
  <conditionalFormatting sqref="B17:Z32 B34:Z43 B45:Z45 B12:Z15">
    <cfRule type="expression" dxfId="10758" priority="145">
      <formula>B12&gt;$AG12</formula>
    </cfRule>
  </conditionalFormatting>
  <conditionalFormatting sqref="B99">
    <cfRule type="expression" dxfId="10757" priority="141">
      <formula>B$9&gt;=20/24</formula>
    </cfRule>
    <cfRule type="expression" dxfId="10756" priority="142">
      <formula>AND(B$9&gt;=14/24,B$9&lt;20/24)</formula>
    </cfRule>
    <cfRule type="expression" dxfId="10755" priority="143">
      <formula>AND(B$9&gt;=8/24,B$9&lt;14/24)</formula>
    </cfRule>
    <cfRule type="expression" dxfId="10754" priority="144">
      <formula>B$9&lt;8/24</formula>
    </cfRule>
  </conditionalFormatting>
  <conditionalFormatting sqref="B53:D53">
    <cfRule type="expression" dxfId="10753" priority="133">
      <formula>B$9&gt;=20/24</formula>
    </cfRule>
    <cfRule type="expression" dxfId="10752" priority="134">
      <formula>AND(B$9&gt;=14/24,B$9&lt;20/24)</formula>
    </cfRule>
    <cfRule type="expression" dxfId="10751" priority="135">
      <formula>AND(B$9&gt;=8/24,B$9&lt;14/24)</formula>
    </cfRule>
    <cfRule type="expression" dxfId="10750" priority="136">
      <formula>B$9&lt;8/24</formula>
    </cfRule>
  </conditionalFormatting>
  <conditionalFormatting sqref="B53:D57 E57">
    <cfRule type="expression" dxfId="10749" priority="132">
      <formula>B53&gt;$AG53</formula>
    </cfRule>
  </conditionalFormatting>
  <conditionalFormatting sqref="B96 B86 B47 B100:C106 B67:D69 B72:D74">
    <cfRule type="expression" dxfId="10748" priority="128">
      <formula>B$9&gt;=20/24</formula>
    </cfRule>
    <cfRule type="expression" dxfId="10747" priority="129">
      <formula>AND(B$9&gt;=14/24,B$9&lt;20/24)</formula>
    </cfRule>
    <cfRule type="expression" dxfId="10746" priority="130">
      <formula>AND(B$9&gt;=8/24,B$9&lt;14/24)</formula>
    </cfRule>
    <cfRule type="expression" dxfId="10745" priority="131">
      <formula>B$9&lt;8/24</formula>
    </cfRule>
  </conditionalFormatting>
  <conditionalFormatting sqref="B47 B67:D69">
    <cfRule type="expression" dxfId="10744" priority="127">
      <formula>B47&gt;$AG47</formula>
    </cfRule>
  </conditionalFormatting>
  <conditionalFormatting sqref="B97 B88:C88">
    <cfRule type="expression" dxfId="10743" priority="123">
      <formula>B$9&gt;=20/24</formula>
    </cfRule>
    <cfRule type="expression" dxfId="10742" priority="124">
      <formula>AND(B$9&gt;=14/24,B$9&lt;20/24)</formula>
    </cfRule>
    <cfRule type="expression" dxfId="10741" priority="125">
      <formula>AND(B$9&gt;=8/24,B$9&lt;14/24)</formula>
    </cfRule>
    <cfRule type="expression" dxfId="10740" priority="126">
      <formula>B$9&lt;8/24</formula>
    </cfRule>
  </conditionalFormatting>
  <conditionalFormatting sqref="B46:AF46">
    <cfRule type="expression" dxfId="10739" priority="119">
      <formula>B$9&gt;=20/24</formula>
    </cfRule>
    <cfRule type="expression" dxfId="10738" priority="120">
      <formula>AND(B$9&gt;=14/24,B$9&lt;20/24)</formula>
    </cfRule>
    <cfRule type="expression" dxfId="10737" priority="121">
      <formula>AND(B$9&gt;=8/24,B$9&lt;14/24)</formula>
    </cfRule>
    <cfRule type="expression" dxfId="10736" priority="122">
      <formula>B$9&lt;8/24</formula>
    </cfRule>
  </conditionalFormatting>
  <conditionalFormatting sqref="B46:AF46">
    <cfRule type="expression" dxfId="10735" priority="118">
      <formula>B46&gt;$AG46</formula>
    </cfRule>
  </conditionalFormatting>
  <conditionalFormatting sqref="B58:F58">
    <cfRule type="expression" dxfId="10734" priority="114">
      <formula>B$9&gt;=20/24</formula>
    </cfRule>
    <cfRule type="expression" dxfId="10733" priority="115">
      <formula>AND(B$9&gt;=14/24,B$9&lt;20/24)</formula>
    </cfRule>
    <cfRule type="expression" dxfId="10732" priority="116">
      <formula>AND(B$9&gt;=8/24,B$9&lt;14/24)</formula>
    </cfRule>
    <cfRule type="expression" dxfId="10731" priority="117">
      <formula>B$9&lt;8/24</formula>
    </cfRule>
  </conditionalFormatting>
  <conditionalFormatting sqref="B58:F58">
    <cfRule type="expression" dxfId="10730" priority="113">
      <formula>B58&gt;$AG58</formula>
    </cfRule>
  </conditionalFormatting>
  <conditionalFormatting sqref="B91:B95">
    <cfRule type="expression" dxfId="10729" priority="109">
      <formula>B$9&gt;=20/24</formula>
    </cfRule>
    <cfRule type="expression" dxfId="10728" priority="110">
      <formula>AND(B$9&gt;=14/24,B$9&lt;20/24)</formula>
    </cfRule>
    <cfRule type="expression" dxfId="10727" priority="111">
      <formula>AND(B$9&gt;=8/24,B$9&lt;14/24)</formula>
    </cfRule>
    <cfRule type="expression" dxfId="10726" priority="112">
      <formula>B$9&lt;8/24</formula>
    </cfRule>
  </conditionalFormatting>
  <conditionalFormatting sqref="B49:D51">
    <cfRule type="expression" dxfId="10725" priority="104">
      <formula>B49&gt;$AG49</formula>
    </cfRule>
  </conditionalFormatting>
  <conditionalFormatting sqref="B107">
    <cfRule type="expression" dxfId="10724" priority="100">
      <formula>B$9&gt;=20/24</formula>
    </cfRule>
    <cfRule type="expression" dxfId="10723" priority="101">
      <formula>AND(B$9&gt;=14/24,B$9&lt;20/24)</formula>
    </cfRule>
    <cfRule type="expression" dxfId="10722" priority="102">
      <formula>AND(B$9&gt;=8/24,B$9&lt;14/24)</formula>
    </cfRule>
    <cfRule type="expression" dxfId="10721" priority="103">
      <formula>B$9&lt;8/24</formula>
    </cfRule>
  </conditionalFormatting>
  <conditionalFormatting sqref="B110">
    <cfRule type="expression" dxfId="10720" priority="96">
      <formula>B$9&gt;=20/24</formula>
    </cfRule>
    <cfRule type="expression" dxfId="10719" priority="97">
      <formula>AND(B$9&gt;=14/24,B$9&lt;20/24)</formula>
    </cfRule>
    <cfRule type="expression" dxfId="10718" priority="98">
      <formula>AND(B$9&gt;=8/24,B$9&lt;14/24)</formula>
    </cfRule>
    <cfRule type="expression" dxfId="10717" priority="99">
      <formula>B$9&lt;8/24</formula>
    </cfRule>
  </conditionalFormatting>
  <conditionalFormatting sqref="B83:B85 B75:D76 E76:F76">
    <cfRule type="expression" dxfId="10716" priority="92">
      <formula>B$9&gt;=20/24</formula>
    </cfRule>
    <cfRule type="expression" dxfId="10715" priority="93">
      <formula>AND(B$9&gt;=14/24,B$9&lt;20/24)</formula>
    </cfRule>
    <cfRule type="expression" dxfId="10714" priority="94">
      <formula>AND(B$9&gt;=8/24,B$9&lt;14/24)</formula>
    </cfRule>
    <cfRule type="expression" dxfId="10713" priority="95">
      <formula>B$9&lt;8/24</formula>
    </cfRule>
  </conditionalFormatting>
  <conditionalFormatting sqref="B89 B98 B70 B87">
    <cfRule type="expression" dxfId="10712" priority="88">
      <formula>B$9&gt;=20/24</formula>
    </cfRule>
    <cfRule type="expression" dxfId="10711" priority="89">
      <formula>AND(B$9&gt;=14/24,B$9&lt;20/24)</formula>
    </cfRule>
    <cfRule type="expression" dxfId="10710" priority="90">
      <formula>AND(B$9&gt;=8/24,B$9&lt;14/24)</formula>
    </cfRule>
    <cfRule type="expression" dxfId="10709" priority="91">
      <formula>B$9&lt;8/24</formula>
    </cfRule>
  </conditionalFormatting>
  <conditionalFormatting sqref="B65:B66 B70 B48:AF48">
    <cfRule type="expression" dxfId="10708" priority="87">
      <formula>B48&gt;$AG48</formula>
    </cfRule>
  </conditionalFormatting>
  <conditionalFormatting sqref="B82">
    <cfRule type="expression" dxfId="10707" priority="83">
      <formula>B$9&gt;=20/24</formula>
    </cfRule>
    <cfRule type="expression" dxfId="10706" priority="84">
      <formula>AND(B$9&gt;=14/24,B$9&lt;20/24)</formula>
    </cfRule>
    <cfRule type="expression" dxfId="10705" priority="85">
      <formula>AND(B$9&gt;=8/24,B$9&lt;14/24)</formula>
    </cfRule>
    <cfRule type="expression" dxfId="10704" priority="86">
      <formula>B$9&lt;8/24</formula>
    </cfRule>
  </conditionalFormatting>
  <conditionalFormatting sqref="B52">
    <cfRule type="expression" dxfId="10703" priority="79">
      <formula>B$9&gt;=20/24</formula>
    </cfRule>
    <cfRule type="expression" dxfId="10702" priority="80">
      <formula>AND(B$9&gt;=14/24,B$9&lt;20/24)</formula>
    </cfRule>
    <cfRule type="expression" dxfId="10701" priority="81">
      <formula>AND(B$9&gt;=8/24,B$9&lt;14/24)</formula>
    </cfRule>
    <cfRule type="expression" dxfId="10700" priority="82">
      <formula>B$9&lt;8/24</formula>
    </cfRule>
  </conditionalFormatting>
  <conditionalFormatting sqref="B52">
    <cfRule type="expression" dxfId="10699" priority="78">
      <formula>B52&gt;$AG52</formula>
    </cfRule>
  </conditionalFormatting>
  <conditionalFormatting sqref="B59:F64 G60:Z64">
    <cfRule type="expression" dxfId="10698" priority="70">
      <formula>B$9&gt;=20/24</formula>
    </cfRule>
    <cfRule type="expression" dxfId="10697" priority="71">
      <formula>AND(B$9&gt;=14/24,B$9&lt;20/24)</formula>
    </cfRule>
    <cfRule type="expression" dxfId="10696" priority="72">
      <formula>AND(B$9&gt;=8/24,B$9&lt;14/24)</formula>
    </cfRule>
    <cfRule type="expression" dxfId="10695" priority="73">
      <formula>B$9&lt;8/24</formula>
    </cfRule>
  </conditionalFormatting>
  <conditionalFormatting sqref="B59:F64 G60:Z64">
    <cfRule type="expression" dxfId="10694" priority="69">
      <formula>B59&gt;$AG59</formula>
    </cfRule>
  </conditionalFormatting>
  <conditionalFormatting sqref="E79:F80 B79:D81 B77:F78 G77:L80">
    <cfRule type="expression" dxfId="10693" priority="65">
      <formula>B$9&gt;=20/24</formula>
    </cfRule>
    <cfRule type="expression" dxfId="10692" priority="66">
      <formula>AND(B$9&gt;=14/24,B$9&lt;20/24)</formula>
    </cfRule>
    <cfRule type="expression" dxfId="10691" priority="67">
      <formula>AND(B$9&gt;=8/24,B$9&lt;14/24)</formula>
    </cfRule>
    <cfRule type="expression" dxfId="10690" priority="68">
      <formula>B$9&lt;8/24</formula>
    </cfRule>
  </conditionalFormatting>
  <conditionalFormatting sqref="A11">
    <cfRule type="expression" dxfId="10689" priority="64">
      <formula>$AH11=0</formula>
    </cfRule>
  </conditionalFormatting>
  <conditionalFormatting sqref="AA11:AF11">
    <cfRule type="expression" dxfId="10688" priority="60">
      <formula>AA$9&gt;=20/24</formula>
    </cfRule>
    <cfRule type="expression" dxfId="10687" priority="61">
      <formula>AND(AA$9&gt;=14/24,AA$9&lt;20/24)</formula>
    </cfRule>
    <cfRule type="expression" dxfId="10686" priority="62">
      <formula>AND(AA$9&gt;=8/24,AA$9&lt;14/24)</formula>
    </cfRule>
    <cfRule type="expression" dxfId="10685" priority="63">
      <formula>AA$9&lt;8/24</formula>
    </cfRule>
  </conditionalFormatting>
  <conditionalFormatting sqref="AA11:AF11">
    <cfRule type="expression" dxfId="10684" priority="59">
      <formula>AA11&gt;$AG11</formula>
    </cfRule>
  </conditionalFormatting>
  <conditionalFormatting sqref="B11:Z11">
    <cfRule type="expression" dxfId="10683" priority="55">
      <formula>B$9&gt;=20/24</formula>
    </cfRule>
    <cfRule type="expression" dxfId="10682" priority="56">
      <formula>AND(B$9&gt;=14/24,B$9&lt;20/24)</formula>
    </cfRule>
    <cfRule type="expression" dxfId="10681" priority="57">
      <formula>AND(B$9&gt;=8/24,B$9&lt;14/24)</formula>
    </cfRule>
    <cfRule type="expression" dxfId="10680" priority="58">
      <formula>B$9&lt;8/24</formula>
    </cfRule>
  </conditionalFormatting>
  <conditionalFormatting sqref="B11:Z11">
    <cfRule type="expression" dxfId="10679" priority="54">
      <formula>B11&gt;$AG11</formula>
    </cfRule>
  </conditionalFormatting>
  <conditionalFormatting sqref="A16">
    <cfRule type="expression" dxfId="10678" priority="52">
      <formula>$AH16=0</formula>
    </cfRule>
  </conditionalFormatting>
  <conditionalFormatting sqref="AL16">
    <cfRule type="iconSet" priority="53">
      <iconSet iconSet="3TrafficLights2" reverse="1">
        <cfvo type="percent" val="0"/>
        <cfvo type="num" val="1"/>
        <cfvo type="num" val="1"/>
      </iconSet>
    </cfRule>
  </conditionalFormatting>
  <conditionalFormatting sqref="AA16:AF16">
    <cfRule type="expression" dxfId="10677" priority="48">
      <formula>AA$9&gt;=20/24</formula>
    </cfRule>
    <cfRule type="expression" dxfId="10676" priority="49">
      <formula>AND(AA$9&gt;=14/24,AA$9&lt;20/24)</formula>
    </cfRule>
    <cfRule type="expression" dxfId="10675" priority="50">
      <formula>AND(AA$9&gt;=8/24,AA$9&lt;14/24)</formula>
    </cfRule>
    <cfRule type="expression" dxfId="10674" priority="51">
      <formula>AA$9&lt;8/24</formula>
    </cfRule>
  </conditionalFormatting>
  <conditionalFormatting sqref="AA16:AF16">
    <cfRule type="expression" dxfId="10673" priority="47">
      <formula>AA16&gt;$AG16</formula>
    </cfRule>
  </conditionalFormatting>
  <conditionalFormatting sqref="B16:Z16">
    <cfRule type="expression" dxfId="10672" priority="43">
      <formula>B$9&gt;=20/24</formula>
    </cfRule>
    <cfRule type="expression" dxfId="10671" priority="44">
      <formula>AND(B$9&gt;=14/24,B$9&lt;20/24)</formula>
    </cfRule>
    <cfRule type="expression" dxfId="10670" priority="45">
      <formula>AND(B$9&gt;=8/24,B$9&lt;14/24)</formula>
    </cfRule>
    <cfRule type="expression" dxfId="10669" priority="46">
      <formula>B$9&lt;8/24</formula>
    </cfRule>
  </conditionalFormatting>
  <conditionalFormatting sqref="B16:Z16">
    <cfRule type="expression" dxfId="10668" priority="42">
      <formula>B16&gt;$AG16</formula>
    </cfRule>
  </conditionalFormatting>
  <conditionalFormatting sqref="A33">
    <cfRule type="expression" dxfId="10667" priority="40">
      <formula>$AH33=0</formula>
    </cfRule>
  </conditionalFormatting>
  <conditionalFormatting sqref="AL33">
    <cfRule type="iconSet" priority="41">
      <iconSet iconSet="3TrafficLights2" reverse="1">
        <cfvo type="percent" val="0"/>
        <cfvo type="num" val="1"/>
        <cfvo type="num" val="1"/>
      </iconSet>
    </cfRule>
  </conditionalFormatting>
  <conditionalFormatting sqref="AA33:AF33">
    <cfRule type="expression" dxfId="10666" priority="36">
      <formula>AA$9&gt;=20/24</formula>
    </cfRule>
    <cfRule type="expression" dxfId="10665" priority="37">
      <formula>AND(AA$9&gt;=14/24,AA$9&lt;20/24)</formula>
    </cfRule>
    <cfRule type="expression" dxfId="10664" priority="38">
      <formula>AND(AA$9&gt;=8/24,AA$9&lt;14/24)</formula>
    </cfRule>
    <cfRule type="expression" dxfId="10663" priority="39">
      <formula>AA$9&lt;8/24</formula>
    </cfRule>
  </conditionalFormatting>
  <conditionalFormatting sqref="AA33:AF33">
    <cfRule type="expression" dxfId="10662" priority="35">
      <formula>AA33&gt;$AG33</formula>
    </cfRule>
  </conditionalFormatting>
  <conditionalFormatting sqref="B33:Z33">
    <cfRule type="expression" dxfId="10661" priority="31">
      <formula>B$9&gt;=20/24</formula>
    </cfRule>
    <cfRule type="expression" dxfId="10660" priority="32">
      <formula>AND(B$9&gt;=14/24,B$9&lt;20/24)</formula>
    </cfRule>
    <cfRule type="expression" dxfId="10659" priority="33">
      <formula>AND(B$9&gt;=8/24,B$9&lt;14/24)</formula>
    </cfRule>
    <cfRule type="expression" dxfId="10658" priority="34">
      <formula>B$9&lt;8/24</formula>
    </cfRule>
  </conditionalFormatting>
  <conditionalFormatting sqref="B33:Z33">
    <cfRule type="expression" dxfId="10657" priority="30">
      <formula>B33&gt;$AG33</formula>
    </cfRule>
  </conditionalFormatting>
  <conditionalFormatting sqref="A44">
    <cfRule type="expression" dxfId="10656" priority="28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10655" priority="27">
      <formula>AA44&gt;$AG44</formula>
    </cfRule>
  </conditionalFormatting>
  <conditionalFormatting sqref="AA44:AF44">
    <cfRule type="expression" dxfId="10654" priority="23">
      <formula>AA$9&gt;=20/24</formula>
    </cfRule>
    <cfRule type="expression" dxfId="10653" priority="24">
      <formula>AND(AA$9&gt;=14/24,AA$9&lt;20/24)</formula>
    </cfRule>
    <cfRule type="expression" dxfId="10652" priority="25">
      <formula>AND(AA$9&gt;=8/24,AA$9&lt;14/24)</formula>
    </cfRule>
    <cfRule type="expression" dxfId="10651" priority="26">
      <formula>AA$9&lt;8/24</formula>
    </cfRule>
  </conditionalFormatting>
  <conditionalFormatting sqref="B44:Z44">
    <cfRule type="expression" dxfId="10650" priority="19">
      <formula>B$9&gt;=20/24</formula>
    </cfRule>
    <cfRule type="expression" dxfId="10649" priority="20">
      <formula>AND(B$9&gt;=14/24,B$9&lt;20/24)</formula>
    </cfRule>
    <cfRule type="expression" dxfId="10648" priority="21">
      <formula>AND(B$9&gt;=8/24,B$9&lt;14/24)</formula>
    </cfRule>
    <cfRule type="expression" dxfId="10647" priority="22">
      <formula>B$9&lt;8/24</formula>
    </cfRule>
  </conditionalFormatting>
  <conditionalFormatting sqref="B44:Z44">
    <cfRule type="expression" dxfId="10646" priority="18">
      <formula>B44&gt;$AG44</formula>
    </cfRule>
  </conditionalFormatting>
  <conditionalFormatting sqref="B118">
    <cfRule type="expression" dxfId="10645" priority="6">
      <formula>B$9&gt;=20/24</formula>
    </cfRule>
    <cfRule type="expression" dxfId="10644" priority="7">
      <formula>AND(B$9&gt;=14/24,B$9&lt;20/24)</formula>
    </cfRule>
    <cfRule type="expression" dxfId="10643" priority="8">
      <formula>AND(B$9&gt;=8/24,B$9&lt;14/24)</formula>
    </cfRule>
    <cfRule type="expression" dxfId="10642" priority="9">
      <formula>B$9&lt;8/24</formula>
    </cfRule>
  </conditionalFormatting>
  <conditionalFormatting sqref="D118:AF118">
    <cfRule type="expression" dxfId="10641" priority="14">
      <formula>D$9&gt;=20/24</formula>
    </cfRule>
    <cfRule type="expression" dxfId="10640" priority="15">
      <formula>AND(D$9&gt;=14/24,D$9&lt;20/24)</formula>
    </cfRule>
    <cfRule type="expression" dxfId="10639" priority="16">
      <formula>AND(D$9&gt;=8/24,D$9&lt;14/24)</formula>
    </cfRule>
    <cfRule type="expression" dxfId="10638" priority="17">
      <formula>D$9&lt;8/24</formula>
    </cfRule>
  </conditionalFormatting>
  <conditionalFormatting sqref="C118">
    <cfRule type="expression" dxfId="10637" priority="10">
      <formula>C$9&gt;=20/24</formula>
    </cfRule>
    <cfRule type="expression" dxfId="10636" priority="11">
      <formula>AND(C$9&gt;=14/24,C$9&lt;20/24)</formula>
    </cfRule>
    <cfRule type="expression" dxfId="10635" priority="12">
      <formula>AND(C$9&gt;=8/24,C$9&lt;14/24)</formula>
    </cfRule>
    <cfRule type="expression" dxfId="10634" priority="13">
      <formula>C$9&lt;8/24</formula>
    </cfRule>
  </conditionalFormatting>
  <conditionalFormatting sqref="M57:R57">
    <cfRule type="expression" dxfId="10633" priority="2">
      <formula>M$9&gt;=20/24</formula>
    </cfRule>
    <cfRule type="expression" dxfId="10632" priority="3">
      <formula>AND(M$9&gt;=14/24,M$9&lt;20/24)</formula>
    </cfRule>
    <cfRule type="expression" dxfId="10631" priority="4">
      <formula>AND(M$9&gt;=8/24,M$9&lt;14/24)</formula>
    </cfRule>
    <cfRule type="expression" dxfId="10630" priority="5">
      <formula>M$9&lt;8/24</formula>
    </cfRule>
  </conditionalFormatting>
  <conditionalFormatting sqref="M57:R57">
    <cfRule type="expression" dxfId="10629" priority="1">
      <formula>M57&gt;$AG57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6" id="{ED2A68C9-6E5A-4AAE-920B-5129ADB703A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7" id="{4378AE12-1C0E-42CE-8C5E-F86A81794F3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8" id="{FD7F7BDE-E45E-4C2B-87A3-2CCC2DB79DB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9" id="{B8DB6810-2715-4E18-A477-C7CC722C680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74" id="{4CEACF22-AF4B-4485-AE9A-2787C8B1B4E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5" id="{698B1DF6-334A-47AF-BF75-FCAD8E09A19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6" id="{57AD63DF-54DC-43FF-B710-10C6DCF8A20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7" id="{A7A7E0CF-0764-43DE-8D12-EEFCBA23046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CJ278"/>
  <sheetViews>
    <sheetView zoomScaleNormal="100" workbookViewId="0">
      <pane ySplit="10" topLeftCell="A54" activePane="bottomLeft" state="frozen"/>
      <selection activeCell="Z85" sqref="Z85"/>
      <selection pane="bottomLeft" activeCell="B73" sqref="B7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2080/02/9</v>
      </c>
      <c r="C4" s="191"/>
      <c r="D4" s="191"/>
      <c r="E4" s="192" t="str">
        <f ca="1">"2079/"&amp;"12/"&amp;INT(MID(CELL("filename",G6),FIND("]",CELL("filename",G6))+1,200))</f>
        <v>2079/12/9</v>
      </c>
      <c r="F4" s="192"/>
      <c r="G4" s="192"/>
      <c r="H4" s="192" t="str">
        <f ca="1">TEXT(E4,"dddd")</f>
        <v>Saturday</v>
      </c>
      <c r="I4" s="192"/>
      <c r="J4" s="26"/>
      <c r="K4" s="1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150.69999999999999</v>
      </c>
      <c r="C5" s="30">
        <f t="shared" si="0"/>
        <v>197.10000000000002</v>
      </c>
      <c r="D5" s="30">
        <f t="shared" si="0"/>
        <v>191.5</v>
      </c>
      <c r="E5" s="30">
        <f t="shared" si="0"/>
        <v>212.5</v>
      </c>
      <c r="F5" s="30">
        <f t="shared" si="0"/>
        <v>224.70000000000002</v>
      </c>
      <c r="G5" s="30">
        <f t="shared" si="0"/>
        <v>217.8</v>
      </c>
      <c r="H5" s="30">
        <f t="shared" si="0"/>
        <v>279.60000000000002</v>
      </c>
      <c r="I5" s="30">
        <f t="shared" si="0"/>
        <v>274</v>
      </c>
      <c r="J5" s="30">
        <f t="shared" si="0"/>
        <v>265</v>
      </c>
      <c r="K5" s="30">
        <f t="shared" si="0"/>
        <v>265</v>
      </c>
      <c r="L5" s="30">
        <f t="shared" si="0"/>
        <v>281.7</v>
      </c>
      <c r="M5" s="30">
        <f t="shared" si="0"/>
        <v>284.39999999999998</v>
      </c>
      <c r="N5" s="30">
        <f t="shared" si="0"/>
        <v>307.60000000000002</v>
      </c>
      <c r="O5" s="30">
        <f t="shared" si="0"/>
        <v>308.3</v>
      </c>
      <c r="P5" s="30">
        <f t="shared" si="0"/>
        <v>304</v>
      </c>
      <c r="Q5" s="30">
        <f t="shared" si="0"/>
        <v>276.60000000000002</v>
      </c>
      <c r="R5" s="30">
        <f t="shared" si="0"/>
        <v>321.10000000000002</v>
      </c>
      <c r="S5" s="30">
        <f t="shared" si="0"/>
        <v>313.25</v>
      </c>
      <c r="T5" s="30">
        <f t="shared" si="0"/>
        <v>409.25</v>
      </c>
      <c r="U5" s="30">
        <f t="shared" si="0"/>
        <v>365.7</v>
      </c>
      <c r="V5" s="30">
        <f t="shared" si="0"/>
        <v>411.7</v>
      </c>
      <c r="W5" s="30">
        <f t="shared" si="0"/>
        <v>341.7</v>
      </c>
      <c r="X5" s="30">
        <f t="shared" si="0"/>
        <v>316.2</v>
      </c>
      <c r="Y5" s="30">
        <f t="shared" si="0"/>
        <v>328.9</v>
      </c>
      <c r="Z5" s="30">
        <f t="shared" si="0"/>
        <v>346.9</v>
      </c>
      <c r="AA5" s="30">
        <f t="shared" si="0"/>
        <v>261</v>
      </c>
      <c r="AB5" s="30">
        <f t="shared" si="0"/>
        <v>229.89999999999998</v>
      </c>
      <c r="AC5" s="30">
        <f t="shared" si="0"/>
        <v>72</v>
      </c>
      <c r="AD5" s="30">
        <f t="shared" si="0"/>
        <v>114.5</v>
      </c>
      <c r="AE5" s="30">
        <f t="shared" si="0"/>
        <v>129</v>
      </c>
      <c r="AF5" s="30">
        <f>B82</f>
        <v>394.5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1419MW at 6:00hr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Load=1182</v>
      </c>
      <c r="B7" s="35">
        <f t="shared" ref="B7:AF7" si="1">B89</f>
        <v>1586.34</v>
      </c>
      <c r="C7" s="35">
        <f t="shared" si="1"/>
        <v>1307.6400000000001</v>
      </c>
      <c r="D7" s="35">
        <f t="shared" si="1"/>
        <v>1354.04</v>
      </c>
      <c r="E7" s="35">
        <f t="shared" si="1"/>
        <v>1181.9399999999998</v>
      </c>
      <c r="F7" s="35">
        <f t="shared" si="1"/>
        <v>1293.1399999999999</v>
      </c>
      <c r="G7" s="35">
        <f t="shared" si="1"/>
        <v>1273.1400000000001</v>
      </c>
      <c r="H7" s="35">
        <f t="shared" si="1"/>
        <v>1304.08</v>
      </c>
      <c r="I7" s="35">
        <f t="shared" si="1"/>
        <v>1418.94</v>
      </c>
      <c r="J7" s="35">
        <f t="shared" si="1"/>
        <v>1305.94</v>
      </c>
      <c r="K7" s="35">
        <f t="shared" si="1"/>
        <v>1304.1400000000001</v>
      </c>
      <c r="L7" s="35">
        <f t="shared" si="1"/>
        <v>1400.74</v>
      </c>
      <c r="M7" s="35">
        <f t="shared" si="1"/>
        <v>1374.44</v>
      </c>
      <c r="N7" s="35">
        <f>N89</f>
        <v>1359.94</v>
      </c>
      <c r="O7" s="35">
        <f t="shared" si="1"/>
        <v>1386.3400000000001</v>
      </c>
      <c r="P7" s="35">
        <f t="shared" si="1"/>
        <v>1381.5400000000002</v>
      </c>
      <c r="Q7" s="35">
        <f t="shared" si="1"/>
        <v>1342.3400000000001</v>
      </c>
      <c r="R7" s="35">
        <f t="shared" si="1"/>
        <v>1292.3400000000001</v>
      </c>
      <c r="S7" s="35">
        <f t="shared" si="1"/>
        <v>1361.94</v>
      </c>
      <c r="T7" s="35">
        <f t="shared" si="1"/>
        <v>1410.49</v>
      </c>
      <c r="U7" s="35">
        <f t="shared" si="1"/>
        <v>1442.49</v>
      </c>
      <c r="V7" s="35">
        <f t="shared" si="1"/>
        <v>1367.64</v>
      </c>
      <c r="W7" s="35">
        <f t="shared" si="1"/>
        <v>1383.64</v>
      </c>
      <c r="X7" s="35">
        <f t="shared" si="1"/>
        <v>1390.64</v>
      </c>
      <c r="Y7" s="35">
        <f t="shared" si="1"/>
        <v>1426.94</v>
      </c>
      <c r="Z7" s="35">
        <f t="shared" si="1"/>
        <v>1491.7400000000002</v>
      </c>
      <c r="AA7" s="35">
        <f t="shared" si="1"/>
        <v>1575.8400000000001</v>
      </c>
      <c r="AB7" s="35">
        <f t="shared" si="1"/>
        <v>1497.34</v>
      </c>
      <c r="AC7" s="35">
        <f t="shared" si="1"/>
        <v>1491.3399999999997</v>
      </c>
      <c r="AD7" s="35">
        <f t="shared" si="1"/>
        <v>1349.1399999999999</v>
      </c>
      <c r="AE7" s="35">
        <f t="shared" si="1"/>
        <v>1335.6399999999999</v>
      </c>
      <c r="AF7" s="35">
        <f t="shared" si="1"/>
        <v>1337.1399999999999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28</v>
      </c>
      <c r="C11" s="45">
        <v>28</v>
      </c>
      <c r="D11" s="45">
        <v>28</v>
      </c>
      <c r="E11" s="45">
        <v>28</v>
      </c>
      <c r="F11" s="45">
        <v>28</v>
      </c>
      <c r="G11" s="45">
        <v>30</v>
      </c>
      <c r="H11" s="45">
        <v>30</v>
      </c>
      <c r="I11" s="45">
        <v>32</v>
      </c>
      <c r="J11" s="45">
        <v>32</v>
      </c>
      <c r="K11" s="45">
        <v>34</v>
      </c>
      <c r="L11" s="45">
        <v>34</v>
      </c>
      <c r="M11" s="45">
        <v>30</v>
      </c>
      <c r="N11" s="45">
        <v>30</v>
      </c>
      <c r="O11" s="45">
        <v>17</v>
      </c>
      <c r="P11" s="45">
        <v>26</v>
      </c>
      <c r="Q11" s="45">
        <v>30</v>
      </c>
      <c r="R11" s="45">
        <v>17</v>
      </c>
      <c r="S11" s="45">
        <v>17</v>
      </c>
      <c r="T11" s="45">
        <v>17</v>
      </c>
      <c r="U11" s="45">
        <v>17</v>
      </c>
      <c r="V11" s="45">
        <v>17</v>
      </c>
      <c r="W11" s="45">
        <v>17</v>
      </c>
      <c r="X11" s="45">
        <v>17</v>
      </c>
      <c r="Y11" s="45">
        <v>17</v>
      </c>
      <c r="Z11" s="45">
        <v>17</v>
      </c>
      <c r="AA11" s="45">
        <v>17</v>
      </c>
      <c r="AB11" s="45">
        <v>28</v>
      </c>
      <c r="AC11" s="45">
        <v>28</v>
      </c>
      <c r="AD11" s="45">
        <v>28</v>
      </c>
      <c r="AE11" s="45">
        <v>28</v>
      </c>
      <c r="AF11" s="45">
        <v>28</v>
      </c>
      <c r="AG11" s="46">
        <v>86</v>
      </c>
      <c r="AH11" s="47">
        <f t="shared" ref="AH11:AH74" si="2">MAX(B11:AF11)</f>
        <v>34</v>
      </c>
      <c r="AI11" s="48">
        <f t="shared" ref="AI11:AI74" si="3">MIN(B11:AF11)</f>
        <v>17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18.899999999999999</v>
      </c>
      <c r="C12" s="45">
        <v>18.899999999999999</v>
      </c>
      <c r="D12" s="45">
        <v>18.899999999999999</v>
      </c>
      <c r="E12" s="45">
        <v>18.899999999999999</v>
      </c>
      <c r="F12" s="45">
        <v>18.899999999999999</v>
      </c>
      <c r="G12" s="45">
        <v>21.9</v>
      </c>
      <c r="H12" s="45">
        <v>21.9</v>
      </c>
      <c r="I12" s="45">
        <v>22</v>
      </c>
      <c r="J12" s="45">
        <v>22</v>
      </c>
      <c r="K12" s="45">
        <v>22</v>
      </c>
      <c r="L12" s="45">
        <v>22</v>
      </c>
      <c r="M12" s="45">
        <v>22</v>
      </c>
      <c r="N12" s="45">
        <v>18.899999999999999</v>
      </c>
      <c r="O12" s="45">
        <v>20.3</v>
      </c>
      <c r="P12" s="45">
        <v>20.3</v>
      </c>
      <c r="Q12" s="45">
        <v>18.899999999999999</v>
      </c>
      <c r="R12" s="45">
        <v>18.899999999999999</v>
      </c>
      <c r="S12" s="45">
        <v>18.899999999999999</v>
      </c>
      <c r="T12" s="45">
        <v>18.899999999999999</v>
      </c>
      <c r="U12" s="45">
        <v>18.899999999999999</v>
      </c>
      <c r="V12" s="45">
        <v>18.899999999999999</v>
      </c>
      <c r="W12" s="45">
        <v>18.899999999999999</v>
      </c>
      <c r="X12" s="45">
        <v>18.899999999999999</v>
      </c>
      <c r="Y12" s="45">
        <v>18.899999999999999</v>
      </c>
      <c r="Z12" s="45">
        <v>18.899999999999999</v>
      </c>
      <c r="AA12" s="45">
        <v>18.899999999999999</v>
      </c>
      <c r="AB12" s="45">
        <v>17.899999999999999</v>
      </c>
      <c r="AC12" s="45">
        <v>17.899999999999999</v>
      </c>
      <c r="AD12" s="45">
        <v>17.899999999999999</v>
      </c>
      <c r="AE12" s="45">
        <v>17.899999999999999</v>
      </c>
      <c r="AF12" s="45">
        <v>17.899999999999999</v>
      </c>
      <c r="AG12" s="46">
        <v>52.4</v>
      </c>
      <c r="AH12" s="47">
        <f t="shared" si="2"/>
        <v>22</v>
      </c>
      <c r="AI12" s="48">
        <f t="shared" si="3"/>
        <v>17.899999999999999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50.4</v>
      </c>
      <c r="C13" s="45">
        <v>50.4</v>
      </c>
      <c r="D13" s="45">
        <v>50.4</v>
      </c>
      <c r="E13" s="45">
        <v>50.4</v>
      </c>
      <c r="F13" s="45">
        <v>50.4</v>
      </c>
      <c r="G13" s="45">
        <v>50.3</v>
      </c>
      <c r="H13" s="45">
        <v>50.3</v>
      </c>
      <c r="I13" s="45">
        <v>50.3</v>
      </c>
      <c r="J13" s="45">
        <v>50.3</v>
      </c>
      <c r="K13" s="45">
        <v>50.3</v>
      </c>
      <c r="L13" s="45">
        <v>50.3</v>
      </c>
      <c r="M13" s="45">
        <v>50.3</v>
      </c>
      <c r="N13" s="45">
        <v>50.4</v>
      </c>
      <c r="O13" s="45">
        <v>50.6</v>
      </c>
      <c r="P13" s="45">
        <v>50.6</v>
      </c>
      <c r="Q13" s="45">
        <v>50.4</v>
      </c>
      <c r="R13" s="45">
        <v>50.4</v>
      </c>
      <c r="S13" s="45">
        <v>50.4</v>
      </c>
      <c r="T13" s="45">
        <v>50.4</v>
      </c>
      <c r="U13" s="45">
        <v>50.4</v>
      </c>
      <c r="V13" s="45">
        <v>50.4</v>
      </c>
      <c r="W13" s="45">
        <v>50.4</v>
      </c>
      <c r="X13" s="45">
        <v>50.4</v>
      </c>
      <c r="Y13" s="45">
        <v>50.4</v>
      </c>
      <c r="Z13" s="45">
        <v>50.4</v>
      </c>
      <c r="AA13" s="45">
        <v>50.4</v>
      </c>
      <c r="AB13" s="45">
        <v>50.5</v>
      </c>
      <c r="AC13" s="45">
        <v>50.5</v>
      </c>
      <c r="AD13" s="45">
        <v>50.5</v>
      </c>
      <c r="AE13" s="45">
        <v>50.5</v>
      </c>
      <c r="AF13" s="45">
        <v>50.5</v>
      </c>
      <c r="AG13" s="50">
        <v>50</v>
      </c>
      <c r="AH13" s="47">
        <f t="shared" si="2"/>
        <v>50.6</v>
      </c>
      <c r="AI13" s="48">
        <f t="shared" si="3"/>
        <v>50.3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26.4</v>
      </c>
      <c r="C14" s="45">
        <v>26.4</v>
      </c>
      <c r="D14" s="45">
        <v>26.4</v>
      </c>
      <c r="E14" s="45">
        <v>26.4</v>
      </c>
      <c r="F14" s="45">
        <v>26.4</v>
      </c>
      <c r="G14" s="45">
        <v>25.4</v>
      </c>
      <c r="H14" s="45">
        <v>25.4</v>
      </c>
      <c r="I14" s="45">
        <v>25.4</v>
      </c>
      <c r="J14" s="45">
        <v>25.4</v>
      </c>
      <c r="K14" s="45">
        <v>25.4</v>
      </c>
      <c r="L14" s="45">
        <v>25.4</v>
      </c>
      <c r="M14" s="45">
        <v>25.4</v>
      </c>
      <c r="N14" s="45">
        <v>23.1</v>
      </c>
      <c r="O14" s="45">
        <v>24.1</v>
      </c>
      <c r="P14" s="45">
        <v>24.1</v>
      </c>
      <c r="Q14" s="45">
        <v>23.6</v>
      </c>
      <c r="R14" s="45">
        <v>23.6</v>
      </c>
      <c r="S14" s="45">
        <v>23.6</v>
      </c>
      <c r="T14" s="45">
        <v>23.6</v>
      </c>
      <c r="U14" s="45">
        <v>23.6</v>
      </c>
      <c r="V14" s="45">
        <v>23.6</v>
      </c>
      <c r="W14" s="45">
        <v>23.6</v>
      </c>
      <c r="X14" s="45">
        <v>23.6</v>
      </c>
      <c r="Y14" s="45">
        <v>23.6</v>
      </c>
      <c r="Z14" s="45">
        <v>23.6</v>
      </c>
      <c r="AA14" s="45">
        <v>23.6</v>
      </c>
      <c r="AB14" s="45">
        <v>24</v>
      </c>
      <c r="AC14" s="45">
        <v>24</v>
      </c>
      <c r="AD14" s="45">
        <v>24</v>
      </c>
      <c r="AE14" s="45">
        <v>24</v>
      </c>
      <c r="AF14" s="45">
        <v>24</v>
      </c>
      <c r="AG14" s="50">
        <v>45</v>
      </c>
      <c r="AH14" s="47">
        <f t="shared" si="2"/>
        <v>26.4</v>
      </c>
      <c r="AI14" s="48">
        <f t="shared" si="3"/>
        <v>23.1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27</v>
      </c>
      <c r="C15" s="45">
        <v>27</v>
      </c>
      <c r="D15" s="45">
        <v>27</v>
      </c>
      <c r="E15" s="45">
        <v>0</v>
      </c>
      <c r="F15" s="45">
        <v>27</v>
      </c>
      <c r="G15" s="45">
        <v>27</v>
      </c>
      <c r="H15" s="45">
        <v>27</v>
      </c>
      <c r="I15" s="45">
        <v>29</v>
      </c>
      <c r="J15" s="45">
        <v>29</v>
      </c>
      <c r="K15" s="45">
        <v>29</v>
      </c>
      <c r="L15" s="45">
        <v>29</v>
      </c>
      <c r="M15" s="45">
        <v>29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28</v>
      </c>
      <c r="AC15" s="45">
        <v>28</v>
      </c>
      <c r="AD15" s="45">
        <v>28</v>
      </c>
      <c r="AE15" s="45">
        <v>28</v>
      </c>
      <c r="AF15" s="45">
        <v>32</v>
      </c>
      <c r="AG15" s="50">
        <v>42</v>
      </c>
      <c r="AH15" s="47">
        <f t="shared" si="2"/>
        <v>32</v>
      </c>
      <c r="AI15" s="48">
        <f t="shared" si="3"/>
        <v>0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22</v>
      </c>
      <c r="C16" s="45">
        <v>22</v>
      </c>
      <c r="D16" s="45">
        <v>22</v>
      </c>
      <c r="E16" s="45">
        <v>22</v>
      </c>
      <c r="F16" s="45">
        <v>22</v>
      </c>
      <c r="G16" s="45">
        <v>22</v>
      </c>
      <c r="H16" s="45">
        <v>22</v>
      </c>
      <c r="I16" s="45">
        <v>22</v>
      </c>
      <c r="J16" s="45">
        <v>22</v>
      </c>
      <c r="K16" s="45">
        <v>22</v>
      </c>
      <c r="L16" s="45">
        <v>22</v>
      </c>
      <c r="M16" s="45">
        <v>22</v>
      </c>
      <c r="N16" s="45">
        <v>22</v>
      </c>
      <c r="O16" s="45">
        <v>22</v>
      </c>
      <c r="P16" s="45">
        <v>22</v>
      </c>
      <c r="Q16" s="45">
        <v>22</v>
      </c>
      <c r="R16" s="45">
        <v>22</v>
      </c>
      <c r="S16" s="45">
        <v>22</v>
      </c>
      <c r="T16" s="45">
        <v>22</v>
      </c>
      <c r="U16" s="45">
        <v>22</v>
      </c>
      <c r="V16" s="45">
        <v>22</v>
      </c>
      <c r="W16" s="45">
        <v>22</v>
      </c>
      <c r="X16" s="45">
        <v>22</v>
      </c>
      <c r="Y16" s="45">
        <v>22</v>
      </c>
      <c r="Z16" s="45">
        <v>22</v>
      </c>
      <c r="AA16" s="45">
        <v>22</v>
      </c>
      <c r="AB16" s="45">
        <v>22</v>
      </c>
      <c r="AC16" s="45">
        <v>22</v>
      </c>
      <c r="AD16" s="45">
        <v>22</v>
      </c>
      <c r="AE16" s="45">
        <v>22</v>
      </c>
      <c r="AF16" s="45">
        <v>22</v>
      </c>
      <c r="AG16" s="50">
        <v>36</v>
      </c>
      <c r="AH16" s="47">
        <f t="shared" si="2"/>
        <v>22</v>
      </c>
      <c r="AI16" s="48">
        <f t="shared" si="3"/>
        <v>22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14.6</v>
      </c>
      <c r="C17" s="45">
        <v>14.6</v>
      </c>
      <c r="D17" s="45">
        <v>14.6</v>
      </c>
      <c r="E17" s="45">
        <v>14.6</v>
      </c>
      <c r="F17" s="45">
        <v>14.6</v>
      </c>
      <c r="G17" s="45">
        <v>14.6</v>
      </c>
      <c r="H17" s="45">
        <v>14.6</v>
      </c>
      <c r="I17" s="45">
        <v>14.6</v>
      </c>
      <c r="J17" s="45">
        <v>14.6</v>
      </c>
      <c r="K17" s="45">
        <v>14.6</v>
      </c>
      <c r="L17" s="45">
        <v>14.6</v>
      </c>
      <c r="M17" s="45">
        <v>14.6</v>
      </c>
      <c r="N17" s="45">
        <v>14.6</v>
      </c>
      <c r="O17" s="45">
        <v>14.6</v>
      </c>
      <c r="P17" s="45">
        <v>14.6</v>
      </c>
      <c r="Q17" s="45">
        <v>14.6</v>
      </c>
      <c r="R17" s="45">
        <v>14.6</v>
      </c>
      <c r="S17" s="45">
        <v>14.6</v>
      </c>
      <c r="T17" s="45">
        <v>14.6</v>
      </c>
      <c r="U17" s="45">
        <v>14.6</v>
      </c>
      <c r="V17" s="45">
        <v>14.6</v>
      </c>
      <c r="W17" s="45">
        <v>14.6</v>
      </c>
      <c r="X17" s="45">
        <v>14.6</v>
      </c>
      <c r="Y17" s="45">
        <v>14.6</v>
      </c>
      <c r="Z17" s="45">
        <v>14.6</v>
      </c>
      <c r="AA17" s="45">
        <v>14.6</v>
      </c>
      <c r="AB17" s="45">
        <v>14.6</v>
      </c>
      <c r="AC17" s="45">
        <v>14.6</v>
      </c>
      <c r="AD17" s="45">
        <v>14.6</v>
      </c>
      <c r="AE17" s="45">
        <v>14.6</v>
      </c>
      <c r="AF17" s="45">
        <v>14.6</v>
      </c>
      <c r="AG17" s="50">
        <v>36</v>
      </c>
      <c r="AH17" s="47">
        <f t="shared" si="2"/>
        <v>14.6</v>
      </c>
      <c r="AI17" s="48">
        <f t="shared" si="3"/>
        <v>14.6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19.3</v>
      </c>
      <c r="C18" s="45">
        <v>19.3</v>
      </c>
      <c r="D18" s="45">
        <v>19.3</v>
      </c>
      <c r="E18" s="45">
        <v>19.3</v>
      </c>
      <c r="F18" s="45">
        <v>19.3</v>
      </c>
      <c r="G18" s="45">
        <v>19.3</v>
      </c>
      <c r="H18" s="45">
        <v>19.3</v>
      </c>
      <c r="I18" s="45">
        <v>19.3</v>
      </c>
      <c r="J18" s="45">
        <v>19.3</v>
      </c>
      <c r="K18" s="45">
        <v>19.3</v>
      </c>
      <c r="L18" s="45">
        <v>19.3</v>
      </c>
      <c r="M18" s="45">
        <v>19.3</v>
      </c>
      <c r="N18" s="45">
        <v>15.5</v>
      </c>
      <c r="O18" s="45">
        <v>15.5</v>
      </c>
      <c r="P18" s="45">
        <v>15.5</v>
      </c>
      <c r="Q18" s="45">
        <v>14.8</v>
      </c>
      <c r="R18" s="45">
        <v>14.8</v>
      </c>
      <c r="S18" s="45">
        <v>14.8</v>
      </c>
      <c r="T18" s="45">
        <v>14.8</v>
      </c>
      <c r="U18" s="45">
        <v>14.8</v>
      </c>
      <c r="V18" s="45">
        <v>14.8</v>
      </c>
      <c r="W18" s="45">
        <v>14.8</v>
      </c>
      <c r="X18" s="45">
        <v>14.8</v>
      </c>
      <c r="Y18" s="45">
        <v>14.8</v>
      </c>
      <c r="Z18" s="45">
        <v>14.8</v>
      </c>
      <c r="AA18" s="45">
        <v>14.8</v>
      </c>
      <c r="AB18" s="45">
        <v>14.4</v>
      </c>
      <c r="AC18" s="45">
        <v>14.4</v>
      </c>
      <c r="AD18" s="45">
        <v>14.4</v>
      </c>
      <c r="AE18" s="45">
        <v>14.4</v>
      </c>
      <c r="AF18" s="45">
        <v>14.4</v>
      </c>
      <c r="AG18" s="51">
        <v>30</v>
      </c>
      <c r="AH18" s="47">
        <f t="shared" si="2"/>
        <v>19.3</v>
      </c>
      <c r="AI18" s="48">
        <f t="shared" si="3"/>
        <v>14.4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9.1999999999999993</v>
      </c>
      <c r="C19" s="45">
        <v>9.1999999999999993</v>
      </c>
      <c r="D19" s="45">
        <v>9.1999999999999993</v>
      </c>
      <c r="E19" s="45">
        <v>9.1999999999999993</v>
      </c>
      <c r="F19" s="45">
        <v>9.1999999999999993</v>
      </c>
      <c r="G19" s="45">
        <v>11.2</v>
      </c>
      <c r="H19" s="45">
        <v>11.2</v>
      </c>
      <c r="I19" s="45">
        <v>11.2</v>
      </c>
      <c r="J19" s="45">
        <v>11.2</v>
      </c>
      <c r="K19" s="45">
        <v>11.2</v>
      </c>
      <c r="L19" s="45">
        <v>11.2</v>
      </c>
      <c r="M19" s="45">
        <v>11.2</v>
      </c>
      <c r="N19" s="45">
        <v>9.5</v>
      </c>
      <c r="O19" s="45">
        <v>9.5</v>
      </c>
      <c r="P19" s="45">
        <v>9.5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9.3000000000000007</v>
      </c>
      <c r="AC19" s="45">
        <v>9.3000000000000007</v>
      </c>
      <c r="AD19" s="45">
        <v>9.3000000000000007</v>
      </c>
      <c r="AE19" s="45">
        <v>9.3000000000000007</v>
      </c>
      <c r="AF19" s="45">
        <v>9.3000000000000007</v>
      </c>
      <c r="AG19" s="50">
        <v>24.2</v>
      </c>
      <c r="AH19" s="47">
        <f t="shared" si="2"/>
        <v>11.2</v>
      </c>
      <c r="AI19" s="48">
        <f t="shared" si="3"/>
        <v>0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</v>
      </c>
      <c r="C20" s="45">
        <v>13</v>
      </c>
      <c r="D20" s="45">
        <v>13</v>
      </c>
      <c r="E20" s="45">
        <v>13</v>
      </c>
      <c r="F20" s="45">
        <v>13</v>
      </c>
      <c r="G20" s="45">
        <v>13</v>
      </c>
      <c r="H20" s="45">
        <v>13</v>
      </c>
      <c r="I20" s="45">
        <v>13</v>
      </c>
      <c r="J20" s="45">
        <v>13</v>
      </c>
      <c r="K20" s="45">
        <v>13</v>
      </c>
      <c r="L20" s="45">
        <v>13</v>
      </c>
      <c r="M20" s="45">
        <v>13</v>
      </c>
      <c r="N20" s="45">
        <v>13</v>
      </c>
      <c r="O20" s="45">
        <v>13</v>
      </c>
      <c r="P20" s="45">
        <v>13</v>
      </c>
      <c r="Q20" s="45">
        <v>0</v>
      </c>
      <c r="R20" s="45">
        <v>8.6999999999999993</v>
      </c>
      <c r="S20" s="45">
        <v>8.6999999999999993</v>
      </c>
      <c r="T20" s="45">
        <v>8.6999999999999993</v>
      </c>
      <c r="U20" s="45">
        <v>8.6999999999999993</v>
      </c>
      <c r="V20" s="45">
        <v>8.6999999999999993</v>
      </c>
      <c r="W20" s="45">
        <v>8.6999999999999993</v>
      </c>
      <c r="X20" s="45">
        <v>8.6999999999999993</v>
      </c>
      <c r="Y20" s="45">
        <v>8.6999999999999993</v>
      </c>
      <c r="Z20" s="45">
        <v>8.6999999999999993</v>
      </c>
      <c r="AA20" s="45">
        <v>8.6999999999999993</v>
      </c>
      <c r="AB20" s="45">
        <v>8.6999999999999993</v>
      </c>
      <c r="AC20" s="45">
        <v>8.6999999999999993</v>
      </c>
      <c r="AD20" s="45">
        <v>8.6999999999999993</v>
      </c>
      <c r="AE20" s="45">
        <v>8.6999999999999993</v>
      </c>
      <c r="AF20" s="45">
        <v>8.6999999999999993</v>
      </c>
      <c r="AG20" s="50">
        <v>28</v>
      </c>
      <c r="AH20" s="47">
        <f t="shared" si="2"/>
        <v>13</v>
      </c>
      <c r="AI20" s="48">
        <f t="shared" si="3"/>
        <v>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17</v>
      </c>
      <c r="C21" s="45">
        <v>17</v>
      </c>
      <c r="D21" s="45">
        <v>17</v>
      </c>
      <c r="E21" s="45">
        <v>17</v>
      </c>
      <c r="F21" s="45">
        <v>17</v>
      </c>
      <c r="G21" s="45">
        <v>17</v>
      </c>
      <c r="H21" s="45">
        <v>17</v>
      </c>
      <c r="I21" s="45">
        <v>17</v>
      </c>
      <c r="J21" s="45">
        <v>17</v>
      </c>
      <c r="K21" s="45">
        <v>17</v>
      </c>
      <c r="L21" s="45">
        <v>17</v>
      </c>
      <c r="M21" s="45">
        <v>17</v>
      </c>
      <c r="N21" s="45">
        <v>17</v>
      </c>
      <c r="O21" s="45">
        <v>17</v>
      </c>
      <c r="P21" s="45">
        <v>17</v>
      </c>
      <c r="Q21" s="45">
        <v>17</v>
      </c>
      <c r="R21" s="45">
        <v>17</v>
      </c>
      <c r="S21" s="45">
        <v>17</v>
      </c>
      <c r="T21" s="45">
        <v>17</v>
      </c>
      <c r="U21" s="45">
        <v>17</v>
      </c>
      <c r="V21" s="45">
        <v>17</v>
      </c>
      <c r="W21" s="45">
        <v>17</v>
      </c>
      <c r="X21" s="45">
        <v>17</v>
      </c>
      <c r="Y21" s="45">
        <v>17</v>
      </c>
      <c r="Z21" s="45">
        <v>17</v>
      </c>
      <c r="AA21" s="45">
        <v>17</v>
      </c>
      <c r="AB21" s="45">
        <v>17</v>
      </c>
      <c r="AC21" s="45">
        <v>17</v>
      </c>
      <c r="AD21" s="45">
        <v>17</v>
      </c>
      <c r="AE21" s="45">
        <v>17</v>
      </c>
      <c r="AF21" s="45">
        <v>17</v>
      </c>
      <c r="AG21" s="51">
        <v>30</v>
      </c>
      <c r="AH21" s="47">
        <f t="shared" si="2"/>
        <v>17</v>
      </c>
      <c r="AI21" s="48">
        <f t="shared" si="3"/>
        <v>17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21</v>
      </c>
      <c r="C22" s="45">
        <v>21</v>
      </c>
      <c r="D22" s="45">
        <v>21</v>
      </c>
      <c r="E22" s="45">
        <v>21</v>
      </c>
      <c r="F22" s="45">
        <v>21</v>
      </c>
      <c r="G22" s="45">
        <v>21</v>
      </c>
      <c r="H22" s="45">
        <v>21</v>
      </c>
      <c r="I22" s="45">
        <v>21</v>
      </c>
      <c r="J22" s="45">
        <v>21</v>
      </c>
      <c r="K22" s="45">
        <v>21</v>
      </c>
      <c r="L22" s="45">
        <v>21</v>
      </c>
      <c r="M22" s="45">
        <v>21</v>
      </c>
      <c r="N22" s="45">
        <v>21</v>
      </c>
      <c r="O22" s="45">
        <v>21</v>
      </c>
      <c r="P22" s="45">
        <v>21</v>
      </c>
      <c r="Q22" s="45">
        <v>21</v>
      </c>
      <c r="R22" s="45">
        <v>21</v>
      </c>
      <c r="S22" s="45">
        <v>21</v>
      </c>
      <c r="T22" s="45">
        <v>21</v>
      </c>
      <c r="U22" s="45">
        <v>21</v>
      </c>
      <c r="V22" s="45">
        <v>21</v>
      </c>
      <c r="W22" s="45">
        <v>21</v>
      </c>
      <c r="X22" s="45">
        <v>21</v>
      </c>
      <c r="Y22" s="45">
        <v>21</v>
      </c>
      <c r="Z22" s="45">
        <v>21</v>
      </c>
      <c r="AA22" s="45">
        <v>21</v>
      </c>
      <c r="AB22" s="45">
        <v>21</v>
      </c>
      <c r="AC22" s="45">
        <v>21</v>
      </c>
      <c r="AD22" s="45">
        <v>21</v>
      </c>
      <c r="AE22" s="45">
        <v>21</v>
      </c>
      <c r="AF22" s="45">
        <v>21</v>
      </c>
      <c r="AG22" s="50">
        <v>25</v>
      </c>
      <c r="AH22" s="47">
        <f t="shared" si="2"/>
        <v>21</v>
      </c>
      <c r="AI22" s="48">
        <f t="shared" si="3"/>
        <v>21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10</v>
      </c>
      <c r="C25" s="45">
        <v>10</v>
      </c>
      <c r="D25" s="45">
        <v>10</v>
      </c>
      <c r="E25" s="45">
        <v>10</v>
      </c>
      <c r="F25" s="45">
        <v>10</v>
      </c>
      <c r="G25" s="45">
        <v>10</v>
      </c>
      <c r="H25" s="45">
        <v>10</v>
      </c>
      <c r="I25" s="45">
        <v>10</v>
      </c>
      <c r="J25" s="45">
        <v>10</v>
      </c>
      <c r="K25" s="45">
        <v>10</v>
      </c>
      <c r="L25" s="45">
        <v>10</v>
      </c>
      <c r="M25" s="45">
        <v>10</v>
      </c>
      <c r="N25" s="45">
        <v>10</v>
      </c>
      <c r="O25" s="45">
        <v>10</v>
      </c>
      <c r="P25" s="45">
        <v>10</v>
      </c>
      <c r="Q25" s="45">
        <v>10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45">
        <v>10</v>
      </c>
      <c r="Y25" s="45">
        <v>10</v>
      </c>
      <c r="Z25" s="45">
        <v>10</v>
      </c>
      <c r="AA25" s="45">
        <v>10</v>
      </c>
      <c r="AB25" s="45">
        <v>10</v>
      </c>
      <c r="AC25" s="45">
        <v>10</v>
      </c>
      <c r="AD25" s="45">
        <v>10</v>
      </c>
      <c r="AE25" s="45">
        <v>10</v>
      </c>
      <c r="AF25" s="45">
        <v>10</v>
      </c>
      <c r="AG25" s="50">
        <v>25</v>
      </c>
      <c r="AH25" s="47">
        <f t="shared" si="2"/>
        <v>10</v>
      </c>
      <c r="AI25" s="48">
        <f t="shared" si="3"/>
        <v>10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17</v>
      </c>
      <c r="C26" s="45">
        <v>17</v>
      </c>
      <c r="D26" s="45">
        <v>17</v>
      </c>
      <c r="E26" s="45">
        <v>17</v>
      </c>
      <c r="F26" s="45">
        <v>17</v>
      </c>
      <c r="G26" s="45">
        <v>17</v>
      </c>
      <c r="H26" s="45">
        <v>17</v>
      </c>
      <c r="I26" s="45">
        <v>17</v>
      </c>
      <c r="J26" s="45">
        <v>17</v>
      </c>
      <c r="K26" s="45">
        <v>17</v>
      </c>
      <c r="L26" s="45">
        <v>17</v>
      </c>
      <c r="M26" s="45">
        <v>17</v>
      </c>
      <c r="N26" s="45">
        <v>17</v>
      </c>
      <c r="O26" s="45">
        <v>17</v>
      </c>
      <c r="P26" s="45">
        <v>17</v>
      </c>
      <c r="Q26" s="45">
        <v>1.4</v>
      </c>
      <c r="R26" s="45">
        <v>1.4</v>
      </c>
      <c r="S26" s="45">
        <v>1.4</v>
      </c>
      <c r="T26" s="45">
        <v>1.4</v>
      </c>
      <c r="U26" s="45">
        <v>1.4</v>
      </c>
      <c r="V26" s="45">
        <v>1.4</v>
      </c>
      <c r="W26" s="45">
        <v>1.4</v>
      </c>
      <c r="X26" s="45">
        <v>1.4</v>
      </c>
      <c r="Y26" s="45">
        <v>1.4</v>
      </c>
      <c r="Z26" s="45">
        <v>1.4</v>
      </c>
      <c r="AA26" s="45">
        <v>1.4</v>
      </c>
      <c r="AB26" s="45">
        <v>1.4</v>
      </c>
      <c r="AC26" s="45">
        <v>1.4</v>
      </c>
      <c r="AD26" s="45">
        <v>1.4</v>
      </c>
      <c r="AE26" s="45">
        <v>1.4</v>
      </c>
      <c r="AF26" s="45">
        <v>1.4</v>
      </c>
      <c r="AG26" s="50">
        <v>23.5</v>
      </c>
      <c r="AH26" s="47">
        <f t="shared" si="2"/>
        <v>17</v>
      </c>
      <c r="AI26" s="48">
        <f t="shared" si="3"/>
        <v>1.4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>
        <v>3</v>
      </c>
      <c r="Y27" s="45">
        <v>3</v>
      </c>
      <c r="Z27" s="45">
        <v>3</v>
      </c>
      <c r="AA27" s="45">
        <v>3</v>
      </c>
      <c r="AB27" s="45">
        <v>3</v>
      </c>
      <c r="AC27" s="45">
        <v>3</v>
      </c>
      <c r="AD27" s="45">
        <v>3</v>
      </c>
      <c r="AE27" s="45">
        <v>3</v>
      </c>
      <c r="AF27" s="45">
        <v>3</v>
      </c>
      <c r="AG27" s="50">
        <v>22.2</v>
      </c>
      <c r="AH27" s="47">
        <f t="shared" si="2"/>
        <v>3</v>
      </c>
      <c r="AI27" s="48">
        <f t="shared" si="3"/>
        <v>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0">
        <v>22.1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11</v>
      </c>
      <c r="C30" s="45">
        <v>11</v>
      </c>
      <c r="D30" s="45">
        <v>11</v>
      </c>
      <c r="E30" s="45">
        <v>11</v>
      </c>
      <c r="F30" s="45">
        <v>11</v>
      </c>
      <c r="G30" s="45">
        <v>10</v>
      </c>
      <c r="H30" s="45">
        <v>10</v>
      </c>
      <c r="I30" s="45">
        <v>10</v>
      </c>
      <c r="J30" s="45">
        <v>10</v>
      </c>
      <c r="K30" s="45">
        <v>10</v>
      </c>
      <c r="L30" s="45">
        <v>10</v>
      </c>
      <c r="M30" s="45">
        <v>10</v>
      </c>
      <c r="N30" s="45">
        <v>10</v>
      </c>
      <c r="O30" s="45">
        <v>10</v>
      </c>
      <c r="P30" s="45">
        <v>10</v>
      </c>
      <c r="Q30" s="45">
        <v>6</v>
      </c>
      <c r="R30" s="45">
        <v>6</v>
      </c>
      <c r="S30" s="45">
        <v>6</v>
      </c>
      <c r="T30" s="45">
        <v>6</v>
      </c>
      <c r="U30" s="45">
        <v>6</v>
      </c>
      <c r="V30" s="45">
        <v>6</v>
      </c>
      <c r="W30" s="45">
        <v>6</v>
      </c>
      <c r="X30" s="45">
        <v>6</v>
      </c>
      <c r="Y30" s="45">
        <v>6</v>
      </c>
      <c r="Z30" s="45">
        <v>6</v>
      </c>
      <c r="AA30" s="45">
        <v>6</v>
      </c>
      <c r="AB30" s="45">
        <v>6</v>
      </c>
      <c r="AC30" s="45">
        <v>6</v>
      </c>
      <c r="AD30" s="45">
        <v>6</v>
      </c>
      <c r="AE30" s="45">
        <v>6</v>
      </c>
      <c r="AF30" s="45">
        <v>6</v>
      </c>
      <c r="AG30" s="50">
        <v>22</v>
      </c>
      <c r="AH30" s="47">
        <f t="shared" si="2"/>
        <v>11</v>
      </c>
      <c r="AI30" s="48">
        <f t="shared" si="3"/>
        <v>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14</v>
      </c>
      <c r="C31" s="45">
        <v>16</v>
      </c>
      <c r="D31" s="45">
        <v>16</v>
      </c>
      <c r="E31" s="45">
        <v>10</v>
      </c>
      <c r="F31" s="45">
        <v>16</v>
      </c>
      <c r="G31" s="45">
        <v>16</v>
      </c>
      <c r="H31" s="45">
        <v>16</v>
      </c>
      <c r="I31" s="45">
        <v>16</v>
      </c>
      <c r="J31" s="45">
        <v>16</v>
      </c>
      <c r="K31" s="45">
        <v>16</v>
      </c>
      <c r="L31" s="45">
        <v>16</v>
      </c>
      <c r="M31" s="45">
        <v>16</v>
      </c>
      <c r="N31" s="45">
        <v>16</v>
      </c>
      <c r="O31" s="45">
        <v>16</v>
      </c>
      <c r="P31" s="45">
        <v>16</v>
      </c>
      <c r="Q31" s="45">
        <v>16</v>
      </c>
      <c r="R31" s="45">
        <v>16</v>
      </c>
      <c r="S31" s="45">
        <v>16</v>
      </c>
      <c r="T31" s="45">
        <v>16</v>
      </c>
      <c r="U31" s="45">
        <v>16</v>
      </c>
      <c r="V31" s="45">
        <v>16</v>
      </c>
      <c r="W31" s="45">
        <v>16</v>
      </c>
      <c r="X31" s="45">
        <v>16</v>
      </c>
      <c r="Y31" s="45">
        <v>16</v>
      </c>
      <c r="Z31" s="45">
        <v>16</v>
      </c>
      <c r="AA31" s="45">
        <v>16</v>
      </c>
      <c r="AB31" s="45">
        <v>16</v>
      </c>
      <c r="AC31" s="45">
        <v>16</v>
      </c>
      <c r="AD31" s="45">
        <v>16</v>
      </c>
      <c r="AE31" s="45">
        <v>16</v>
      </c>
      <c r="AF31" s="45">
        <v>16</v>
      </c>
      <c r="AG31" s="50">
        <v>20</v>
      </c>
      <c r="AH31" s="47">
        <f t="shared" si="2"/>
        <v>16</v>
      </c>
      <c r="AI31" s="48">
        <f t="shared" si="3"/>
        <v>10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50">
        <v>18</v>
      </c>
      <c r="AH32" s="47">
        <f t="shared" si="2"/>
        <v>8</v>
      </c>
      <c r="AI32" s="48">
        <f t="shared" si="3"/>
        <v>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50">
        <v>14.9</v>
      </c>
      <c r="AH33" s="47">
        <f t="shared" si="2"/>
        <v>0</v>
      </c>
      <c r="AI33" s="48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2</v>
      </c>
      <c r="C35" s="45">
        <v>2</v>
      </c>
      <c r="D35" s="45">
        <v>2</v>
      </c>
      <c r="E35" s="45">
        <v>2</v>
      </c>
      <c r="F35" s="45">
        <v>2</v>
      </c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>
        <v>2</v>
      </c>
      <c r="Q35" s="45">
        <v>2</v>
      </c>
      <c r="R35" s="45">
        <v>2</v>
      </c>
      <c r="S35" s="45">
        <v>2</v>
      </c>
      <c r="T35" s="45">
        <v>2</v>
      </c>
      <c r="U35" s="45">
        <v>2</v>
      </c>
      <c r="V35" s="45">
        <v>2</v>
      </c>
      <c r="W35" s="45">
        <v>2</v>
      </c>
      <c r="X35" s="45">
        <v>2</v>
      </c>
      <c r="Y35" s="45">
        <v>2</v>
      </c>
      <c r="Z35" s="45">
        <v>2</v>
      </c>
      <c r="AA35" s="45">
        <v>2</v>
      </c>
      <c r="AB35" s="45">
        <v>2</v>
      </c>
      <c r="AC35" s="45">
        <v>2</v>
      </c>
      <c r="AD35" s="45">
        <v>2</v>
      </c>
      <c r="AE35" s="45">
        <v>2</v>
      </c>
      <c r="AF35" s="45">
        <v>2</v>
      </c>
      <c r="AG35" s="50">
        <v>13.6</v>
      </c>
      <c r="AH35" s="47">
        <f t="shared" si="2"/>
        <v>2</v>
      </c>
      <c r="AI35" s="48">
        <f t="shared" si="3"/>
        <v>2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3</v>
      </c>
      <c r="C36" s="45">
        <v>3</v>
      </c>
      <c r="D36" s="45">
        <v>3</v>
      </c>
      <c r="E36" s="45">
        <v>3</v>
      </c>
      <c r="F36" s="45">
        <v>3</v>
      </c>
      <c r="G36" s="45">
        <v>3</v>
      </c>
      <c r="H36" s="45">
        <v>3</v>
      </c>
      <c r="I36" s="45">
        <v>3</v>
      </c>
      <c r="J36" s="45">
        <v>3</v>
      </c>
      <c r="K36" s="45">
        <v>3</v>
      </c>
      <c r="L36" s="45">
        <v>3</v>
      </c>
      <c r="M36" s="45">
        <v>3</v>
      </c>
      <c r="N36" s="45">
        <v>3</v>
      </c>
      <c r="O36" s="45">
        <v>3</v>
      </c>
      <c r="P36" s="45">
        <v>3</v>
      </c>
      <c r="Q36" s="45">
        <v>3</v>
      </c>
      <c r="R36" s="45">
        <v>3</v>
      </c>
      <c r="S36" s="45">
        <v>3</v>
      </c>
      <c r="T36" s="45">
        <v>3</v>
      </c>
      <c r="U36" s="45">
        <v>3</v>
      </c>
      <c r="V36" s="45">
        <v>3</v>
      </c>
      <c r="W36" s="45">
        <v>3</v>
      </c>
      <c r="X36" s="45">
        <v>3</v>
      </c>
      <c r="Y36" s="45">
        <v>3</v>
      </c>
      <c r="Z36" s="45">
        <v>3</v>
      </c>
      <c r="AA36" s="45">
        <v>3</v>
      </c>
      <c r="AB36" s="45">
        <v>3</v>
      </c>
      <c r="AC36" s="45">
        <v>3</v>
      </c>
      <c r="AD36" s="45">
        <v>3</v>
      </c>
      <c r="AE36" s="45">
        <v>3</v>
      </c>
      <c r="AF36" s="45">
        <v>3</v>
      </c>
      <c r="AG36" s="50">
        <v>13</v>
      </c>
      <c r="AH36" s="47">
        <f t="shared" si="2"/>
        <v>3</v>
      </c>
      <c r="AI36" s="48">
        <f t="shared" si="3"/>
        <v>3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0">
        <v>12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4</v>
      </c>
      <c r="C38" s="45">
        <v>4</v>
      </c>
      <c r="D38" s="45">
        <v>4</v>
      </c>
      <c r="E38" s="45">
        <v>4</v>
      </c>
      <c r="F38" s="45">
        <v>4</v>
      </c>
      <c r="G38" s="45">
        <v>4</v>
      </c>
      <c r="H38" s="45">
        <v>4</v>
      </c>
      <c r="I38" s="45">
        <v>4</v>
      </c>
      <c r="J38" s="45">
        <v>4</v>
      </c>
      <c r="K38" s="45">
        <v>4</v>
      </c>
      <c r="L38" s="45">
        <v>4</v>
      </c>
      <c r="M38" s="45">
        <v>4</v>
      </c>
      <c r="N38" s="45">
        <v>4</v>
      </c>
      <c r="O38" s="45">
        <v>4</v>
      </c>
      <c r="P38" s="45">
        <v>4</v>
      </c>
      <c r="Q38" s="45">
        <v>4</v>
      </c>
      <c r="R38" s="45">
        <v>4</v>
      </c>
      <c r="S38" s="45">
        <v>4</v>
      </c>
      <c r="T38" s="45">
        <v>4</v>
      </c>
      <c r="U38" s="45">
        <v>4</v>
      </c>
      <c r="V38" s="45">
        <v>4</v>
      </c>
      <c r="W38" s="45">
        <v>4</v>
      </c>
      <c r="X38" s="45">
        <v>4</v>
      </c>
      <c r="Y38" s="45">
        <v>4</v>
      </c>
      <c r="Z38" s="45">
        <v>4</v>
      </c>
      <c r="AA38" s="45">
        <v>4</v>
      </c>
      <c r="AB38" s="45">
        <v>4</v>
      </c>
      <c r="AC38" s="45">
        <v>4</v>
      </c>
      <c r="AD38" s="45">
        <v>4</v>
      </c>
      <c r="AE38" s="45">
        <v>4</v>
      </c>
      <c r="AF38" s="45">
        <v>4</v>
      </c>
      <c r="AG38" s="50">
        <v>12</v>
      </c>
      <c r="AH38" s="47">
        <f t="shared" si="2"/>
        <v>4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>
        <v>3</v>
      </c>
      <c r="AB39" s="45">
        <v>3</v>
      </c>
      <c r="AC39" s="45">
        <v>3</v>
      </c>
      <c r="AD39" s="45">
        <v>3</v>
      </c>
      <c r="AE39" s="45">
        <v>3</v>
      </c>
      <c r="AF39" s="45">
        <v>3</v>
      </c>
      <c r="AG39" s="50">
        <v>12</v>
      </c>
      <c r="AH39" s="47">
        <f t="shared" si="2"/>
        <v>3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52">
        <v>22</v>
      </c>
      <c r="AH40" s="47">
        <f t="shared" si="2"/>
        <v>2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>
        <v>3.6</v>
      </c>
      <c r="Q41" s="45">
        <v>3.6</v>
      </c>
      <c r="R41" s="45">
        <v>3.6</v>
      </c>
      <c r="S41" s="45">
        <v>3.6</v>
      </c>
      <c r="T41" s="45">
        <v>3.6</v>
      </c>
      <c r="U41" s="45">
        <v>3.6</v>
      </c>
      <c r="V41" s="45">
        <v>3.6</v>
      </c>
      <c r="W41" s="45">
        <v>3.6</v>
      </c>
      <c r="X41" s="45">
        <v>3.6</v>
      </c>
      <c r="Y41" s="45">
        <v>3.6</v>
      </c>
      <c r="Z41" s="45">
        <v>3.6</v>
      </c>
      <c r="AA41" s="45">
        <v>3.6</v>
      </c>
      <c r="AB41" s="45">
        <v>3.6</v>
      </c>
      <c r="AC41" s="45">
        <v>3.6</v>
      </c>
      <c r="AD41" s="45">
        <v>3.6</v>
      </c>
      <c r="AE41" s="45">
        <v>3.6</v>
      </c>
      <c r="AF41" s="45">
        <v>3.6</v>
      </c>
      <c r="AG41" s="51">
        <v>11.88</v>
      </c>
      <c r="AH41" s="47">
        <f t="shared" si="2"/>
        <v>3.6</v>
      </c>
      <c r="AI41" s="48">
        <f t="shared" si="3"/>
        <v>3.6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3</v>
      </c>
      <c r="C43" s="45">
        <v>3</v>
      </c>
      <c r="D43" s="45">
        <v>3</v>
      </c>
      <c r="E43" s="45">
        <v>3</v>
      </c>
      <c r="F43" s="45">
        <v>3</v>
      </c>
      <c r="G43" s="45">
        <v>3</v>
      </c>
      <c r="H43" s="45">
        <v>3</v>
      </c>
      <c r="I43" s="45">
        <v>3</v>
      </c>
      <c r="J43" s="45">
        <v>3</v>
      </c>
      <c r="K43" s="45">
        <v>3</v>
      </c>
      <c r="L43" s="45">
        <v>3</v>
      </c>
      <c r="M43" s="45">
        <v>3</v>
      </c>
      <c r="N43" s="45">
        <v>3</v>
      </c>
      <c r="O43" s="45">
        <v>3</v>
      </c>
      <c r="P43" s="45">
        <v>3</v>
      </c>
      <c r="Q43" s="45">
        <v>3</v>
      </c>
      <c r="R43" s="45">
        <v>3</v>
      </c>
      <c r="S43" s="45">
        <v>3</v>
      </c>
      <c r="T43" s="45">
        <v>3</v>
      </c>
      <c r="U43" s="45">
        <v>3</v>
      </c>
      <c r="V43" s="45">
        <v>3</v>
      </c>
      <c r="W43" s="45">
        <v>3</v>
      </c>
      <c r="X43" s="45">
        <v>3</v>
      </c>
      <c r="Y43" s="45">
        <v>3</v>
      </c>
      <c r="Z43" s="45">
        <v>3</v>
      </c>
      <c r="AA43" s="45">
        <v>3</v>
      </c>
      <c r="AB43" s="45">
        <v>3</v>
      </c>
      <c r="AC43" s="45">
        <v>3</v>
      </c>
      <c r="AD43" s="45">
        <v>3</v>
      </c>
      <c r="AE43" s="45">
        <v>3</v>
      </c>
      <c r="AF43" s="45">
        <v>3</v>
      </c>
      <c r="AG43" s="54">
        <v>10</v>
      </c>
      <c r="AH43" s="47">
        <f t="shared" si="2"/>
        <v>3</v>
      </c>
      <c r="AI43" s="48">
        <f t="shared" si="3"/>
        <v>3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>
        <v>3</v>
      </c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>
        <v>3</v>
      </c>
      <c r="Y44" s="45">
        <v>3</v>
      </c>
      <c r="Z44" s="45">
        <v>3</v>
      </c>
      <c r="AA44" s="45">
        <v>3</v>
      </c>
      <c r="AB44" s="45">
        <v>3</v>
      </c>
      <c r="AC44" s="45">
        <v>3</v>
      </c>
      <c r="AD44" s="45">
        <v>3</v>
      </c>
      <c r="AE44" s="45">
        <v>3</v>
      </c>
      <c r="AF44" s="45">
        <v>3</v>
      </c>
      <c r="AG44" s="54">
        <v>10</v>
      </c>
      <c r="AH44" s="47">
        <f t="shared" si="2"/>
        <v>3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225</v>
      </c>
      <c r="C46" s="56">
        <v>225</v>
      </c>
      <c r="D46" s="56">
        <v>225</v>
      </c>
      <c r="E46" s="56">
        <v>225</v>
      </c>
      <c r="F46" s="56">
        <v>225</v>
      </c>
      <c r="G46" s="56">
        <v>225</v>
      </c>
      <c r="H46" s="56">
        <v>225</v>
      </c>
      <c r="I46" s="56">
        <v>225</v>
      </c>
      <c r="J46" s="56">
        <v>225</v>
      </c>
      <c r="K46" s="56">
        <v>225</v>
      </c>
      <c r="L46" s="56">
        <v>225</v>
      </c>
      <c r="M46" s="56">
        <v>225</v>
      </c>
      <c r="N46" s="56">
        <v>225</v>
      </c>
      <c r="O46" s="56">
        <v>225</v>
      </c>
      <c r="P46" s="56">
        <v>225</v>
      </c>
      <c r="Q46" s="56">
        <v>225</v>
      </c>
      <c r="R46" s="56">
        <v>225</v>
      </c>
      <c r="S46" s="56">
        <v>225</v>
      </c>
      <c r="T46" s="56">
        <v>225</v>
      </c>
      <c r="U46" s="56">
        <v>225</v>
      </c>
      <c r="V46" s="56">
        <v>225</v>
      </c>
      <c r="W46" s="56">
        <v>225</v>
      </c>
      <c r="X46" s="56">
        <v>225</v>
      </c>
      <c r="Y46" s="56">
        <v>225</v>
      </c>
      <c r="Z46" s="56">
        <v>225</v>
      </c>
      <c r="AA46" s="56">
        <v>225</v>
      </c>
      <c r="AB46" s="56">
        <v>225</v>
      </c>
      <c r="AC46" s="56">
        <v>225</v>
      </c>
      <c r="AD46" s="56">
        <v>225</v>
      </c>
      <c r="AE46" s="56">
        <v>225</v>
      </c>
      <c r="AF46" s="56">
        <v>225</v>
      </c>
      <c r="AG46" s="54">
        <v>85</v>
      </c>
      <c r="AH46" s="47">
        <f t="shared" si="2"/>
        <v>225</v>
      </c>
      <c r="AI46" s="48">
        <f t="shared" si="3"/>
        <v>225</v>
      </c>
      <c r="AK46" s="49"/>
    </row>
    <row r="47" spans="1:88" ht="15.75" thickBot="1" x14ac:dyDescent="0.3">
      <c r="A47" s="57" t="s">
        <v>55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56</v>
      </c>
      <c r="B48" s="60">
        <v>633.09999999999991</v>
      </c>
      <c r="C48" s="60">
        <f t="shared" ref="C48:AF48" si="4">SUM(C11:C46)</f>
        <v>623.09999999999991</v>
      </c>
      <c r="D48" s="60">
        <f t="shared" si="4"/>
        <v>623.09999999999991</v>
      </c>
      <c r="E48" s="60">
        <f t="shared" si="4"/>
        <v>590.09999999999991</v>
      </c>
      <c r="F48" s="60">
        <f t="shared" si="4"/>
        <v>623.09999999999991</v>
      </c>
      <c r="G48" s="60">
        <f t="shared" si="4"/>
        <v>628</v>
      </c>
      <c r="H48" s="60">
        <f t="shared" si="4"/>
        <v>628</v>
      </c>
      <c r="I48" s="60">
        <f t="shared" si="4"/>
        <v>632.09999999999991</v>
      </c>
      <c r="J48" s="60">
        <f t="shared" si="4"/>
        <v>632.09999999999991</v>
      </c>
      <c r="K48" s="60">
        <f t="shared" si="4"/>
        <v>634.09999999999991</v>
      </c>
      <c r="L48" s="60">
        <f t="shared" si="4"/>
        <v>634.09999999999991</v>
      </c>
      <c r="M48" s="60">
        <f t="shared" si="4"/>
        <v>630.09999999999991</v>
      </c>
      <c r="N48" s="60">
        <f t="shared" si="4"/>
        <v>614.29999999999995</v>
      </c>
      <c r="O48" s="60">
        <f t="shared" si="4"/>
        <v>603.90000000000009</v>
      </c>
      <c r="P48" s="60">
        <f t="shared" si="4"/>
        <v>612.90000000000009</v>
      </c>
      <c r="Q48" s="60">
        <f>SUM(Q11:Q46)</f>
        <v>572</v>
      </c>
      <c r="R48" s="60">
        <f t="shared" si="4"/>
        <v>567.70000000000005</v>
      </c>
      <c r="S48" s="60">
        <f t="shared" si="4"/>
        <v>567.70000000000005</v>
      </c>
      <c r="T48" s="60">
        <f t="shared" si="4"/>
        <v>567.70000000000005</v>
      </c>
      <c r="U48" s="60">
        <f t="shared" si="4"/>
        <v>567.70000000000005</v>
      </c>
      <c r="V48" s="60">
        <f t="shared" si="4"/>
        <v>567.70000000000005</v>
      </c>
      <c r="W48" s="60">
        <f t="shared" si="4"/>
        <v>567.70000000000005</v>
      </c>
      <c r="X48" s="60">
        <f t="shared" si="4"/>
        <v>567.70000000000005</v>
      </c>
      <c r="Y48" s="60">
        <f t="shared" si="4"/>
        <v>567.70000000000005</v>
      </c>
      <c r="Z48" s="60">
        <f t="shared" si="4"/>
        <v>567.70000000000005</v>
      </c>
      <c r="AA48" s="60">
        <v>559</v>
      </c>
      <c r="AB48" s="60">
        <f t="shared" si="4"/>
        <v>591.09999999999991</v>
      </c>
      <c r="AC48" s="60">
        <f t="shared" si="4"/>
        <v>591.09999999999991</v>
      </c>
      <c r="AD48" s="60">
        <f t="shared" si="4"/>
        <v>591.09999999999991</v>
      </c>
      <c r="AE48" s="60">
        <f t="shared" si="4"/>
        <v>591.09999999999991</v>
      </c>
      <c r="AF48" s="60">
        <f t="shared" si="4"/>
        <v>595.09999999999991</v>
      </c>
      <c r="AG48" s="61">
        <f>SUM(AG12:AG46)</f>
        <v>875.68</v>
      </c>
      <c r="AH48" s="47">
        <f t="shared" si="2"/>
        <v>634.09999999999991</v>
      </c>
      <c r="AI48" s="48">
        <f t="shared" si="3"/>
        <v>559</v>
      </c>
      <c r="AK48" s="49"/>
    </row>
    <row r="49" spans="1:41" x14ac:dyDescent="0.25">
      <c r="A49" s="62" t="s">
        <v>57</v>
      </c>
      <c r="B49" s="45">
        <v>110</v>
      </c>
      <c r="C49" s="45">
        <v>110</v>
      </c>
      <c r="D49" s="45">
        <v>110</v>
      </c>
      <c r="E49" s="45">
        <v>140</v>
      </c>
      <c r="F49" s="45">
        <v>140</v>
      </c>
      <c r="G49" s="45">
        <v>153</v>
      </c>
      <c r="H49" s="45">
        <v>155.5</v>
      </c>
      <c r="I49" s="45">
        <v>155</v>
      </c>
      <c r="J49" s="45">
        <v>26</v>
      </c>
      <c r="K49" s="45">
        <v>15</v>
      </c>
      <c r="L49" s="45">
        <v>62</v>
      </c>
      <c r="M49" s="63">
        <v>0</v>
      </c>
      <c r="N49" s="63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30</v>
      </c>
      <c r="U49" s="45">
        <v>0</v>
      </c>
      <c r="V49" s="45">
        <v>0</v>
      </c>
      <c r="W49" s="45">
        <v>0</v>
      </c>
      <c r="X49" s="45">
        <v>0</v>
      </c>
      <c r="Y49" s="45">
        <v>60</v>
      </c>
      <c r="Z49" s="45">
        <v>60</v>
      </c>
      <c r="AA49" s="45">
        <v>75</v>
      </c>
      <c r="AB49" s="45">
        <v>130</v>
      </c>
      <c r="AC49" s="45">
        <v>120</v>
      </c>
      <c r="AD49" s="45">
        <v>220</v>
      </c>
      <c r="AE49" s="45">
        <v>220</v>
      </c>
      <c r="AF49" s="45">
        <v>200</v>
      </c>
      <c r="AG49" s="51">
        <v>456</v>
      </c>
      <c r="AH49" s="47">
        <f t="shared" si="2"/>
        <v>220</v>
      </c>
      <c r="AI49" s="48">
        <f t="shared" si="3"/>
        <v>0</v>
      </c>
      <c r="AK49" s="49"/>
    </row>
    <row r="50" spans="1:41" x14ac:dyDescent="0.25">
      <c r="A50" s="64" t="s">
        <v>58</v>
      </c>
      <c r="B50" s="65">
        <v>55</v>
      </c>
      <c r="C50" s="65">
        <v>55</v>
      </c>
      <c r="D50" s="65">
        <v>55</v>
      </c>
      <c r="E50" s="65">
        <v>55</v>
      </c>
      <c r="F50" s="65">
        <v>55</v>
      </c>
      <c r="G50" s="65">
        <v>55</v>
      </c>
      <c r="H50" s="65">
        <v>55</v>
      </c>
      <c r="I50" s="65">
        <v>55</v>
      </c>
      <c r="J50" s="65">
        <v>55</v>
      </c>
      <c r="K50" s="65">
        <v>55</v>
      </c>
      <c r="L50" s="65">
        <v>55</v>
      </c>
      <c r="M50" s="65">
        <v>35</v>
      </c>
      <c r="N50" s="65">
        <v>35</v>
      </c>
      <c r="O50" s="65">
        <v>35</v>
      </c>
      <c r="P50" s="65">
        <v>35</v>
      </c>
      <c r="Q50" s="65">
        <v>0</v>
      </c>
      <c r="R50" s="65">
        <v>35</v>
      </c>
      <c r="S50" s="65">
        <v>35</v>
      </c>
      <c r="T50" s="65">
        <v>35</v>
      </c>
      <c r="U50" s="65">
        <v>35</v>
      </c>
      <c r="V50" s="65">
        <v>35</v>
      </c>
      <c r="W50" s="65">
        <v>35</v>
      </c>
      <c r="X50" s="65">
        <v>35</v>
      </c>
      <c r="Y50" s="65">
        <v>35</v>
      </c>
      <c r="Z50" s="65">
        <v>35</v>
      </c>
      <c r="AA50" s="65">
        <v>35</v>
      </c>
      <c r="AB50" s="65">
        <v>36</v>
      </c>
      <c r="AC50" s="65">
        <v>36</v>
      </c>
      <c r="AD50" s="65">
        <v>36</v>
      </c>
      <c r="AE50" s="65">
        <v>36</v>
      </c>
      <c r="AF50" s="65">
        <v>36</v>
      </c>
      <c r="AG50" s="54">
        <v>60</v>
      </c>
      <c r="AH50" s="47">
        <f t="shared" si="2"/>
        <v>55</v>
      </c>
      <c r="AI50" s="48">
        <f t="shared" si="3"/>
        <v>0</v>
      </c>
      <c r="AK50" s="49"/>
    </row>
    <row r="51" spans="1:41" ht="15.75" thickBot="1" x14ac:dyDescent="0.3">
      <c r="A51" s="66" t="s">
        <v>59</v>
      </c>
      <c r="B51" s="67">
        <v>22</v>
      </c>
      <c r="C51" s="67">
        <v>22</v>
      </c>
      <c r="D51" s="67">
        <v>22</v>
      </c>
      <c r="E51" s="67">
        <v>22</v>
      </c>
      <c r="F51" s="67">
        <v>22</v>
      </c>
      <c r="G51" s="67">
        <v>20.7</v>
      </c>
      <c r="H51" s="67">
        <v>20.74</v>
      </c>
      <c r="I51" s="67">
        <v>20.7</v>
      </c>
      <c r="J51" s="67">
        <v>20.7</v>
      </c>
      <c r="K51" s="67">
        <v>20.7</v>
      </c>
      <c r="L51" s="67">
        <v>20.7</v>
      </c>
      <c r="M51" s="67">
        <v>20.7</v>
      </c>
      <c r="N51" s="67">
        <v>20.7</v>
      </c>
      <c r="O51" s="67">
        <v>20.7</v>
      </c>
      <c r="P51" s="67">
        <v>20.7</v>
      </c>
      <c r="Q51" s="67">
        <v>11.9</v>
      </c>
      <c r="R51" s="67">
        <v>20.6</v>
      </c>
      <c r="S51" s="67">
        <v>20.6</v>
      </c>
      <c r="T51" s="67">
        <v>20.6</v>
      </c>
      <c r="U51" s="67">
        <v>20.6</v>
      </c>
      <c r="V51" s="67">
        <v>20.6</v>
      </c>
      <c r="W51" s="67">
        <v>20.6</v>
      </c>
      <c r="X51" s="67">
        <v>20.6</v>
      </c>
      <c r="Y51" s="67">
        <v>20.6</v>
      </c>
      <c r="Z51" s="67">
        <v>20.6</v>
      </c>
      <c r="AA51" s="67">
        <v>20.6</v>
      </c>
      <c r="AB51" s="67">
        <v>22.4</v>
      </c>
      <c r="AC51" s="67">
        <v>22.4</v>
      </c>
      <c r="AD51" s="67">
        <v>22.4</v>
      </c>
      <c r="AE51" s="67">
        <v>22.4</v>
      </c>
      <c r="AF51" s="67">
        <v>22.4</v>
      </c>
      <c r="AG51" s="68">
        <v>22.1</v>
      </c>
      <c r="AH51" s="47">
        <f t="shared" si="2"/>
        <v>22.4</v>
      </c>
      <c r="AI51" s="48">
        <f t="shared" si="3"/>
        <v>11.9</v>
      </c>
      <c r="AK51" s="49"/>
    </row>
    <row r="52" spans="1:41" ht="15.75" thickBot="1" x14ac:dyDescent="0.3">
      <c r="A52" s="69" t="s">
        <v>60</v>
      </c>
      <c r="B52" s="60">
        <v>187</v>
      </c>
      <c r="C52" s="60">
        <f t="shared" ref="C52:AG52" si="5">SUM(C49:C51)</f>
        <v>187</v>
      </c>
      <c r="D52" s="60">
        <f t="shared" si="5"/>
        <v>187</v>
      </c>
      <c r="E52" s="60">
        <f t="shared" si="5"/>
        <v>217</v>
      </c>
      <c r="F52" s="60">
        <f t="shared" si="5"/>
        <v>217</v>
      </c>
      <c r="G52" s="60">
        <f t="shared" si="5"/>
        <v>228.7</v>
      </c>
      <c r="H52" s="60">
        <f t="shared" si="5"/>
        <v>231.24</v>
      </c>
      <c r="I52" s="60">
        <f t="shared" si="5"/>
        <v>230.7</v>
      </c>
      <c r="J52" s="60">
        <f t="shared" si="5"/>
        <v>101.7</v>
      </c>
      <c r="K52" s="60">
        <f t="shared" si="5"/>
        <v>90.7</v>
      </c>
      <c r="L52" s="60">
        <f t="shared" si="5"/>
        <v>137.69999999999999</v>
      </c>
      <c r="M52" s="60">
        <f t="shared" si="5"/>
        <v>55.7</v>
      </c>
      <c r="N52" s="60">
        <f t="shared" si="5"/>
        <v>55.7</v>
      </c>
      <c r="O52" s="60">
        <f t="shared" si="5"/>
        <v>55.7</v>
      </c>
      <c r="P52" s="60">
        <f t="shared" si="5"/>
        <v>55.7</v>
      </c>
      <c r="Q52" s="60">
        <f>SUM(Q49:Q51)</f>
        <v>11.9</v>
      </c>
      <c r="R52" s="60">
        <f t="shared" si="5"/>
        <v>55.6</v>
      </c>
      <c r="S52" s="60">
        <f t="shared" si="5"/>
        <v>55.6</v>
      </c>
      <c r="T52" s="60">
        <f t="shared" si="5"/>
        <v>85.6</v>
      </c>
      <c r="U52" s="60">
        <f t="shared" si="5"/>
        <v>55.6</v>
      </c>
      <c r="V52" s="60">
        <f t="shared" si="5"/>
        <v>55.6</v>
      </c>
      <c r="W52" s="60">
        <f t="shared" si="5"/>
        <v>55.6</v>
      </c>
      <c r="X52" s="60">
        <f t="shared" si="5"/>
        <v>55.6</v>
      </c>
      <c r="Y52" s="60">
        <f t="shared" si="5"/>
        <v>115.6</v>
      </c>
      <c r="Z52" s="60">
        <f t="shared" si="5"/>
        <v>115.6</v>
      </c>
      <c r="AA52" s="60">
        <v>130.6</v>
      </c>
      <c r="AB52" s="60">
        <f t="shared" si="5"/>
        <v>188.4</v>
      </c>
      <c r="AC52" s="60">
        <f t="shared" si="5"/>
        <v>178.4</v>
      </c>
      <c r="AD52" s="60">
        <f t="shared" si="5"/>
        <v>278.39999999999998</v>
      </c>
      <c r="AE52" s="60">
        <f t="shared" si="5"/>
        <v>278.39999999999998</v>
      </c>
      <c r="AF52" s="60">
        <f t="shared" si="5"/>
        <v>258.39999999999998</v>
      </c>
      <c r="AG52" s="61">
        <f t="shared" si="5"/>
        <v>538.1</v>
      </c>
      <c r="AH52" s="47">
        <f t="shared" si="2"/>
        <v>278.39999999999998</v>
      </c>
      <c r="AI52" s="48">
        <f t="shared" si="3"/>
        <v>11.9</v>
      </c>
      <c r="AK52" s="49"/>
    </row>
    <row r="53" spans="1:41" x14ac:dyDescent="0.25">
      <c r="A53" s="44" t="s">
        <v>61</v>
      </c>
      <c r="B53" s="45">
        <v>100</v>
      </c>
      <c r="C53" s="45">
        <v>100</v>
      </c>
      <c r="D53" s="45">
        <v>100</v>
      </c>
      <c r="E53" s="45">
        <v>69</v>
      </c>
      <c r="F53" s="45">
        <v>60</v>
      </c>
      <c r="G53" s="45">
        <v>0</v>
      </c>
      <c r="H53" s="45">
        <v>35</v>
      </c>
      <c r="I53" s="45">
        <v>60</v>
      </c>
      <c r="J53" s="45">
        <v>60</v>
      </c>
      <c r="K53" s="45">
        <v>80</v>
      </c>
      <c r="L53" s="45">
        <v>97</v>
      </c>
      <c r="M53" s="45">
        <v>135</v>
      </c>
      <c r="N53" s="45">
        <v>144</v>
      </c>
      <c r="O53" s="45">
        <v>144</v>
      </c>
      <c r="P53" s="45">
        <v>144</v>
      </c>
      <c r="Q53" s="45">
        <v>135</v>
      </c>
      <c r="R53" s="45">
        <v>135</v>
      </c>
      <c r="S53" s="45">
        <v>145</v>
      </c>
      <c r="T53" s="45">
        <v>145</v>
      </c>
      <c r="U53" s="45">
        <v>115</v>
      </c>
      <c r="V53" s="45">
        <v>110</v>
      </c>
      <c r="W53" s="45">
        <v>90</v>
      </c>
      <c r="X53" s="45">
        <v>90</v>
      </c>
      <c r="Y53" s="45">
        <v>60</v>
      </c>
      <c r="Z53" s="45">
        <v>92.5</v>
      </c>
      <c r="AA53" s="45">
        <v>122</v>
      </c>
      <c r="AB53" s="45">
        <v>131.9</v>
      </c>
      <c r="AC53" s="45">
        <v>131.9</v>
      </c>
      <c r="AD53" s="45">
        <v>144</v>
      </c>
      <c r="AE53" s="45">
        <v>130</v>
      </c>
      <c r="AF53" s="45">
        <v>126</v>
      </c>
      <c r="AG53" s="51">
        <v>144</v>
      </c>
      <c r="AH53" s="47">
        <f t="shared" si="2"/>
        <v>145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55</v>
      </c>
      <c r="C54" s="65">
        <v>55</v>
      </c>
      <c r="D54" s="65">
        <v>55</v>
      </c>
      <c r="E54" s="65">
        <v>25</v>
      </c>
      <c r="F54" s="65">
        <v>41</v>
      </c>
      <c r="G54" s="65">
        <v>69</v>
      </c>
      <c r="H54" s="65">
        <v>69.2</v>
      </c>
      <c r="I54" s="65">
        <v>69</v>
      </c>
      <c r="J54" s="65">
        <v>69</v>
      </c>
      <c r="K54" s="65">
        <v>60</v>
      </c>
      <c r="L54" s="65">
        <v>70.8</v>
      </c>
      <c r="M54" s="65">
        <v>70.8</v>
      </c>
      <c r="N54" s="65">
        <v>70.599999999999994</v>
      </c>
      <c r="O54" s="65">
        <v>71.3</v>
      </c>
      <c r="P54" s="65">
        <v>60</v>
      </c>
      <c r="Q54" s="65">
        <v>65.8</v>
      </c>
      <c r="R54" s="45">
        <v>54.9</v>
      </c>
      <c r="S54" s="45">
        <v>70</v>
      </c>
      <c r="T54" s="45">
        <v>70</v>
      </c>
      <c r="U54" s="45">
        <v>70</v>
      </c>
      <c r="V54" s="45">
        <v>60</v>
      </c>
      <c r="W54" s="45">
        <v>60</v>
      </c>
      <c r="X54" s="45">
        <v>42</v>
      </c>
      <c r="Y54" s="45">
        <v>44.5</v>
      </c>
      <c r="Z54" s="45">
        <v>42.4</v>
      </c>
      <c r="AA54" s="45">
        <v>52.7</v>
      </c>
      <c r="AB54" s="65">
        <v>59.4</v>
      </c>
      <c r="AC54" s="65">
        <v>61.6</v>
      </c>
      <c r="AD54" s="65">
        <v>70</v>
      </c>
      <c r="AE54" s="65">
        <v>33</v>
      </c>
      <c r="AF54" s="65">
        <v>35</v>
      </c>
      <c r="AG54" s="54">
        <v>70</v>
      </c>
      <c r="AH54" s="47">
        <f t="shared" si="2"/>
        <v>71.3</v>
      </c>
      <c r="AI54" s="48">
        <f t="shared" si="3"/>
        <v>25</v>
      </c>
      <c r="AK54" s="49"/>
    </row>
    <row r="55" spans="1:41" x14ac:dyDescent="0.25">
      <c r="A55" s="53" t="s">
        <v>63</v>
      </c>
      <c r="B55" s="65">
        <v>58</v>
      </c>
      <c r="C55" s="65">
        <v>58</v>
      </c>
      <c r="D55" s="65">
        <v>58</v>
      </c>
      <c r="E55" s="65">
        <v>32</v>
      </c>
      <c r="F55" s="65">
        <v>32</v>
      </c>
      <c r="G55" s="65">
        <v>15</v>
      </c>
      <c r="H55" s="65">
        <v>15.3</v>
      </c>
      <c r="I55" s="65">
        <v>40</v>
      </c>
      <c r="J55" s="65">
        <v>46.8</v>
      </c>
      <c r="K55" s="65">
        <v>52</v>
      </c>
      <c r="L55" s="65">
        <v>68.8</v>
      </c>
      <c r="M55" s="65">
        <v>68.8</v>
      </c>
      <c r="N55" s="65">
        <v>58.6</v>
      </c>
      <c r="O55" s="65">
        <v>69</v>
      </c>
      <c r="P55" s="65">
        <v>62.8</v>
      </c>
      <c r="Q55" s="65">
        <v>68.900000000000006</v>
      </c>
      <c r="R55" s="45">
        <v>63.9</v>
      </c>
      <c r="S55" s="45">
        <v>63.9</v>
      </c>
      <c r="T55" s="45">
        <v>70</v>
      </c>
      <c r="U55" s="45">
        <v>70</v>
      </c>
      <c r="V55" s="45">
        <v>70</v>
      </c>
      <c r="W55" s="45">
        <v>70</v>
      </c>
      <c r="X55" s="45">
        <v>50</v>
      </c>
      <c r="Y55" s="45">
        <v>49.3</v>
      </c>
      <c r="Z55" s="45">
        <v>71</v>
      </c>
      <c r="AA55" s="45">
        <v>69</v>
      </c>
      <c r="AB55" s="65">
        <v>36.9</v>
      </c>
      <c r="AC55" s="65">
        <v>69.8</v>
      </c>
      <c r="AD55" s="65">
        <v>70</v>
      </c>
      <c r="AE55" s="65">
        <v>65</v>
      </c>
      <c r="AF55" s="65">
        <v>70</v>
      </c>
      <c r="AG55" s="54">
        <v>69</v>
      </c>
      <c r="AH55" s="47">
        <f t="shared" si="2"/>
        <v>71</v>
      </c>
      <c r="AI55" s="48">
        <f t="shared" si="3"/>
        <v>15</v>
      </c>
      <c r="AK55" s="49"/>
    </row>
    <row r="56" spans="1:41" x14ac:dyDescent="0.25">
      <c r="A56" s="53" t="s">
        <v>64</v>
      </c>
      <c r="B56" s="65">
        <v>61.5</v>
      </c>
      <c r="C56" s="65">
        <v>61.5</v>
      </c>
      <c r="D56" s="65">
        <v>61.5</v>
      </c>
      <c r="E56" s="56">
        <v>0</v>
      </c>
      <c r="F56" s="56">
        <v>60.2</v>
      </c>
      <c r="G56" s="56">
        <v>60.4</v>
      </c>
      <c r="H56" s="56">
        <v>60.2</v>
      </c>
      <c r="I56" s="56">
        <v>60.2</v>
      </c>
      <c r="J56" s="56">
        <v>60</v>
      </c>
      <c r="K56" s="56">
        <v>60</v>
      </c>
      <c r="L56" s="56">
        <v>60</v>
      </c>
      <c r="M56" s="56">
        <v>60</v>
      </c>
      <c r="N56" s="65">
        <v>60</v>
      </c>
      <c r="O56" s="65">
        <v>60.7</v>
      </c>
      <c r="P56" s="65">
        <v>60.7</v>
      </c>
      <c r="Q56" s="65">
        <v>60.7</v>
      </c>
      <c r="R56" s="65">
        <v>60.7</v>
      </c>
      <c r="S56" s="65">
        <v>60.7</v>
      </c>
      <c r="T56" s="65">
        <v>60.7</v>
      </c>
      <c r="U56" s="65">
        <v>60.7</v>
      </c>
      <c r="V56" s="65">
        <v>60.7</v>
      </c>
      <c r="W56" s="65">
        <v>60.7</v>
      </c>
      <c r="X56" s="65">
        <v>60.7</v>
      </c>
      <c r="Y56" s="45">
        <v>60.7</v>
      </c>
      <c r="Z56" s="45">
        <v>60.7</v>
      </c>
      <c r="AA56" s="45">
        <v>60.7</v>
      </c>
      <c r="AB56" s="65">
        <v>60.7</v>
      </c>
      <c r="AC56" s="65">
        <v>60.7</v>
      </c>
      <c r="AD56" s="65">
        <v>60.7</v>
      </c>
      <c r="AE56" s="65">
        <v>60.7</v>
      </c>
      <c r="AF56" s="65">
        <v>60.7</v>
      </c>
      <c r="AG56" s="54">
        <v>60</v>
      </c>
      <c r="AH56" s="47">
        <f t="shared" si="2"/>
        <v>61.5</v>
      </c>
      <c r="AI56" s="48">
        <f t="shared" si="3"/>
        <v>0</v>
      </c>
      <c r="AK56" s="49"/>
    </row>
    <row r="57" spans="1:41" x14ac:dyDescent="0.25">
      <c r="A57" s="53" t="s">
        <v>65</v>
      </c>
      <c r="B57" s="65">
        <v>25</v>
      </c>
      <c r="C57" s="65">
        <v>25</v>
      </c>
      <c r="D57" s="65">
        <v>25</v>
      </c>
      <c r="E57" s="56">
        <v>10</v>
      </c>
      <c r="F57" s="56">
        <v>0</v>
      </c>
      <c r="G57" s="56">
        <v>0</v>
      </c>
      <c r="H57" s="56">
        <v>0</v>
      </c>
      <c r="I57" s="56">
        <v>0</v>
      </c>
      <c r="J57" s="56">
        <v>15</v>
      </c>
      <c r="K57" s="56">
        <v>15</v>
      </c>
      <c r="L57" s="56">
        <v>20</v>
      </c>
      <c r="M57" s="56">
        <v>25</v>
      </c>
      <c r="N57" s="65">
        <v>25</v>
      </c>
      <c r="O57" s="65">
        <v>25</v>
      </c>
      <c r="P57" s="65">
        <v>23</v>
      </c>
      <c r="Q57" s="65">
        <v>25</v>
      </c>
      <c r="R57" s="65">
        <v>15</v>
      </c>
      <c r="S57" s="65">
        <v>15</v>
      </c>
      <c r="T57" s="65">
        <v>15</v>
      </c>
      <c r="U57" s="65">
        <v>15</v>
      </c>
      <c r="V57" s="65">
        <v>15</v>
      </c>
      <c r="W57" s="65">
        <v>15</v>
      </c>
      <c r="X57" s="65">
        <v>15</v>
      </c>
      <c r="Y57" s="65">
        <v>15</v>
      </c>
      <c r="Z57" s="65">
        <v>15</v>
      </c>
      <c r="AA57" s="45">
        <v>22</v>
      </c>
      <c r="AB57" s="45">
        <v>20</v>
      </c>
      <c r="AC57" s="45">
        <v>20</v>
      </c>
      <c r="AD57" s="45">
        <v>15</v>
      </c>
      <c r="AE57" s="45">
        <v>15</v>
      </c>
      <c r="AF57" s="45">
        <v>15</v>
      </c>
      <c r="AG57" s="54">
        <v>30</v>
      </c>
      <c r="AH57" s="47">
        <f t="shared" si="2"/>
        <v>25</v>
      </c>
      <c r="AI57" s="48">
        <f t="shared" si="3"/>
        <v>0</v>
      </c>
      <c r="AK57" s="49"/>
    </row>
    <row r="58" spans="1:41" x14ac:dyDescent="0.25">
      <c r="A58" s="53" t="s">
        <v>66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45">
        <v>0</v>
      </c>
      <c r="K58" s="45">
        <v>0</v>
      </c>
      <c r="L58" s="45">
        <v>0</v>
      </c>
      <c r="M58" s="45">
        <v>0</v>
      </c>
      <c r="N58" s="65">
        <v>0</v>
      </c>
      <c r="O58" s="65">
        <v>1.8</v>
      </c>
      <c r="P58" s="65">
        <v>7.1</v>
      </c>
      <c r="Q58" s="65">
        <v>12.4</v>
      </c>
      <c r="R58" s="65">
        <v>15</v>
      </c>
      <c r="S58" s="65">
        <v>15</v>
      </c>
      <c r="T58" s="65">
        <v>15</v>
      </c>
      <c r="U58" s="65">
        <v>15</v>
      </c>
      <c r="V58" s="65">
        <v>15</v>
      </c>
      <c r="W58" s="65">
        <v>5</v>
      </c>
      <c r="X58" s="65">
        <v>0</v>
      </c>
      <c r="Y58" s="65">
        <v>0</v>
      </c>
      <c r="Z58" s="6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54">
        <v>25</v>
      </c>
      <c r="AH58" s="47">
        <f t="shared" si="2"/>
        <v>15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15</v>
      </c>
      <c r="C59" s="65">
        <v>15</v>
      </c>
      <c r="D59" s="65">
        <v>15</v>
      </c>
      <c r="E59" s="65">
        <v>15</v>
      </c>
      <c r="F59" s="65">
        <v>15</v>
      </c>
      <c r="G59" s="65">
        <v>15</v>
      </c>
      <c r="H59" s="65">
        <v>15</v>
      </c>
      <c r="I59" s="65">
        <v>15</v>
      </c>
      <c r="J59" s="65">
        <v>15</v>
      </c>
      <c r="K59" s="65">
        <v>15</v>
      </c>
      <c r="L59" s="65">
        <v>15</v>
      </c>
      <c r="M59" s="65">
        <v>15</v>
      </c>
      <c r="N59" s="65">
        <v>15</v>
      </c>
      <c r="O59" s="65">
        <v>15</v>
      </c>
      <c r="P59" s="65">
        <v>15</v>
      </c>
      <c r="Q59" s="65">
        <v>17</v>
      </c>
      <c r="R59" s="65">
        <v>17</v>
      </c>
      <c r="S59" s="65">
        <v>17</v>
      </c>
      <c r="T59" s="65">
        <v>17</v>
      </c>
      <c r="U59" s="65">
        <v>17</v>
      </c>
      <c r="V59" s="65">
        <v>17</v>
      </c>
      <c r="W59" s="65">
        <v>17</v>
      </c>
      <c r="X59" s="65">
        <v>17</v>
      </c>
      <c r="Y59" s="65">
        <v>17</v>
      </c>
      <c r="Z59" s="65">
        <v>17</v>
      </c>
      <c r="AA59" s="65">
        <v>17</v>
      </c>
      <c r="AB59" s="65">
        <v>17</v>
      </c>
      <c r="AC59" s="65">
        <v>17</v>
      </c>
      <c r="AD59" s="65">
        <v>17</v>
      </c>
      <c r="AE59" s="65">
        <v>17</v>
      </c>
      <c r="AF59" s="65">
        <v>17</v>
      </c>
      <c r="AG59" s="54">
        <v>24</v>
      </c>
      <c r="AH59" s="47">
        <f t="shared" si="2"/>
        <v>17</v>
      </c>
      <c r="AI59" s="48">
        <f t="shared" si="3"/>
        <v>15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13.6</v>
      </c>
      <c r="C61" s="65">
        <v>13.6</v>
      </c>
      <c r="D61" s="65">
        <v>13.6</v>
      </c>
      <c r="E61" s="65">
        <v>13.6</v>
      </c>
      <c r="F61" s="65">
        <v>13.6</v>
      </c>
      <c r="G61" s="65">
        <v>13.6</v>
      </c>
      <c r="H61" s="65">
        <v>13.6</v>
      </c>
      <c r="I61" s="65">
        <v>13.6</v>
      </c>
      <c r="J61" s="65">
        <v>13.6</v>
      </c>
      <c r="K61" s="65">
        <v>13.6</v>
      </c>
      <c r="L61" s="65">
        <v>13.6</v>
      </c>
      <c r="M61" s="65">
        <v>13.6</v>
      </c>
      <c r="N61" s="65">
        <v>13.6</v>
      </c>
      <c r="O61" s="65">
        <v>13.6</v>
      </c>
      <c r="P61" s="65">
        <v>12.6</v>
      </c>
      <c r="Q61" s="65">
        <v>12.4</v>
      </c>
      <c r="R61" s="65">
        <v>12.4</v>
      </c>
      <c r="S61" s="65">
        <v>12.4</v>
      </c>
      <c r="T61" s="65">
        <v>12.4</v>
      </c>
      <c r="U61" s="65">
        <v>12.4</v>
      </c>
      <c r="V61" s="65">
        <v>12.4</v>
      </c>
      <c r="W61" s="65">
        <v>12.4</v>
      </c>
      <c r="X61" s="65">
        <v>12.4</v>
      </c>
      <c r="Y61" s="65">
        <v>12.4</v>
      </c>
      <c r="Z61" s="65">
        <v>12.4</v>
      </c>
      <c r="AA61" s="65">
        <v>12.4</v>
      </c>
      <c r="AB61" s="65">
        <v>12.4</v>
      </c>
      <c r="AC61" s="65">
        <v>12.4</v>
      </c>
      <c r="AD61" s="65">
        <v>12.4</v>
      </c>
      <c r="AE61" s="65">
        <v>12.4</v>
      </c>
      <c r="AF61" s="65">
        <v>12.4</v>
      </c>
      <c r="AG61" s="54">
        <v>14.1</v>
      </c>
      <c r="AH61" s="47">
        <f t="shared" si="2"/>
        <v>13.6</v>
      </c>
      <c r="AI61" s="48">
        <f t="shared" si="3"/>
        <v>12.4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9.1</v>
      </c>
      <c r="C62" s="65">
        <v>9.1</v>
      </c>
      <c r="D62" s="65">
        <v>9.1</v>
      </c>
      <c r="E62" s="65">
        <v>9.1</v>
      </c>
      <c r="F62" s="65">
        <v>9.1</v>
      </c>
      <c r="G62" s="65">
        <v>9.1</v>
      </c>
      <c r="H62" s="65">
        <v>9.1</v>
      </c>
      <c r="I62" s="65">
        <v>9.1</v>
      </c>
      <c r="J62" s="65">
        <v>9.1</v>
      </c>
      <c r="K62" s="65">
        <v>9.1</v>
      </c>
      <c r="L62" s="65">
        <v>9.1</v>
      </c>
      <c r="M62" s="65">
        <v>9.1</v>
      </c>
      <c r="N62" s="65">
        <v>9.1</v>
      </c>
      <c r="O62" s="65">
        <v>9.1</v>
      </c>
      <c r="P62" s="65">
        <v>9.8000000000000007</v>
      </c>
      <c r="Q62" s="65">
        <v>10.3</v>
      </c>
      <c r="R62" s="65">
        <v>10.3</v>
      </c>
      <c r="S62" s="65">
        <v>10.3</v>
      </c>
      <c r="T62" s="65">
        <v>10.3</v>
      </c>
      <c r="U62" s="65">
        <v>10.3</v>
      </c>
      <c r="V62" s="65">
        <v>10.3</v>
      </c>
      <c r="W62" s="65">
        <v>10.3</v>
      </c>
      <c r="X62" s="65">
        <v>10.3</v>
      </c>
      <c r="Y62" s="65">
        <v>10.3</v>
      </c>
      <c r="Z62" s="65">
        <v>10.3</v>
      </c>
      <c r="AA62" s="65">
        <v>10.3</v>
      </c>
      <c r="AB62" s="65">
        <v>10.3</v>
      </c>
      <c r="AC62" s="65">
        <v>10.3</v>
      </c>
      <c r="AD62" s="65">
        <v>10.3</v>
      </c>
      <c r="AE62" s="65">
        <v>10.3</v>
      </c>
      <c r="AF62" s="65">
        <v>10.3</v>
      </c>
      <c r="AG62" s="54">
        <v>14</v>
      </c>
      <c r="AH62" s="47">
        <f t="shared" si="2"/>
        <v>10.3</v>
      </c>
      <c r="AI62" s="48">
        <f t="shared" si="3"/>
        <v>9.1</v>
      </c>
      <c r="AK62" s="49"/>
    </row>
    <row r="63" spans="1:41" x14ac:dyDescent="0.25">
      <c r="A63" s="53" t="s">
        <v>71</v>
      </c>
      <c r="B63" s="65">
        <v>4.0999999999999996</v>
      </c>
      <c r="C63" s="65">
        <v>4.0999999999999996</v>
      </c>
      <c r="D63" s="65">
        <v>4.0999999999999996</v>
      </c>
      <c r="E63" s="65">
        <v>4.0999999999999996</v>
      </c>
      <c r="F63" s="65">
        <v>4.0999999999999996</v>
      </c>
      <c r="G63" s="65">
        <v>4.0999999999999996</v>
      </c>
      <c r="H63" s="65">
        <v>4.0999999999999996</v>
      </c>
      <c r="I63" s="65">
        <v>4.0999999999999996</v>
      </c>
      <c r="J63" s="65">
        <v>4.0999999999999996</v>
      </c>
      <c r="K63" s="65">
        <v>4.0999999999999996</v>
      </c>
      <c r="L63" s="65">
        <v>4.0999999999999996</v>
      </c>
      <c r="M63" s="65">
        <v>4.0999999999999996</v>
      </c>
      <c r="N63" s="65">
        <v>4.0999999999999996</v>
      </c>
      <c r="O63" s="65">
        <v>4.0999999999999996</v>
      </c>
      <c r="P63" s="65">
        <v>4.0999999999999996</v>
      </c>
      <c r="Q63" s="65">
        <v>2.7</v>
      </c>
      <c r="R63" s="65">
        <v>2.7</v>
      </c>
      <c r="S63" s="65">
        <v>2.7</v>
      </c>
      <c r="T63" s="65">
        <v>2.7</v>
      </c>
      <c r="U63" s="65">
        <v>2.7</v>
      </c>
      <c r="V63" s="65">
        <v>2.7</v>
      </c>
      <c r="W63" s="65">
        <v>2.7</v>
      </c>
      <c r="X63" s="65">
        <v>2.7</v>
      </c>
      <c r="Y63" s="65">
        <v>2.7</v>
      </c>
      <c r="Z63" s="65">
        <v>2.7</v>
      </c>
      <c r="AA63" s="65">
        <v>2.7</v>
      </c>
      <c r="AB63" s="65">
        <v>2.7</v>
      </c>
      <c r="AC63" s="65">
        <v>2.7</v>
      </c>
      <c r="AD63" s="65">
        <v>2.7</v>
      </c>
      <c r="AE63" s="65">
        <v>2.7</v>
      </c>
      <c r="AF63" s="65">
        <v>2.7</v>
      </c>
      <c r="AG63" s="54">
        <v>10.050000000000001</v>
      </c>
      <c r="AH63" s="47">
        <f t="shared" si="2"/>
        <v>4.0999999999999996</v>
      </c>
      <c r="AI63" s="48">
        <f t="shared" si="3"/>
        <v>2.7</v>
      </c>
      <c r="AK63" s="49"/>
    </row>
    <row r="64" spans="1:41" x14ac:dyDescent="0.25">
      <c r="A64" s="53" t="s">
        <v>72</v>
      </c>
      <c r="B64" s="65">
        <v>2</v>
      </c>
      <c r="C64" s="65">
        <v>2</v>
      </c>
      <c r="D64" s="65">
        <v>2</v>
      </c>
      <c r="E64" s="65">
        <v>2</v>
      </c>
      <c r="F64" s="65">
        <v>2</v>
      </c>
      <c r="G64" s="65">
        <v>2</v>
      </c>
      <c r="H64" s="65">
        <v>2</v>
      </c>
      <c r="I64" s="65">
        <v>2</v>
      </c>
      <c r="J64" s="65">
        <v>2</v>
      </c>
      <c r="K64" s="65">
        <v>2</v>
      </c>
      <c r="L64" s="65">
        <v>2</v>
      </c>
      <c r="M64" s="65">
        <v>2</v>
      </c>
      <c r="N64" s="65">
        <v>2</v>
      </c>
      <c r="O64" s="65">
        <v>2</v>
      </c>
      <c r="P64" s="65">
        <v>2</v>
      </c>
      <c r="Q64" s="65">
        <v>2</v>
      </c>
      <c r="R64" s="65">
        <v>2</v>
      </c>
      <c r="S64" s="65">
        <v>2</v>
      </c>
      <c r="T64" s="65">
        <v>2</v>
      </c>
      <c r="U64" s="65">
        <v>2</v>
      </c>
      <c r="V64" s="65">
        <v>2</v>
      </c>
      <c r="W64" s="65">
        <v>2</v>
      </c>
      <c r="X64" s="65">
        <v>2</v>
      </c>
      <c r="Y64" s="65">
        <v>2</v>
      </c>
      <c r="Z64" s="65">
        <v>2</v>
      </c>
      <c r="AA64" s="65">
        <v>2</v>
      </c>
      <c r="AB64" s="65">
        <v>2</v>
      </c>
      <c r="AC64" s="65">
        <v>2</v>
      </c>
      <c r="AD64" s="65">
        <v>2</v>
      </c>
      <c r="AE64" s="65">
        <v>2</v>
      </c>
      <c r="AF64" s="65">
        <v>2</v>
      </c>
      <c r="AG64" s="54">
        <v>6.2</v>
      </c>
      <c r="AH64" s="47">
        <f t="shared" si="2"/>
        <v>2</v>
      </c>
      <c r="AI64" s="48">
        <f t="shared" si="3"/>
        <v>2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AG232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v>371.74000000000007</v>
      </c>
      <c r="C66" s="60">
        <f t="shared" ref="C66:AG66" si="6">SUM(C53:C65)</f>
        <v>346.84000000000009</v>
      </c>
      <c r="D66" s="60">
        <f t="shared" si="6"/>
        <v>346.84000000000009</v>
      </c>
      <c r="E66" s="60">
        <f t="shared" si="6"/>
        <v>183.33999999999997</v>
      </c>
      <c r="F66" s="60">
        <f t="shared" si="6"/>
        <v>240.53999999999996</v>
      </c>
      <c r="G66" s="60">
        <f t="shared" si="6"/>
        <v>191.73999999999998</v>
      </c>
      <c r="H66" s="60">
        <f t="shared" si="6"/>
        <v>227.03999999999996</v>
      </c>
      <c r="I66" s="60">
        <f t="shared" si="6"/>
        <v>276.54000000000008</v>
      </c>
      <c r="J66" s="60">
        <f t="shared" si="6"/>
        <v>298.1400000000001</v>
      </c>
      <c r="K66" s="60">
        <f t="shared" si="6"/>
        <v>314.34000000000009</v>
      </c>
      <c r="L66" s="60">
        <f t="shared" si="6"/>
        <v>363.94000000000011</v>
      </c>
      <c r="M66" s="60">
        <f t="shared" si="6"/>
        <v>406.94000000000011</v>
      </c>
      <c r="N66" s="60">
        <f t="shared" si="6"/>
        <v>405.54000000000008</v>
      </c>
      <c r="O66" s="60">
        <f t="shared" si="6"/>
        <v>419.1400000000001</v>
      </c>
      <c r="P66" s="60">
        <f t="shared" si="6"/>
        <v>404.6400000000001</v>
      </c>
      <c r="Q66" s="60">
        <f>SUM(Q53:Q65)</f>
        <v>415.74</v>
      </c>
      <c r="R66" s="60">
        <f t="shared" si="6"/>
        <v>392.44</v>
      </c>
      <c r="S66" s="60">
        <f t="shared" si="6"/>
        <v>417.53999999999996</v>
      </c>
      <c r="T66" s="60">
        <f t="shared" si="6"/>
        <v>423.64</v>
      </c>
      <c r="U66" s="60">
        <f t="shared" si="6"/>
        <v>393.64</v>
      </c>
      <c r="V66" s="60">
        <f t="shared" si="6"/>
        <v>378.64</v>
      </c>
      <c r="W66" s="60">
        <f t="shared" si="6"/>
        <v>348.64</v>
      </c>
      <c r="X66" s="60">
        <f t="shared" si="6"/>
        <v>305.64</v>
      </c>
      <c r="Y66" s="60">
        <f t="shared" si="6"/>
        <v>277.44</v>
      </c>
      <c r="Z66" s="60">
        <f t="shared" si="6"/>
        <v>329.54</v>
      </c>
      <c r="AA66" s="60">
        <v>389.34</v>
      </c>
      <c r="AB66" s="60">
        <f t="shared" si="6"/>
        <v>356.84000000000003</v>
      </c>
      <c r="AC66" s="60">
        <f t="shared" si="6"/>
        <v>391.94</v>
      </c>
      <c r="AD66" s="60">
        <f t="shared" si="6"/>
        <v>407.64</v>
      </c>
      <c r="AE66" s="60">
        <f t="shared" si="6"/>
        <v>351.64</v>
      </c>
      <c r="AF66" s="60">
        <f t="shared" si="6"/>
        <v>354.64</v>
      </c>
      <c r="AG66" s="61">
        <f t="shared" si="6"/>
        <v>489.91</v>
      </c>
      <c r="AH66" s="47">
        <f t="shared" si="2"/>
        <v>423.64</v>
      </c>
      <c r="AI66" s="48">
        <f t="shared" si="3"/>
        <v>183.33999999999997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20</v>
      </c>
      <c r="R67" s="45">
        <v>0</v>
      </c>
      <c r="S67" s="45">
        <v>0</v>
      </c>
      <c r="T67" s="45">
        <v>14</v>
      </c>
      <c r="U67" s="45">
        <v>10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20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13.7</v>
      </c>
      <c r="R68" s="45">
        <v>0</v>
      </c>
      <c r="S68" s="65">
        <v>0</v>
      </c>
      <c r="T68" s="65">
        <v>4.5999999999999996</v>
      </c>
      <c r="U68" s="65">
        <v>4.5999999999999996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13.7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0</v>
      </c>
      <c r="Q69" s="67">
        <v>5</v>
      </c>
      <c r="R69" s="45">
        <v>0</v>
      </c>
      <c r="S69" s="67">
        <v>0</v>
      </c>
      <c r="T69" s="67">
        <v>1.7</v>
      </c>
      <c r="U69" s="67">
        <v>1.7</v>
      </c>
      <c r="V69" s="67">
        <v>0</v>
      </c>
      <c r="W69" s="67">
        <v>0</v>
      </c>
      <c r="X69" s="67">
        <v>0</v>
      </c>
      <c r="Y69" s="67">
        <v>0</v>
      </c>
      <c r="Z69" s="67">
        <v>0</v>
      </c>
      <c r="AA69" s="67">
        <v>0</v>
      </c>
      <c r="AB69" s="67">
        <v>0</v>
      </c>
      <c r="AC69" s="67">
        <v>0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5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7">M67+M68+M69</f>
        <v>0</v>
      </c>
      <c r="N70" s="60">
        <f t="shared" si="7"/>
        <v>0</v>
      </c>
      <c r="O70" s="60">
        <f t="shared" si="7"/>
        <v>0</v>
      </c>
      <c r="P70" s="60">
        <f t="shared" si="7"/>
        <v>0</v>
      </c>
      <c r="Q70" s="60">
        <f>Q67+Q68+Q69</f>
        <v>38.700000000000003</v>
      </c>
      <c r="R70" s="60">
        <f t="shared" si="7"/>
        <v>0</v>
      </c>
      <c r="S70" s="60">
        <f t="shared" si="7"/>
        <v>0</v>
      </c>
      <c r="T70" s="60">
        <f t="shared" si="7"/>
        <v>20.3</v>
      </c>
      <c r="U70" s="60">
        <f t="shared" si="7"/>
        <v>16.3</v>
      </c>
      <c r="V70" s="60">
        <f t="shared" si="7"/>
        <v>0</v>
      </c>
      <c r="W70" s="60">
        <f t="shared" si="7"/>
        <v>0</v>
      </c>
      <c r="X70" s="60">
        <f t="shared" si="7"/>
        <v>0</v>
      </c>
      <c r="Y70" s="60">
        <f t="shared" si="7"/>
        <v>0</v>
      </c>
      <c r="Z70" s="60">
        <f t="shared" si="7"/>
        <v>0</v>
      </c>
      <c r="AA70" s="60">
        <v>0</v>
      </c>
      <c r="AB70" s="60">
        <f t="shared" si="7"/>
        <v>0</v>
      </c>
      <c r="AC70" s="60">
        <f t="shared" si="7"/>
        <v>0</v>
      </c>
      <c r="AD70" s="60">
        <f t="shared" si="7"/>
        <v>0</v>
      </c>
      <c r="AE70" s="60">
        <f t="shared" si="7"/>
        <v>0</v>
      </c>
      <c r="AF70" s="60">
        <f t="shared" si="7"/>
        <v>0</v>
      </c>
      <c r="AG70" s="61">
        <f>SUM(AG67:AG69)</f>
        <v>106</v>
      </c>
      <c r="AH70" s="47">
        <f t="shared" si="2"/>
        <v>38.700000000000003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50.4</v>
      </c>
      <c r="C71" s="45">
        <v>45.2</v>
      </c>
      <c r="D71" s="45">
        <v>45.2</v>
      </c>
      <c r="E71" s="45">
        <v>52</v>
      </c>
      <c r="F71" s="45">
        <v>53</v>
      </c>
      <c r="G71" s="45">
        <v>43.9</v>
      </c>
      <c r="H71" s="45">
        <v>47</v>
      </c>
      <c r="I71" s="45">
        <v>42</v>
      </c>
      <c r="J71" s="45">
        <v>36</v>
      </c>
      <c r="K71" s="45">
        <v>47</v>
      </c>
      <c r="L71" s="45">
        <v>46</v>
      </c>
      <c r="M71" s="45">
        <v>47.6</v>
      </c>
      <c r="N71" s="45">
        <v>49.7</v>
      </c>
      <c r="O71" s="45">
        <v>72.599999999999994</v>
      </c>
      <c r="P71" s="45">
        <v>70.5</v>
      </c>
      <c r="Q71" s="45">
        <v>65</v>
      </c>
      <c r="R71" s="45">
        <v>55.3</v>
      </c>
      <c r="S71" s="45">
        <v>57.1</v>
      </c>
      <c r="T71" s="45">
        <v>73.25</v>
      </c>
      <c r="U71" s="45">
        <v>73.25</v>
      </c>
      <c r="V71" s="45">
        <v>61</v>
      </c>
      <c r="W71" s="45">
        <v>61</v>
      </c>
      <c r="X71" s="45">
        <v>61</v>
      </c>
      <c r="Y71" s="45">
        <v>40.299999999999997</v>
      </c>
      <c r="Z71" s="45">
        <v>40</v>
      </c>
      <c r="AA71" s="45">
        <v>40</v>
      </c>
      <c r="AB71" s="45">
        <v>40</v>
      </c>
      <c r="AC71" s="45">
        <v>42.7</v>
      </c>
      <c r="AD71" s="45">
        <v>34</v>
      </c>
      <c r="AE71" s="45">
        <v>71</v>
      </c>
      <c r="AF71" s="45">
        <v>66</v>
      </c>
      <c r="AG71" s="51"/>
      <c r="AH71" s="47">
        <f t="shared" si="2"/>
        <v>73.25</v>
      </c>
      <c r="AI71" s="48">
        <f t="shared" si="3"/>
        <v>34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150</v>
      </c>
      <c r="C73" s="65">
        <v>66</v>
      </c>
      <c r="D73" s="65">
        <v>112.4</v>
      </c>
      <c r="E73" s="65">
        <v>100</v>
      </c>
      <c r="F73" s="65">
        <v>120</v>
      </c>
      <c r="G73" s="65">
        <v>150</v>
      </c>
      <c r="H73" s="65">
        <v>139</v>
      </c>
      <c r="I73" s="65">
        <v>211</v>
      </c>
      <c r="J73" s="65">
        <v>216</v>
      </c>
      <c r="K73" s="65">
        <v>218</v>
      </c>
      <c r="L73" s="65">
        <v>219</v>
      </c>
      <c r="M73" s="65">
        <v>234.1</v>
      </c>
      <c r="N73" s="65">
        <v>234.7</v>
      </c>
      <c r="O73" s="65">
        <v>235</v>
      </c>
      <c r="P73" s="65">
        <v>232.8</v>
      </c>
      <c r="Q73" s="65">
        <v>234</v>
      </c>
      <c r="R73" s="65">
        <v>216.3</v>
      </c>
      <c r="S73" s="65">
        <v>259</v>
      </c>
      <c r="T73" s="65">
        <v>235</v>
      </c>
      <c r="U73" s="65">
        <v>300</v>
      </c>
      <c r="V73" s="65">
        <v>259</v>
      </c>
      <c r="W73" s="65">
        <v>305</v>
      </c>
      <c r="X73" s="65">
        <v>235</v>
      </c>
      <c r="Y73" s="65">
        <v>235</v>
      </c>
      <c r="Z73" s="65">
        <v>248</v>
      </c>
      <c r="AA73" s="65">
        <v>264</v>
      </c>
      <c r="AB73" s="65">
        <v>179</v>
      </c>
      <c r="AC73" s="65">
        <v>155</v>
      </c>
      <c r="AD73" s="65">
        <v>5.8</v>
      </c>
      <c r="AE73" s="65">
        <v>10.7</v>
      </c>
      <c r="AF73" s="65">
        <v>28</v>
      </c>
      <c r="AG73" s="75"/>
      <c r="AH73" s="47">
        <f t="shared" si="2"/>
        <v>305</v>
      </c>
      <c r="AI73" s="48">
        <f t="shared" si="3"/>
        <v>5.8</v>
      </c>
      <c r="AK73" s="49"/>
    </row>
    <row r="74" spans="1:40" x14ac:dyDescent="0.25">
      <c r="A74" s="53" t="s">
        <v>82</v>
      </c>
      <c r="B74" s="65">
        <v>10</v>
      </c>
      <c r="C74" s="65">
        <v>10</v>
      </c>
      <c r="D74" s="65">
        <v>10</v>
      </c>
      <c r="E74" s="65">
        <v>10</v>
      </c>
      <c r="F74" s="65">
        <v>10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8</v>
      </c>
      <c r="V74" s="76">
        <v>8</v>
      </c>
      <c r="W74" s="76">
        <v>8</v>
      </c>
      <c r="X74" s="76">
        <v>8</v>
      </c>
      <c r="Y74" s="76">
        <v>8</v>
      </c>
      <c r="Z74" s="76">
        <v>8</v>
      </c>
      <c r="AA74" s="65">
        <v>10</v>
      </c>
      <c r="AB74" s="65">
        <v>10</v>
      </c>
      <c r="AC74" s="65">
        <v>0</v>
      </c>
      <c r="AD74" s="65">
        <v>0</v>
      </c>
      <c r="AE74" s="65">
        <v>0</v>
      </c>
      <c r="AF74" s="65">
        <v>0</v>
      </c>
      <c r="AG74" s="75"/>
      <c r="AH74" s="47">
        <f t="shared" si="2"/>
        <v>10</v>
      </c>
      <c r="AI74" s="48">
        <f t="shared" si="3"/>
        <v>0</v>
      </c>
      <c r="AK74" s="49"/>
    </row>
    <row r="75" spans="1:40" x14ac:dyDescent="0.25">
      <c r="A75" s="53" t="s">
        <v>83</v>
      </c>
      <c r="B75" s="45">
        <v>29.5</v>
      </c>
      <c r="C75" s="45">
        <v>29.5</v>
      </c>
      <c r="D75" s="45">
        <v>29.5</v>
      </c>
      <c r="E75" s="45">
        <v>29.5</v>
      </c>
      <c r="F75" s="45">
        <v>29.5</v>
      </c>
      <c r="G75" s="45">
        <v>30.8</v>
      </c>
      <c r="H75" s="45">
        <v>31.8</v>
      </c>
      <c r="I75" s="45">
        <v>26.6</v>
      </c>
      <c r="J75" s="45">
        <v>22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>
        <v>0</v>
      </c>
      <c r="T75" s="45">
        <v>0</v>
      </c>
      <c r="U75" s="45">
        <v>23</v>
      </c>
      <c r="V75" s="45">
        <v>32.700000000000003</v>
      </c>
      <c r="W75" s="45">
        <v>32.700000000000003</v>
      </c>
      <c r="X75" s="45">
        <v>32.700000000000003</v>
      </c>
      <c r="Y75" s="45">
        <v>27.9</v>
      </c>
      <c r="Z75" s="45">
        <v>27.9</v>
      </c>
      <c r="AA75" s="45">
        <v>27.9</v>
      </c>
      <c r="AB75" s="45">
        <v>27</v>
      </c>
      <c r="AC75" s="45">
        <v>27.2</v>
      </c>
      <c r="AD75" s="45">
        <v>27.2</v>
      </c>
      <c r="AE75" s="45">
        <v>27.8</v>
      </c>
      <c r="AF75" s="45">
        <v>30</v>
      </c>
      <c r="AG75" s="75"/>
      <c r="AH75" s="47">
        <f t="shared" ref="AH75:AH117" si="8">MAX(B75:AF75)</f>
        <v>32.700000000000003</v>
      </c>
      <c r="AI75" s="48">
        <f t="shared" ref="AI75:AI117" si="9">MIN(B75:AF75)</f>
        <v>0</v>
      </c>
      <c r="AK75" s="49"/>
    </row>
    <row r="76" spans="1:40" x14ac:dyDescent="0.25">
      <c r="A76" s="53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5</v>
      </c>
      <c r="Q76" s="77">
        <v>5</v>
      </c>
      <c r="R76" s="77">
        <v>5</v>
      </c>
      <c r="S76" s="77">
        <v>5</v>
      </c>
      <c r="T76" s="77">
        <v>5</v>
      </c>
      <c r="U76" s="77">
        <v>5</v>
      </c>
      <c r="V76" s="77">
        <v>5</v>
      </c>
      <c r="W76" s="77">
        <v>5</v>
      </c>
      <c r="X76" s="77">
        <v>5</v>
      </c>
      <c r="Y76" s="77">
        <v>5</v>
      </c>
      <c r="Z76" s="77">
        <v>5</v>
      </c>
      <c r="AA76" s="77">
        <v>5</v>
      </c>
      <c r="AB76" s="77">
        <v>5</v>
      </c>
      <c r="AC76" s="77">
        <v>5</v>
      </c>
      <c r="AD76" s="77">
        <v>5</v>
      </c>
      <c r="AE76" s="77">
        <v>5</v>
      </c>
      <c r="AF76" s="77">
        <v>5</v>
      </c>
      <c r="AG76" s="75"/>
      <c r="AH76" s="47">
        <f t="shared" si="8"/>
        <v>5</v>
      </c>
      <c r="AI76" s="48">
        <f t="shared" si="9"/>
        <v>0</v>
      </c>
      <c r="AK76" s="49"/>
    </row>
    <row r="77" spans="1:40" ht="15.75" thickBot="1" x14ac:dyDescent="0.3">
      <c r="A77" s="53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8"/>
        <v>0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8"/>
        <v>0</v>
      </c>
      <c r="AI78" s="48">
        <f t="shared" si="9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8"/>
        <v>0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v>394.5</v>
      </c>
      <c r="C82" s="60">
        <f t="shared" ref="C82:AF82" si="10">SUMIF(C71:C81,"&gt;0")</f>
        <v>150.69999999999999</v>
      </c>
      <c r="D82" s="60">
        <f t="shared" si="10"/>
        <v>197.10000000000002</v>
      </c>
      <c r="E82" s="60">
        <f t="shared" si="10"/>
        <v>191.5</v>
      </c>
      <c r="F82" s="60">
        <f t="shared" si="10"/>
        <v>212.5</v>
      </c>
      <c r="G82" s="60">
        <f t="shared" si="10"/>
        <v>224.70000000000002</v>
      </c>
      <c r="H82" s="60">
        <f t="shared" si="10"/>
        <v>217.8</v>
      </c>
      <c r="I82" s="60">
        <f t="shared" si="10"/>
        <v>279.60000000000002</v>
      </c>
      <c r="J82" s="60">
        <f t="shared" si="10"/>
        <v>274</v>
      </c>
      <c r="K82" s="60">
        <f t="shared" si="10"/>
        <v>265</v>
      </c>
      <c r="L82" s="60">
        <f t="shared" si="10"/>
        <v>265</v>
      </c>
      <c r="M82" s="60">
        <f t="shared" si="10"/>
        <v>281.7</v>
      </c>
      <c r="N82" s="60">
        <f t="shared" si="10"/>
        <v>284.39999999999998</v>
      </c>
      <c r="O82" s="60">
        <f t="shared" si="10"/>
        <v>307.60000000000002</v>
      </c>
      <c r="P82" s="60">
        <f t="shared" si="10"/>
        <v>308.3</v>
      </c>
      <c r="Q82" s="60">
        <f t="shared" si="10"/>
        <v>304</v>
      </c>
      <c r="R82" s="60">
        <f t="shared" si="10"/>
        <v>276.60000000000002</v>
      </c>
      <c r="S82" s="60">
        <f t="shared" si="10"/>
        <v>321.10000000000002</v>
      </c>
      <c r="T82" s="60">
        <f t="shared" si="10"/>
        <v>313.25</v>
      </c>
      <c r="U82" s="60">
        <f t="shared" si="10"/>
        <v>409.25</v>
      </c>
      <c r="V82" s="60">
        <f t="shared" si="10"/>
        <v>365.7</v>
      </c>
      <c r="W82" s="60">
        <f t="shared" si="10"/>
        <v>411.7</v>
      </c>
      <c r="X82" s="60">
        <f t="shared" si="10"/>
        <v>341.7</v>
      </c>
      <c r="Y82" s="60">
        <f t="shared" si="10"/>
        <v>316.2</v>
      </c>
      <c r="Z82" s="60">
        <f t="shared" si="10"/>
        <v>328.9</v>
      </c>
      <c r="AA82" s="60">
        <v>346.9</v>
      </c>
      <c r="AB82" s="60">
        <f t="shared" si="10"/>
        <v>261</v>
      </c>
      <c r="AC82" s="60">
        <f t="shared" si="10"/>
        <v>229.89999999999998</v>
      </c>
      <c r="AD82" s="60">
        <f t="shared" si="10"/>
        <v>72</v>
      </c>
      <c r="AE82" s="60">
        <f t="shared" si="10"/>
        <v>114.5</v>
      </c>
      <c r="AF82" s="60">
        <f t="shared" si="10"/>
        <v>129</v>
      </c>
      <c r="AG82" s="88">
        <f>SUM(AG71:AG81)</f>
        <v>0</v>
      </c>
      <c r="AH82" s="47">
        <f t="shared" si="8"/>
        <v>411.7</v>
      </c>
      <c r="AI82" s="48">
        <f t="shared" si="9"/>
        <v>72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>
        <v>0</v>
      </c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v>1586.34</v>
      </c>
      <c r="C87" s="95">
        <f t="shared" ref="C87:AG87" si="11">C48+C52+C70+C66+C82+C86</f>
        <v>1307.6400000000001</v>
      </c>
      <c r="D87" s="95">
        <f t="shared" si="11"/>
        <v>1354.04</v>
      </c>
      <c r="E87" s="95">
        <f t="shared" si="11"/>
        <v>1181.9399999999998</v>
      </c>
      <c r="F87" s="95">
        <f t="shared" si="11"/>
        <v>1293.1399999999999</v>
      </c>
      <c r="G87" s="95">
        <f t="shared" si="11"/>
        <v>1273.1400000000001</v>
      </c>
      <c r="H87" s="95">
        <f t="shared" si="11"/>
        <v>1304.08</v>
      </c>
      <c r="I87" s="95">
        <f t="shared" si="11"/>
        <v>1418.94</v>
      </c>
      <c r="J87" s="95">
        <f t="shared" si="11"/>
        <v>1305.94</v>
      </c>
      <c r="K87" s="95">
        <f t="shared" si="11"/>
        <v>1304.1400000000001</v>
      </c>
      <c r="L87" s="95">
        <f t="shared" si="11"/>
        <v>1400.74</v>
      </c>
      <c r="M87" s="95">
        <f t="shared" si="11"/>
        <v>1374.44</v>
      </c>
      <c r="N87" s="95">
        <f t="shared" si="11"/>
        <v>1359.94</v>
      </c>
      <c r="O87" s="95">
        <f t="shared" si="11"/>
        <v>1386.3400000000001</v>
      </c>
      <c r="P87" s="95">
        <f t="shared" si="11"/>
        <v>1381.5400000000002</v>
      </c>
      <c r="Q87" s="95">
        <f t="shared" si="11"/>
        <v>1342.3400000000001</v>
      </c>
      <c r="R87" s="95">
        <f t="shared" si="11"/>
        <v>1292.3400000000001</v>
      </c>
      <c r="S87" s="95">
        <f t="shared" si="11"/>
        <v>1361.94</v>
      </c>
      <c r="T87" s="95">
        <f t="shared" si="11"/>
        <v>1410.49</v>
      </c>
      <c r="U87" s="95">
        <f t="shared" si="11"/>
        <v>1442.49</v>
      </c>
      <c r="V87" s="95">
        <f t="shared" si="11"/>
        <v>1367.64</v>
      </c>
      <c r="W87" s="95">
        <f t="shared" si="11"/>
        <v>1383.64</v>
      </c>
      <c r="X87" s="95">
        <f t="shared" si="11"/>
        <v>1270.6400000000001</v>
      </c>
      <c r="Y87" s="95">
        <f t="shared" si="11"/>
        <v>1276.94</v>
      </c>
      <c r="Z87" s="95">
        <f t="shared" si="11"/>
        <v>1341.7400000000002</v>
      </c>
      <c r="AA87" s="95">
        <v>1425.8400000000001</v>
      </c>
      <c r="AB87" s="95">
        <f t="shared" si="11"/>
        <v>1397.34</v>
      </c>
      <c r="AC87" s="95">
        <f t="shared" si="11"/>
        <v>1391.3399999999997</v>
      </c>
      <c r="AD87" s="95">
        <f t="shared" si="11"/>
        <v>1349.1399999999999</v>
      </c>
      <c r="AE87" s="95">
        <f t="shared" si="11"/>
        <v>1335.6399999999999</v>
      </c>
      <c r="AF87" s="95">
        <f t="shared" si="11"/>
        <v>1337.1399999999999</v>
      </c>
      <c r="AG87" s="61">
        <f t="shared" si="11"/>
        <v>2065.09</v>
      </c>
      <c r="AH87" s="47">
        <f>MAX(B87:AF87)</f>
        <v>1586.34</v>
      </c>
      <c r="AI87" s="48">
        <f>MIN(B87:AF87)</f>
        <v>1181.9399999999998</v>
      </c>
    </row>
    <row r="88" spans="1:40" ht="15.75" thickBot="1" x14ac:dyDescent="0.3">
      <c r="A88" s="96" t="s">
        <v>99</v>
      </c>
      <c r="B88" s="97">
        <v>150</v>
      </c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>
        <v>120</v>
      </c>
      <c r="Y88" s="97">
        <v>150</v>
      </c>
      <c r="Z88" s="97">
        <v>150</v>
      </c>
      <c r="AA88" s="97">
        <v>150</v>
      </c>
      <c r="AB88" s="97">
        <v>100</v>
      </c>
      <c r="AC88" s="97">
        <v>100</v>
      </c>
      <c r="AD88" s="97"/>
      <c r="AE88" s="97"/>
      <c r="AF88" s="97"/>
      <c r="AG88" s="88"/>
      <c r="AH88" s="47">
        <f t="shared" si="8"/>
        <v>150</v>
      </c>
      <c r="AI88" s="48">
        <f t="shared" si="9"/>
        <v>100</v>
      </c>
    </row>
    <row r="89" spans="1:40" ht="15.75" thickBot="1" x14ac:dyDescent="0.3">
      <c r="A89" s="74" t="s">
        <v>100</v>
      </c>
      <c r="B89" s="95">
        <v>1586.34</v>
      </c>
      <c r="C89" s="95">
        <f t="shared" ref="C89:AF89" si="12">C87+C88</f>
        <v>1307.6400000000001</v>
      </c>
      <c r="D89" s="95">
        <f t="shared" si="12"/>
        <v>1354.04</v>
      </c>
      <c r="E89" s="95">
        <f t="shared" si="12"/>
        <v>1181.9399999999998</v>
      </c>
      <c r="F89" s="95">
        <f t="shared" si="12"/>
        <v>1293.1399999999999</v>
      </c>
      <c r="G89" s="95">
        <f t="shared" si="12"/>
        <v>1273.1400000000001</v>
      </c>
      <c r="H89" s="95">
        <f t="shared" si="12"/>
        <v>1304.08</v>
      </c>
      <c r="I89" s="95">
        <f t="shared" si="12"/>
        <v>1418.94</v>
      </c>
      <c r="J89" s="95">
        <f t="shared" si="12"/>
        <v>1305.94</v>
      </c>
      <c r="K89" s="95">
        <f t="shared" si="12"/>
        <v>1304.1400000000001</v>
      </c>
      <c r="L89" s="95">
        <f t="shared" si="12"/>
        <v>1400.74</v>
      </c>
      <c r="M89" s="95">
        <f t="shared" si="12"/>
        <v>1374.44</v>
      </c>
      <c r="N89" s="95">
        <f t="shared" si="12"/>
        <v>1359.94</v>
      </c>
      <c r="O89" s="95">
        <f t="shared" si="12"/>
        <v>1386.3400000000001</v>
      </c>
      <c r="P89" s="95">
        <f t="shared" si="12"/>
        <v>1381.5400000000002</v>
      </c>
      <c r="Q89" s="95">
        <f t="shared" si="12"/>
        <v>1342.3400000000001</v>
      </c>
      <c r="R89" s="95">
        <f t="shared" si="12"/>
        <v>1292.3400000000001</v>
      </c>
      <c r="S89" s="95">
        <f t="shared" si="12"/>
        <v>1361.94</v>
      </c>
      <c r="T89" s="95">
        <f t="shared" si="12"/>
        <v>1410.49</v>
      </c>
      <c r="U89" s="95">
        <f t="shared" si="12"/>
        <v>1442.49</v>
      </c>
      <c r="V89" s="95">
        <f t="shared" si="12"/>
        <v>1367.64</v>
      </c>
      <c r="W89" s="95">
        <f t="shared" si="12"/>
        <v>1383.64</v>
      </c>
      <c r="X89" s="95">
        <f t="shared" si="12"/>
        <v>1390.64</v>
      </c>
      <c r="Y89" s="95">
        <f t="shared" si="12"/>
        <v>1426.94</v>
      </c>
      <c r="Z89" s="95">
        <f t="shared" si="12"/>
        <v>1491.7400000000002</v>
      </c>
      <c r="AA89" s="95">
        <v>1575.8400000000001</v>
      </c>
      <c r="AB89" s="95">
        <f t="shared" si="12"/>
        <v>1497.34</v>
      </c>
      <c r="AC89" s="95">
        <f t="shared" si="12"/>
        <v>1491.3399999999997</v>
      </c>
      <c r="AD89" s="95">
        <f t="shared" si="12"/>
        <v>1349.1399999999999</v>
      </c>
      <c r="AE89" s="95">
        <f t="shared" si="12"/>
        <v>1335.6399999999999</v>
      </c>
      <c r="AF89" s="95">
        <f t="shared" si="12"/>
        <v>1337.1399999999999</v>
      </c>
      <c r="AG89" s="88">
        <f>AG86+AG82+AG70+AG66+AG48+AG88</f>
        <v>1526.99</v>
      </c>
      <c r="AH89" s="47">
        <f t="shared" si="8"/>
        <v>1586.34</v>
      </c>
      <c r="AI89" s="48">
        <f t="shared" si="9"/>
        <v>1181.9399999999998</v>
      </c>
    </row>
    <row r="90" spans="1:40" ht="15.75" thickBot="1" x14ac:dyDescent="0.3">
      <c r="A90" s="74" t="s">
        <v>101</v>
      </c>
      <c r="B90" s="95">
        <v>1586.34</v>
      </c>
      <c r="C90" s="95">
        <f t="shared" ref="C90:AF90" si="13">C89-C97</f>
        <v>1307.6400000000001</v>
      </c>
      <c r="D90" s="95">
        <f t="shared" si="13"/>
        <v>1354.04</v>
      </c>
      <c r="E90" s="95">
        <f t="shared" si="13"/>
        <v>1181.9399999999998</v>
      </c>
      <c r="F90" s="95">
        <f t="shared" si="13"/>
        <v>1293.1399999999999</v>
      </c>
      <c r="G90" s="95">
        <f t="shared" si="13"/>
        <v>1273.1400000000001</v>
      </c>
      <c r="H90" s="95">
        <f t="shared" si="13"/>
        <v>1304.08</v>
      </c>
      <c r="I90" s="95">
        <f t="shared" si="13"/>
        <v>1418.94</v>
      </c>
      <c r="J90" s="95">
        <f t="shared" si="13"/>
        <v>1305.94</v>
      </c>
      <c r="K90" s="95">
        <f t="shared" si="13"/>
        <v>1304.1400000000001</v>
      </c>
      <c r="L90" s="95">
        <f t="shared" si="13"/>
        <v>1400.74</v>
      </c>
      <c r="M90" s="95">
        <f t="shared" si="13"/>
        <v>1374.44</v>
      </c>
      <c r="N90" s="95">
        <f t="shared" si="13"/>
        <v>1359.94</v>
      </c>
      <c r="O90" s="95">
        <f t="shared" si="13"/>
        <v>1386.3400000000001</v>
      </c>
      <c r="P90" s="95">
        <f t="shared" si="13"/>
        <v>1381.5400000000002</v>
      </c>
      <c r="Q90" s="95">
        <f t="shared" si="13"/>
        <v>1342.3400000000001</v>
      </c>
      <c r="R90" s="95">
        <f t="shared" si="13"/>
        <v>1292.3400000000001</v>
      </c>
      <c r="S90" s="95">
        <f t="shared" si="13"/>
        <v>1361.94</v>
      </c>
      <c r="T90" s="95">
        <f t="shared" si="13"/>
        <v>1410.49</v>
      </c>
      <c r="U90" s="95">
        <f t="shared" si="13"/>
        <v>1442.49</v>
      </c>
      <c r="V90" s="95">
        <f t="shared" si="13"/>
        <v>1367.64</v>
      </c>
      <c r="W90" s="95">
        <f t="shared" si="13"/>
        <v>1383.64</v>
      </c>
      <c r="X90" s="95">
        <f t="shared" si="13"/>
        <v>1390.64</v>
      </c>
      <c r="Y90" s="95">
        <f t="shared" si="13"/>
        <v>1426.94</v>
      </c>
      <c r="Z90" s="95">
        <f t="shared" si="13"/>
        <v>1491.7400000000002</v>
      </c>
      <c r="AA90" s="95">
        <v>1575.8400000000001</v>
      </c>
      <c r="AB90" s="95">
        <f t="shared" si="13"/>
        <v>1497.34</v>
      </c>
      <c r="AC90" s="95">
        <f t="shared" si="13"/>
        <v>1491.3399999999997</v>
      </c>
      <c r="AD90" s="95">
        <f t="shared" si="13"/>
        <v>1349.1399999999999</v>
      </c>
      <c r="AE90" s="95">
        <f t="shared" si="13"/>
        <v>1335.6399999999999</v>
      </c>
      <c r="AF90" s="95">
        <f t="shared" si="13"/>
        <v>1337.1399999999999</v>
      </c>
      <c r="AG90" s="88"/>
      <c r="AH90" s="47">
        <f t="shared" si="8"/>
        <v>1586.34</v>
      </c>
      <c r="AI90" s="48">
        <f t="shared" si="9"/>
        <v>1181.9399999999998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>
        <v>0</v>
      </c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v>394.5</v>
      </c>
      <c r="C98" s="60">
        <f t="shared" ref="C98:AF98" si="14">C82-C97</f>
        <v>150.69999999999999</v>
      </c>
      <c r="D98" s="60">
        <f t="shared" si="14"/>
        <v>197.10000000000002</v>
      </c>
      <c r="E98" s="60">
        <f t="shared" si="14"/>
        <v>191.5</v>
      </c>
      <c r="F98" s="60">
        <f t="shared" si="14"/>
        <v>212.5</v>
      </c>
      <c r="G98" s="60">
        <f t="shared" si="14"/>
        <v>224.70000000000002</v>
      </c>
      <c r="H98" s="60">
        <f t="shared" si="14"/>
        <v>217.8</v>
      </c>
      <c r="I98" s="60">
        <f t="shared" si="14"/>
        <v>279.60000000000002</v>
      </c>
      <c r="J98" s="60">
        <f t="shared" si="14"/>
        <v>274</v>
      </c>
      <c r="K98" s="60">
        <f t="shared" si="14"/>
        <v>265</v>
      </c>
      <c r="L98" s="60">
        <f t="shared" si="14"/>
        <v>265</v>
      </c>
      <c r="M98" s="60">
        <f t="shared" si="14"/>
        <v>281.7</v>
      </c>
      <c r="N98" s="60">
        <f t="shared" si="14"/>
        <v>284.39999999999998</v>
      </c>
      <c r="O98" s="60">
        <f t="shared" si="14"/>
        <v>307.60000000000002</v>
      </c>
      <c r="P98" s="60">
        <f t="shared" si="14"/>
        <v>308.3</v>
      </c>
      <c r="Q98" s="60">
        <f t="shared" si="14"/>
        <v>304</v>
      </c>
      <c r="R98" s="60">
        <f t="shared" si="14"/>
        <v>276.60000000000002</v>
      </c>
      <c r="S98" s="60">
        <f t="shared" si="14"/>
        <v>321.10000000000002</v>
      </c>
      <c r="T98" s="60">
        <f t="shared" si="14"/>
        <v>313.25</v>
      </c>
      <c r="U98" s="60">
        <f t="shared" si="14"/>
        <v>409.25</v>
      </c>
      <c r="V98" s="60">
        <f t="shared" si="14"/>
        <v>365.7</v>
      </c>
      <c r="W98" s="60">
        <f t="shared" si="14"/>
        <v>411.7</v>
      </c>
      <c r="X98" s="60">
        <f t="shared" si="14"/>
        <v>341.7</v>
      </c>
      <c r="Y98" s="60">
        <f t="shared" si="14"/>
        <v>316.2</v>
      </c>
      <c r="Z98" s="60">
        <f t="shared" si="14"/>
        <v>328.9</v>
      </c>
      <c r="AA98" s="60">
        <v>346.9</v>
      </c>
      <c r="AB98" s="60">
        <f t="shared" si="14"/>
        <v>261</v>
      </c>
      <c r="AC98" s="60">
        <f t="shared" si="14"/>
        <v>229.89999999999998</v>
      </c>
      <c r="AD98" s="60">
        <f t="shared" si="14"/>
        <v>72</v>
      </c>
      <c r="AE98" s="60">
        <f t="shared" si="14"/>
        <v>114.5</v>
      </c>
      <c r="AF98" s="60">
        <f t="shared" si="14"/>
        <v>129</v>
      </c>
      <c r="AG98" s="88"/>
      <c r="AH98" s="47">
        <f t="shared" si="8"/>
        <v>411.7</v>
      </c>
      <c r="AI98" s="48">
        <f t="shared" si="9"/>
        <v>72</v>
      </c>
    </row>
    <row r="99" spans="1:37" x14ac:dyDescent="0.25">
      <c r="A99" s="100" t="s">
        <v>107</v>
      </c>
      <c r="B99" s="101">
        <v>49.875</v>
      </c>
      <c r="C99" s="101">
        <v>50.064999999999998</v>
      </c>
      <c r="D99" s="101">
        <v>50.048000000000002</v>
      </c>
      <c r="E99" s="101">
        <v>50.01</v>
      </c>
      <c r="F99" s="101">
        <v>50.02</v>
      </c>
      <c r="G99" s="101">
        <v>50</v>
      </c>
      <c r="H99" s="101">
        <v>50.048999999999999</v>
      </c>
      <c r="I99" s="101">
        <v>50.1</v>
      </c>
      <c r="J99" s="101">
        <v>50</v>
      </c>
      <c r="K99" s="101">
        <v>50.41</v>
      </c>
      <c r="L99" s="101">
        <v>50.048999999999999</v>
      </c>
      <c r="M99" s="101">
        <v>50.167999999999999</v>
      </c>
      <c r="N99" s="101">
        <v>50.018999999999998</v>
      </c>
      <c r="O99" s="101">
        <v>49.905999999999999</v>
      </c>
      <c r="P99" s="101">
        <v>50.008000000000003</v>
      </c>
      <c r="Q99" s="101">
        <v>50.02</v>
      </c>
      <c r="R99" s="101">
        <v>49.98</v>
      </c>
      <c r="S99" s="101">
        <v>49.927999999999997</v>
      </c>
      <c r="T99" s="101">
        <v>49.94</v>
      </c>
      <c r="U99" s="101">
        <v>50.06</v>
      </c>
      <c r="V99" s="101">
        <v>50.1</v>
      </c>
      <c r="W99" s="101">
        <v>50.2</v>
      </c>
      <c r="X99" s="101">
        <v>50.1</v>
      </c>
      <c r="Y99" s="101">
        <v>49.97</v>
      </c>
      <c r="Z99" s="101">
        <v>50.12</v>
      </c>
      <c r="AA99" s="101">
        <v>50.05</v>
      </c>
      <c r="AB99" s="101">
        <v>49.98</v>
      </c>
      <c r="AC99" s="101">
        <v>50.037999999999997</v>
      </c>
      <c r="AD99" s="101">
        <v>49.978000000000002</v>
      </c>
      <c r="AE99" s="101">
        <v>50.03</v>
      </c>
      <c r="AF99" s="101">
        <v>50.005000000000003</v>
      </c>
      <c r="AG99" s="102"/>
      <c r="AH99" s="47">
        <f t="shared" si="8"/>
        <v>50.41</v>
      </c>
      <c r="AI99" s="48">
        <f t="shared" si="9"/>
        <v>49.875</v>
      </c>
    </row>
    <row r="100" spans="1:37" x14ac:dyDescent="0.25">
      <c r="A100" s="103" t="s">
        <v>108</v>
      </c>
      <c r="B100" s="65">
        <v>128.69999999999999</v>
      </c>
      <c r="C100" s="65">
        <v>126.5</v>
      </c>
      <c r="D100" s="65">
        <v>126.5</v>
      </c>
      <c r="E100" s="65">
        <v>126.5</v>
      </c>
      <c r="F100" s="65">
        <v>126.5</v>
      </c>
      <c r="G100" s="65">
        <v>123.3</v>
      </c>
      <c r="H100" s="65">
        <v>125.9</v>
      </c>
      <c r="I100" s="65">
        <v>124</v>
      </c>
      <c r="J100" s="65">
        <v>125.6</v>
      </c>
      <c r="K100" s="65">
        <v>125.6</v>
      </c>
      <c r="L100" s="65">
        <v>124</v>
      </c>
      <c r="M100" s="65">
        <v>124</v>
      </c>
      <c r="N100" s="65">
        <v>125.1</v>
      </c>
      <c r="O100" s="65">
        <v>124.8</v>
      </c>
      <c r="P100" s="65">
        <v>123.5</v>
      </c>
      <c r="Q100" s="65">
        <v>123.7</v>
      </c>
      <c r="R100" s="65">
        <v>123.7</v>
      </c>
      <c r="S100" s="65">
        <v>122.9</v>
      </c>
      <c r="T100" s="65">
        <v>122.2</v>
      </c>
      <c r="U100" s="65">
        <v>124</v>
      </c>
      <c r="V100" s="65">
        <v>125</v>
      </c>
      <c r="W100" s="65">
        <v>125</v>
      </c>
      <c r="X100" s="65">
        <v>125</v>
      </c>
      <c r="Y100" s="65">
        <v>125.9</v>
      </c>
      <c r="Z100" s="65">
        <v>126.7</v>
      </c>
      <c r="AA100" s="65">
        <v>125.7</v>
      </c>
      <c r="AB100" s="65">
        <v>125.8</v>
      </c>
      <c r="AC100" s="65" t="s">
        <v>264</v>
      </c>
      <c r="AD100" s="65">
        <v>125.7</v>
      </c>
      <c r="AE100" s="65">
        <v>126.5</v>
      </c>
      <c r="AF100" s="65">
        <v>125.3</v>
      </c>
      <c r="AG100" s="104"/>
      <c r="AH100" s="47">
        <f t="shared" si="8"/>
        <v>128.69999999999999</v>
      </c>
      <c r="AI100" s="48">
        <f t="shared" si="9"/>
        <v>122.2</v>
      </c>
    </row>
    <row r="101" spans="1:37" x14ac:dyDescent="0.25">
      <c r="A101" s="103" t="s">
        <v>109</v>
      </c>
      <c r="B101" s="65">
        <v>128.69999999999999</v>
      </c>
      <c r="C101" s="65">
        <v>131.1</v>
      </c>
      <c r="D101" s="65">
        <v>131.1</v>
      </c>
      <c r="E101" s="65">
        <v>131.1</v>
      </c>
      <c r="F101" s="65">
        <v>131.1</v>
      </c>
      <c r="G101" s="65">
        <v>127.6</v>
      </c>
      <c r="H101" s="65">
        <v>129.80000000000001</v>
      </c>
      <c r="I101" s="65">
        <v>128.5</v>
      </c>
      <c r="J101" s="65">
        <v>128.74</v>
      </c>
      <c r="K101" s="65">
        <v>128.74</v>
      </c>
      <c r="L101" s="65">
        <v>128</v>
      </c>
      <c r="M101" s="65">
        <v>127.8</v>
      </c>
      <c r="N101" s="65">
        <v>128.6</v>
      </c>
      <c r="O101" s="65">
        <v>128.19999999999999</v>
      </c>
      <c r="P101" s="65">
        <v>127.8</v>
      </c>
      <c r="Q101" s="65">
        <v>127.4</v>
      </c>
      <c r="R101" s="65">
        <v>127.4</v>
      </c>
      <c r="S101" s="65">
        <v>126.6</v>
      </c>
      <c r="T101" s="65">
        <v>125.7</v>
      </c>
      <c r="U101" s="65">
        <v>128.30000000000001</v>
      </c>
      <c r="V101" s="65">
        <v>128.6</v>
      </c>
      <c r="W101" s="65">
        <v>128.6</v>
      </c>
      <c r="X101" s="65">
        <v>128.6</v>
      </c>
      <c r="Y101" s="65">
        <v>128.9</v>
      </c>
      <c r="Z101" s="65">
        <v>129.80000000000001</v>
      </c>
      <c r="AA101" s="65">
        <v>128.6</v>
      </c>
      <c r="AB101" s="65">
        <v>128.9</v>
      </c>
      <c r="AC101" s="65">
        <v>129.4</v>
      </c>
      <c r="AD101" s="65">
        <v>129.4</v>
      </c>
      <c r="AE101" s="65">
        <v>130</v>
      </c>
      <c r="AF101" s="65">
        <v>129.5</v>
      </c>
      <c r="AG101" s="104"/>
      <c r="AH101" s="47">
        <f t="shared" si="8"/>
        <v>131.1</v>
      </c>
      <c r="AI101" s="48">
        <f t="shared" si="9"/>
        <v>125.7</v>
      </c>
    </row>
    <row r="102" spans="1:37" x14ac:dyDescent="0.25">
      <c r="A102" s="103" t="s">
        <v>110</v>
      </c>
      <c r="B102" s="65">
        <v>129</v>
      </c>
      <c r="C102" s="65">
        <v>128.69999999999999</v>
      </c>
      <c r="D102" s="65">
        <v>128.69999999999999</v>
      </c>
      <c r="E102" s="65">
        <v>128.69999999999999</v>
      </c>
      <c r="F102" s="65">
        <v>128.69999999999999</v>
      </c>
      <c r="G102" s="65">
        <v>126.6</v>
      </c>
      <c r="H102" s="65">
        <v>129</v>
      </c>
      <c r="I102" s="65">
        <v>128.85</v>
      </c>
      <c r="J102" s="65">
        <v>127.6</v>
      </c>
      <c r="K102" s="65">
        <v>127.6</v>
      </c>
      <c r="L102" s="65">
        <v>128</v>
      </c>
      <c r="M102" s="65">
        <v>127.5</v>
      </c>
      <c r="N102" s="65">
        <v>128</v>
      </c>
      <c r="O102" s="65">
        <v>128.5</v>
      </c>
      <c r="P102" s="65">
        <v>130</v>
      </c>
      <c r="Q102" s="65">
        <v>134.6</v>
      </c>
      <c r="R102" s="65">
        <v>134.6</v>
      </c>
      <c r="S102" s="65">
        <v>127.6</v>
      </c>
      <c r="T102" s="65">
        <v>126.8</v>
      </c>
      <c r="U102" s="65">
        <v>127</v>
      </c>
      <c r="V102" s="65">
        <v>128.5</v>
      </c>
      <c r="W102" s="65">
        <v>128.5</v>
      </c>
      <c r="X102" s="65">
        <v>128.5</v>
      </c>
      <c r="Y102" s="65">
        <v>127.9</v>
      </c>
      <c r="Z102" s="65">
        <v>127.2</v>
      </c>
      <c r="AA102" s="65">
        <v>129.30000000000001</v>
      </c>
      <c r="AB102" s="65">
        <v>129.5</v>
      </c>
      <c r="AC102" s="65">
        <v>131</v>
      </c>
      <c r="AD102" s="65">
        <v>130.5</v>
      </c>
      <c r="AE102" s="65">
        <v>130.19999999999999</v>
      </c>
      <c r="AF102" s="65">
        <v>130.69999999999999</v>
      </c>
      <c r="AG102" s="104"/>
      <c r="AH102" s="47">
        <f t="shared" si="8"/>
        <v>134.6</v>
      </c>
      <c r="AI102" s="48">
        <f t="shared" si="9"/>
        <v>126.6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7"/>
      <c r="AH104" s="47">
        <f t="shared" si="8"/>
        <v>0</v>
      </c>
      <c r="AI104" s="48">
        <f t="shared" si="9"/>
        <v>0</v>
      </c>
    </row>
    <row r="105" spans="1:37" x14ac:dyDescent="0.25">
      <c r="A105" s="103" t="s">
        <v>113</v>
      </c>
      <c r="B105" s="65">
        <v>125</v>
      </c>
      <c r="C105" s="65">
        <v>133.80000000000001</v>
      </c>
      <c r="D105" s="65">
        <v>133.80000000000001</v>
      </c>
      <c r="E105" s="65">
        <v>133.80000000000001</v>
      </c>
      <c r="F105" s="65">
        <v>133.80000000000001</v>
      </c>
      <c r="G105" s="65">
        <v>132.5</v>
      </c>
      <c r="H105" s="65">
        <v>128.6</v>
      </c>
      <c r="I105" s="65">
        <v>131</v>
      </c>
      <c r="J105" s="65">
        <v>133</v>
      </c>
      <c r="K105" s="65">
        <v>133</v>
      </c>
      <c r="L105" s="65">
        <v>129</v>
      </c>
      <c r="M105" s="65">
        <v>128.19999999999999</v>
      </c>
      <c r="N105" s="65">
        <v>123.1</v>
      </c>
      <c r="O105" s="65">
        <v>125.9</v>
      </c>
      <c r="P105" s="65">
        <v>130.19999999999999</v>
      </c>
      <c r="Q105" s="65">
        <v>130.19999999999999</v>
      </c>
      <c r="R105" s="65">
        <v>130.19999999999999</v>
      </c>
      <c r="S105" s="65">
        <v>132.5</v>
      </c>
      <c r="T105" s="65">
        <v>125.3</v>
      </c>
      <c r="U105" s="65">
        <v>130</v>
      </c>
      <c r="V105" s="65">
        <v>131</v>
      </c>
      <c r="W105" s="65">
        <v>131</v>
      </c>
      <c r="X105" s="65">
        <v>131</v>
      </c>
      <c r="Y105" s="65">
        <v>131.69999999999999</v>
      </c>
      <c r="Z105" s="65">
        <v>136</v>
      </c>
      <c r="AA105" s="65">
        <v>132</v>
      </c>
      <c r="AB105" s="65">
        <v>130.9</v>
      </c>
      <c r="AC105" s="65">
        <v>125.2</v>
      </c>
      <c r="AD105" s="65">
        <v>129.80000000000001</v>
      </c>
      <c r="AE105" s="65">
        <v>128</v>
      </c>
      <c r="AF105" s="65">
        <v>131.19999999999999</v>
      </c>
      <c r="AG105" s="104"/>
      <c r="AH105" s="47">
        <f t="shared" si="8"/>
        <v>136</v>
      </c>
      <c r="AI105" s="48">
        <f t="shared" si="9"/>
        <v>123.1</v>
      </c>
    </row>
    <row r="106" spans="1:37" ht="15.75" thickBot="1" x14ac:dyDescent="0.3">
      <c r="A106" s="103" t="s">
        <v>114</v>
      </c>
      <c r="B106" s="92">
        <v>65.400000000000006</v>
      </c>
      <c r="C106" s="92">
        <v>66</v>
      </c>
      <c r="D106" s="92">
        <v>66</v>
      </c>
      <c r="E106" s="92">
        <v>66</v>
      </c>
      <c r="F106" s="92">
        <v>66</v>
      </c>
      <c r="G106" s="92">
        <v>63.9</v>
      </c>
      <c r="H106" s="92">
        <v>65.5</v>
      </c>
      <c r="I106" s="92">
        <v>64.599999999999994</v>
      </c>
      <c r="J106" s="92">
        <v>64.599999999999994</v>
      </c>
      <c r="K106" s="92">
        <v>64.599999999999994</v>
      </c>
      <c r="L106" s="92">
        <v>64</v>
      </c>
      <c r="M106" s="92">
        <v>64.099999999999994</v>
      </c>
      <c r="N106" s="92">
        <v>64.8</v>
      </c>
      <c r="O106" s="92">
        <v>64.2</v>
      </c>
      <c r="P106" s="92">
        <v>63.9</v>
      </c>
      <c r="Q106" s="92">
        <v>64</v>
      </c>
      <c r="R106" s="92">
        <v>64</v>
      </c>
      <c r="S106" s="92">
        <v>63.2</v>
      </c>
      <c r="T106" s="92">
        <v>63</v>
      </c>
      <c r="U106" s="92">
        <v>64.099999999999994</v>
      </c>
      <c r="V106" s="92">
        <v>64.5</v>
      </c>
      <c r="W106" s="92">
        <v>64.5</v>
      </c>
      <c r="X106" s="92">
        <v>64.7</v>
      </c>
      <c r="Y106" s="92">
        <v>64.400000000000006</v>
      </c>
      <c r="Z106" s="92">
        <v>64.8</v>
      </c>
      <c r="AA106" s="92">
        <v>64.3</v>
      </c>
      <c r="AB106" s="92">
        <v>64.400000000000006</v>
      </c>
      <c r="AC106" s="92">
        <v>64.739999999999995</v>
      </c>
      <c r="AD106" s="92">
        <v>64.7</v>
      </c>
      <c r="AE106" s="92">
        <v>65.099999999999994</v>
      </c>
      <c r="AF106" s="92">
        <v>64.900000000000006</v>
      </c>
      <c r="AG106" s="108"/>
      <c r="AH106" s="47">
        <f t="shared" si="8"/>
        <v>66</v>
      </c>
      <c r="AI106" s="48">
        <f t="shared" si="9"/>
        <v>63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 t="s">
        <v>115</v>
      </c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v>130.9</v>
      </c>
      <c r="C108" s="111">
        <f t="shared" ref="C108:AF108" si="15">SUM(C18,C24,C27:C28,C56,C58:C59,C61,C63,C109:C113,C135,C141,C147,C156,C158,C170,C177,C180:C181,C188,C190,C192,C196:C198,C200:C202,C207,C213:C214,C216:C218,C226,C231)</f>
        <v>122.93999999999997</v>
      </c>
      <c r="D108" s="111">
        <f t="shared" si="15"/>
        <v>88.44</v>
      </c>
      <c r="E108" s="111">
        <f t="shared" si="15"/>
        <v>26.939999999999998</v>
      </c>
      <c r="F108" s="111">
        <f t="shared" si="15"/>
        <v>87.139999999999986</v>
      </c>
      <c r="G108" s="111">
        <f t="shared" si="15"/>
        <v>108.33999999999999</v>
      </c>
      <c r="H108" s="111">
        <f t="shared" si="15"/>
        <v>136.13999999999999</v>
      </c>
      <c r="I108" s="111">
        <f t="shared" si="15"/>
        <v>175.14</v>
      </c>
      <c r="J108" s="111">
        <f t="shared" si="15"/>
        <v>174.94</v>
      </c>
      <c r="K108" s="111">
        <f t="shared" si="15"/>
        <v>221.64</v>
      </c>
      <c r="L108" s="111">
        <f t="shared" si="15"/>
        <v>252.45000000000002</v>
      </c>
      <c r="M108" s="111">
        <f t="shared" si="15"/>
        <v>257.43999999999994</v>
      </c>
      <c r="N108" s="111">
        <f t="shared" si="15"/>
        <v>239.14</v>
      </c>
      <c r="O108" s="111">
        <f t="shared" si="15"/>
        <v>227.14</v>
      </c>
      <c r="P108" s="111">
        <v>42</v>
      </c>
      <c r="Q108" s="111">
        <f t="shared" si="15"/>
        <v>231.30000000000004</v>
      </c>
      <c r="R108" s="111">
        <f t="shared" si="15"/>
        <v>233.9</v>
      </c>
      <c r="S108" s="111">
        <f t="shared" si="15"/>
        <v>241.60000000000002</v>
      </c>
      <c r="T108" s="111">
        <f t="shared" si="15"/>
        <v>240.3</v>
      </c>
      <c r="U108" s="111">
        <f t="shared" si="15"/>
        <v>283.8</v>
      </c>
      <c r="V108" s="111">
        <f t="shared" si="15"/>
        <v>271.39999999999998</v>
      </c>
      <c r="W108" s="111">
        <f t="shared" si="15"/>
        <v>248.60000000000002</v>
      </c>
      <c r="X108" s="111">
        <f t="shared" si="15"/>
        <v>228.10000000000002</v>
      </c>
      <c r="Y108" s="111">
        <f t="shared" si="15"/>
        <v>259.60000000000002</v>
      </c>
      <c r="Z108" s="111">
        <f t="shared" si="15"/>
        <v>261.89999999999998</v>
      </c>
      <c r="AA108" s="111">
        <v>416.29708333333326</v>
      </c>
      <c r="AB108" s="111">
        <f>SUM(AB18,AB24,AB27:AB28,AB56,AB58:AB59,AB61,AB63,AB109:AB113,AB135,AB141,AB147,AB156,AB158,AB170,AB177,AB180:AB181,AB188,AB190,AB192,AB196:AB198,AB200:AB202,AB207,AB213:AB214,AB216:AB218,AB226,AB231)</f>
        <v>264.20000000000005</v>
      </c>
      <c r="AC108" s="111">
        <f t="shared" si="15"/>
        <v>243.2</v>
      </c>
      <c r="AD108" s="111">
        <f t="shared" si="15"/>
        <v>218.8</v>
      </c>
      <c r="AE108" s="111">
        <f t="shared" si="15"/>
        <v>144.79999999999998</v>
      </c>
      <c r="AF108" s="111">
        <f t="shared" si="15"/>
        <v>121.99999999999997</v>
      </c>
      <c r="AG108" s="112"/>
      <c r="AH108" s="47">
        <f t="shared" si="8"/>
        <v>416.29708333333326</v>
      </c>
      <c r="AI108" s="48">
        <f t="shared" si="9"/>
        <v>26.939999999999998</v>
      </c>
    </row>
    <row r="109" spans="1:37" x14ac:dyDescent="0.25">
      <c r="A109" s="100" t="s">
        <v>117</v>
      </c>
      <c r="B109" s="113">
        <v>27.5</v>
      </c>
      <c r="C109" s="113">
        <v>32.299999999999997</v>
      </c>
      <c r="D109" s="113">
        <v>31</v>
      </c>
      <c r="E109" s="113">
        <v>31</v>
      </c>
      <c r="F109" s="113">
        <v>31</v>
      </c>
      <c r="G109" s="113">
        <v>24.3</v>
      </c>
      <c r="H109" s="113">
        <v>29.9</v>
      </c>
      <c r="I109" s="113">
        <v>35.5</v>
      </c>
      <c r="J109" s="113">
        <v>35.5</v>
      </c>
      <c r="K109" s="113">
        <v>47.7</v>
      </c>
      <c r="L109" s="113">
        <v>58.2</v>
      </c>
      <c r="M109" s="113">
        <v>60.4</v>
      </c>
      <c r="N109" s="113">
        <v>52.5</v>
      </c>
      <c r="O109" s="113">
        <v>47</v>
      </c>
      <c r="P109" s="113">
        <v>43.3</v>
      </c>
      <c r="Q109" s="113">
        <v>48.6</v>
      </c>
      <c r="R109" s="113">
        <v>48.6</v>
      </c>
      <c r="S109" s="113">
        <v>32.200000000000003</v>
      </c>
      <c r="T109" s="113">
        <v>30.7</v>
      </c>
      <c r="U109" s="113">
        <v>32.5</v>
      </c>
      <c r="V109" s="113">
        <v>27.2</v>
      </c>
      <c r="W109" s="113">
        <v>22</v>
      </c>
      <c r="X109" s="113">
        <v>17</v>
      </c>
      <c r="Y109" s="113">
        <v>18.7</v>
      </c>
      <c r="Z109" s="113">
        <v>34.299999999999997</v>
      </c>
      <c r="AA109" s="113">
        <v>38.4</v>
      </c>
      <c r="AB109" s="113">
        <v>37.1</v>
      </c>
      <c r="AC109" s="113">
        <v>36.799999999999997</v>
      </c>
      <c r="AD109" s="113">
        <v>38.9</v>
      </c>
      <c r="AE109" s="113">
        <v>23.5</v>
      </c>
      <c r="AF109" s="113">
        <v>24.3</v>
      </c>
      <c r="AG109" s="114">
        <v>75</v>
      </c>
      <c r="AH109" s="47">
        <f t="shared" si="8"/>
        <v>60.4</v>
      </c>
      <c r="AI109" s="48">
        <f t="shared" si="9"/>
        <v>17</v>
      </c>
    </row>
    <row r="110" spans="1:37" x14ac:dyDescent="0.25">
      <c r="A110" s="103" t="s">
        <v>118</v>
      </c>
      <c r="B110" s="115">
        <v>48.3</v>
      </c>
      <c r="C110" s="115">
        <v>50.6</v>
      </c>
      <c r="D110" s="115">
        <v>48</v>
      </c>
      <c r="E110" s="115">
        <v>48</v>
      </c>
      <c r="F110" s="115">
        <v>48</v>
      </c>
      <c r="G110" s="115">
        <v>47</v>
      </c>
      <c r="H110" s="115">
        <v>55.4</v>
      </c>
      <c r="I110" s="115">
        <v>60.2</v>
      </c>
      <c r="J110" s="115">
        <v>60.2</v>
      </c>
      <c r="K110" s="115">
        <v>68.5</v>
      </c>
      <c r="L110" s="115">
        <v>82.41</v>
      </c>
      <c r="M110" s="115">
        <v>85.9</v>
      </c>
      <c r="N110" s="115">
        <v>73.7</v>
      </c>
      <c r="O110" s="115">
        <v>70.599999999999994</v>
      </c>
      <c r="P110" s="115">
        <v>63.2</v>
      </c>
      <c r="Q110" s="115">
        <v>76.5</v>
      </c>
      <c r="R110" s="115">
        <v>76.5</v>
      </c>
      <c r="S110" s="115">
        <v>53.4</v>
      </c>
      <c r="T110" s="115">
        <v>52.2</v>
      </c>
      <c r="U110" s="115">
        <v>48.2</v>
      </c>
      <c r="V110" s="115">
        <v>42.7</v>
      </c>
      <c r="W110" s="115">
        <v>38.4</v>
      </c>
      <c r="X110" s="115">
        <v>30</v>
      </c>
      <c r="Y110" s="115">
        <v>24.5</v>
      </c>
      <c r="Z110" s="115">
        <v>46</v>
      </c>
      <c r="AA110" s="115">
        <v>52.4</v>
      </c>
      <c r="AB110" s="115">
        <v>50.9</v>
      </c>
      <c r="AC110" s="115">
        <v>51.4</v>
      </c>
      <c r="AD110" s="115">
        <v>56.4</v>
      </c>
      <c r="AE110" s="115">
        <v>38.6</v>
      </c>
      <c r="AF110" s="115">
        <v>41.2</v>
      </c>
      <c r="AG110" s="114">
        <v>240</v>
      </c>
      <c r="AH110" s="47">
        <f t="shared" si="8"/>
        <v>85.9</v>
      </c>
      <c r="AI110" s="48">
        <f t="shared" si="9"/>
        <v>24.5</v>
      </c>
    </row>
    <row r="111" spans="1:37" x14ac:dyDescent="0.25">
      <c r="A111" s="103" t="s">
        <v>119</v>
      </c>
      <c r="B111" s="115">
        <v>83.6</v>
      </c>
      <c r="C111" s="115">
        <v>-99.2</v>
      </c>
      <c r="D111" s="115">
        <v>-84</v>
      </c>
      <c r="E111" s="115">
        <v>-84</v>
      </c>
      <c r="F111" s="115">
        <v>-84</v>
      </c>
      <c r="G111" s="115">
        <v>-73</v>
      </c>
      <c r="H111" s="115">
        <v>-75</v>
      </c>
      <c r="I111" s="115">
        <v>-74</v>
      </c>
      <c r="J111" s="115">
        <v>-74</v>
      </c>
      <c r="K111" s="115">
        <v>-62</v>
      </c>
      <c r="L111" s="115">
        <v>-58.7</v>
      </c>
      <c r="M111" s="115">
        <v>-58</v>
      </c>
      <c r="N111" s="115">
        <v>-58</v>
      </c>
      <c r="O111" s="115">
        <v>-66</v>
      </c>
      <c r="P111" s="115">
        <v>-65</v>
      </c>
      <c r="Q111" s="115">
        <f>-17.4-23.3</f>
        <v>-40.700000000000003</v>
      </c>
      <c r="R111" s="115">
        <f>-17.4-23.3</f>
        <v>-40.700000000000003</v>
      </c>
      <c r="S111" s="115">
        <v>-55</v>
      </c>
      <c r="T111" s="115">
        <f>-33.3-29.1</f>
        <v>-62.4</v>
      </c>
      <c r="U111" s="115">
        <v>-16.7</v>
      </c>
      <c r="V111" s="115">
        <v>-18.3</v>
      </c>
      <c r="W111" s="115">
        <v>-22.4</v>
      </c>
      <c r="X111" s="115">
        <f>-12.4-13</f>
        <v>-25.4</v>
      </c>
      <c r="Y111" s="115">
        <f>-6.8-7.4</f>
        <v>-14.2</v>
      </c>
      <c r="Z111" s="115">
        <f>-37-3.7</f>
        <v>-40.700000000000003</v>
      </c>
      <c r="AA111" s="115">
        <v>-9.9</v>
      </c>
      <c r="AB111" s="115">
        <v>-26</v>
      </c>
      <c r="AC111" s="115">
        <v>-30</v>
      </c>
      <c r="AD111" s="115">
        <v>-45</v>
      </c>
      <c r="AE111" s="115">
        <v>-42</v>
      </c>
      <c r="AF111" s="115">
        <v>-58</v>
      </c>
      <c r="AG111" s="114">
        <v>240</v>
      </c>
      <c r="AH111" s="47">
        <f t="shared" si="8"/>
        <v>83.6</v>
      </c>
      <c r="AI111" s="48">
        <f t="shared" si="9"/>
        <v>-99.2</v>
      </c>
    </row>
    <row r="112" spans="1:37" x14ac:dyDescent="0.25">
      <c r="A112" s="103" t="s">
        <v>120</v>
      </c>
      <c r="B112" s="115">
        <v>-11.7</v>
      </c>
      <c r="C112" s="115">
        <v>-10.5</v>
      </c>
      <c r="D112" s="115">
        <v>-9.1999999999999993</v>
      </c>
      <c r="E112" s="115">
        <v>-9.1999999999999993</v>
      </c>
      <c r="F112" s="115">
        <v>-9.1999999999999993</v>
      </c>
      <c r="G112" s="115">
        <v>-8.5</v>
      </c>
      <c r="H112" s="115">
        <v>-8.8000000000000007</v>
      </c>
      <c r="I112" s="115">
        <v>-4</v>
      </c>
      <c r="J112" s="115">
        <v>-4</v>
      </c>
      <c r="K112" s="115">
        <v>12</v>
      </c>
      <c r="L112" s="115">
        <v>-1.5</v>
      </c>
      <c r="M112" s="115">
        <v>0.8</v>
      </c>
      <c r="N112" s="115">
        <v>0</v>
      </c>
      <c r="O112" s="115">
        <v>12</v>
      </c>
      <c r="P112" s="115">
        <v>3.8</v>
      </c>
      <c r="Q112" s="115">
        <v>14.4</v>
      </c>
      <c r="R112" s="115">
        <v>14.4</v>
      </c>
      <c r="S112" s="115">
        <v>-4</v>
      </c>
      <c r="T112" s="115">
        <v>3.5</v>
      </c>
      <c r="U112" s="115">
        <v>3.5</v>
      </c>
      <c r="V112" s="115">
        <v>3.5</v>
      </c>
      <c r="W112" s="115">
        <v>6.5</v>
      </c>
      <c r="X112" s="115">
        <v>9</v>
      </c>
      <c r="Y112" s="115">
        <v>13.6</v>
      </c>
      <c r="Z112" s="115">
        <v>15.8</v>
      </c>
      <c r="AA112" s="115">
        <v>16.100000000000001</v>
      </c>
      <c r="AB112" s="115">
        <v>9.5</v>
      </c>
      <c r="AC112" s="115">
        <v>8.1999999999999993</v>
      </c>
      <c r="AD112" s="115">
        <v>4.5999999999999996</v>
      </c>
      <c r="AE112" s="115">
        <v>0.2</v>
      </c>
      <c r="AF112" s="115">
        <v>6.2</v>
      </c>
      <c r="AG112" s="114">
        <v>60</v>
      </c>
      <c r="AH112" s="47">
        <f t="shared" si="8"/>
        <v>16.100000000000001</v>
      </c>
      <c r="AI112" s="48">
        <f t="shared" si="9"/>
        <v>-11.7</v>
      </c>
    </row>
    <row r="113" spans="1:37" x14ac:dyDescent="0.25">
      <c r="A113" s="116" t="s">
        <v>121</v>
      </c>
      <c r="B113" s="117">
        <v>19.8</v>
      </c>
      <c r="C113" s="117">
        <v>22.8</v>
      </c>
      <c r="D113" s="117">
        <v>-24.3</v>
      </c>
      <c r="E113" s="117">
        <v>-24.3</v>
      </c>
      <c r="F113" s="117">
        <v>-24.3</v>
      </c>
      <c r="G113" s="117">
        <v>-7.3</v>
      </c>
      <c r="H113" s="117">
        <v>9</v>
      </c>
      <c r="I113" s="117">
        <v>31.8</v>
      </c>
      <c r="J113" s="117">
        <v>31.8</v>
      </c>
      <c r="K113" s="117">
        <v>30</v>
      </c>
      <c r="L113" s="117">
        <v>46.6</v>
      </c>
      <c r="M113" s="117">
        <v>42.9</v>
      </c>
      <c r="N113" s="117">
        <v>49.3</v>
      </c>
      <c r="O113" s="117">
        <v>39.4</v>
      </c>
      <c r="P113" s="117">
        <v>54.4</v>
      </c>
      <c r="Q113" s="117">
        <v>0</v>
      </c>
      <c r="R113" s="117">
        <v>0</v>
      </c>
      <c r="S113" s="117">
        <v>79.900000000000006</v>
      </c>
      <c r="T113" s="117">
        <v>81.2</v>
      </c>
      <c r="U113" s="117">
        <v>81.2</v>
      </c>
      <c r="V113" s="117">
        <v>81.2</v>
      </c>
      <c r="W113" s="117">
        <v>79</v>
      </c>
      <c r="X113" s="117">
        <v>77.400000000000006</v>
      </c>
      <c r="Y113" s="117">
        <v>96.9</v>
      </c>
      <c r="Z113" s="117">
        <v>86.4</v>
      </c>
      <c r="AA113" s="117">
        <v>96.9</v>
      </c>
      <c r="AB113" s="117">
        <v>73</v>
      </c>
      <c r="AC113" s="117">
        <v>57.1</v>
      </c>
      <c r="AD113" s="117">
        <v>44.2</v>
      </c>
      <c r="AE113" s="117">
        <v>4.8</v>
      </c>
      <c r="AF113" s="117">
        <v>-11.4</v>
      </c>
      <c r="AG113" s="118">
        <v>120</v>
      </c>
      <c r="AH113" s="47">
        <f t="shared" si="8"/>
        <v>96.9</v>
      </c>
      <c r="AI113" s="48">
        <f t="shared" si="9"/>
        <v>-24.3</v>
      </c>
    </row>
    <row r="114" spans="1:37" x14ac:dyDescent="0.25">
      <c r="A114" s="116" t="s">
        <v>122</v>
      </c>
      <c r="B114" s="117">
        <v>32.4</v>
      </c>
      <c r="C114" s="117">
        <v>-42.4</v>
      </c>
      <c r="D114" s="117">
        <v>49.3</v>
      </c>
      <c r="E114" s="117">
        <v>49.3</v>
      </c>
      <c r="F114" s="117">
        <v>49.3</v>
      </c>
      <c r="G114" s="117">
        <v>85.6</v>
      </c>
      <c r="H114" s="117">
        <v>67</v>
      </c>
      <c r="I114" s="117">
        <v>56.8</v>
      </c>
      <c r="J114" s="117">
        <v>56.8</v>
      </c>
      <c r="K114" s="117">
        <v>39.5</v>
      </c>
      <c r="L114" s="117">
        <v>48.4</v>
      </c>
      <c r="M114" s="117">
        <v>46</v>
      </c>
      <c r="N114" s="117">
        <v>57.9</v>
      </c>
      <c r="O114" s="117">
        <v>49.5</v>
      </c>
      <c r="P114" s="117">
        <v>70.599999999999994</v>
      </c>
      <c r="Q114" s="117">
        <v>94.5</v>
      </c>
      <c r="R114" s="117">
        <v>94.5</v>
      </c>
      <c r="S114" s="117">
        <v>92.3</v>
      </c>
      <c r="T114" s="117">
        <v>93.6</v>
      </c>
      <c r="U114" s="117">
        <v>100</v>
      </c>
      <c r="V114" s="117">
        <v>72</v>
      </c>
      <c r="W114" s="117">
        <v>82</v>
      </c>
      <c r="X114" s="117">
        <v>76.400000000000006</v>
      </c>
      <c r="Y114" s="117">
        <v>78.2</v>
      </c>
      <c r="Z114" s="117">
        <v>78.2</v>
      </c>
      <c r="AA114" s="117">
        <v>76.5</v>
      </c>
      <c r="AB114" s="117">
        <v>71.900000000000006</v>
      </c>
      <c r="AC114" s="117">
        <v>71.7</v>
      </c>
      <c r="AD114" s="117">
        <v>66.599999999999994</v>
      </c>
      <c r="AE114" s="117">
        <v>85.7</v>
      </c>
      <c r="AF114" s="117">
        <v>89.6</v>
      </c>
      <c r="AG114" s="118"/>
      <c r="AH114" s="47">
        <f t="shared" si="8"/>
        <v>100</v>
      </c>
      <c r="AI114" s="48">
        <f t="shared" si="9"/>
        <v>-42.4</v>
      </c>
    </row>
    <row r="115" spans="1:37" x14ac:dyDescent="0.25">
      <c r="A115" s="116" t="s">
        <v>123</v>
      </c>
      <c r="B115" s="117">
        <v>26.2</v>
      </c>
      <c r="C115" s="117">
        <v>16.899999999999999</v>
      </c>
      <c r="D115" s="117">
        <v>19.3</v>
      </c>
      <c r="E115" s="117">
        <v>19.3</v>
      </c>
      <c r="F115" s="117">
        <v>19.3</v>
      </c>
      <c r="G115" s="117">
        <v>41.4</v>
      </c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>
        <v>45.8</v>
      </c>
      <c r="AG115" s="119"/>
      <c r="AH115" s="47">
        <f t="shared" si="8"/>
        <v>45.8</v>
      </c>
      <c r="AI115" s="48">
        <f t="shared" si="9"/>
        <v>16.899999999999999</v>
      </c>
    </row>
    <row r="116" spans="1:37" x14ac:dyDescent="0.25">
      <c r="A116" s="120" t="s">
        <v>124</v>
      </c>
      <c r="B116" s="106">
        <v>-3.2</v>
      </c>
      <c r="C116" s="106">
        <v>2.7</v>
      </c>
      <c r="D116" s="106">
        <v>3.7</v>
      </c>
      <c r="E116" s="106">
        <v>3.7</v>
      </c>
      <c r="F116" s="106">
        <v>3.7</v>
      </c>
      <c r="G116" s="106">
        <v>10.5</v>
      </c>
      <c r="H116" s="106">
        <v>4</v>
      </c>
      <c r="I116" s="106">
        <v>0.9</v>
      </c>
      <c r="J116" s="106">
        <v>0.9</v>
      </c>
      <c r="K116" s="106">
        <v>-1.9</v>
      </c>
      <c r="L116" s="106">
        <v>-9.8000000000000007</v>
      </c>
      <c r="M116" s="106">
        <v>-13.6</v>
      </c>
      <c r="N116" s="106">
        <v>-12.4</v>
      </c>
      <c r="O116" s="106">
        <v>-16.2</v>
      </c>
      <c r="P116" s="106">
        <v>-12.3</v>
      </c>
      <c r="Q116" s="106">
        <v>1.8</v>
      </c>
      <c r="R116" s="106">
        <v>1.8</v>
      </c>
      <c r="S116" s="106">
        <v>31</v>
      </c>
      <c r="T116" s="106">
        <v>-27</v>
      </c>
      <c r="U116" s="106">
        <v>-27</v>
      </c>
      <c r="V116" s="106">
        <v>-32.299999999999997</v>
      </c>
      <c r="W116" s="106">
        <v>-40</v>
      </c>
      <c r="X116" s="106">
        <v>-33.5</v>
      </c>
      <c r="Y116" s="106">
        <v>-26.6</v>
      </c>
      <c r="Z116" s="106">
        <v>-26.8</v>
      </c>
      <c r="AA116" s="106">
        <v>-30.8</v>
      </c>
      <c r="AB116" s="106">
        <v>34.6</v>
      </c>
      <c r="AC116" s="106">
        <v>34.799999999999997</v>
      </c>
      <c r="AD116" s="106">
        <v>38.299999999999997</v>
      </c>
      <c r="AE116" s="106">
        <v>45.3</v>
      </c>
      <c r="AF116" s="106">
        <v>46.6</v>
      </c>
      <c r="AG116" s="119"/>
      <c r="AH116" s="47">
        <f t="shared" si="8"/>
        <v>46.6</v>
      </c>
      <c r="AI116" s="48">
        <f t="shared" si="9"/>
        <v>-40</v>
      </c>
    </row>
    <row r="117" spans="1:37" ht="15.75" thickBot="1" x14ac:dyDescent="0.3">
      <c r="A117" s="120" t="s">
        <v>125</v>
      </c>
      <c r="B117" s="106">
        <v>76.599999999999994</v>
      </c>
      <c r="C117" s="106">
        <v>73.099999999999994</v>
      </c>
      <c r="D117" s="106">
        <v>79</v>
      </c>
      <c r="E117" s="106">
        <v>79</v>
      </c>
      <c r="F117" s="106">
        <v>79</v>
      </c>
      <c r="G117" s="106">
        <v>79</v>
      </c>
      <c r="H117" s="106">
        <v>86.6</v>
      </c>
      <c r="I117" s="106">
        <v>80.7</v>
      </c>
      <c r="J117" s="106">
        <v>80.7</v>
      </c>
      <c r="K117" s="106">
        <v>85.2</v>
      </c>
      <c r="L117" s="106">
        <v>89.7</v>
      </c>
      <c r="M117" s="106">
        <v>85.2</v>
      </c>
      <c r="N117" s="106">
        <v>83.8</v>
      </c>
      <c r="O117" s="106">
        <v>75.5</v>
      </c>
      <c r="P117" s="106">
        <v>54</v>
      </c>
      <c r="Q117" s="106">
        <v>35.799999999999997</v>
      </c>
      <c r="R117" s="106">
        <v>35.799999999999997</v>
      </c>
      <c r="S117" s="106">
        <v>33.299999999999997</v>
      </c>
      <c r="T117" s="106">
        <v>36.9</v>
      </c>
      <c r="U117" s="106">
        <v>40</v>
      </c>
      <c r="V117" s="106">
        <v>35.9</v>
      </c>
      <c r="W117" s="106">
        <v>37</v>
      </c>
      <c r="X117" s="106">
        <v>35.4</v>
      </c>
      <c r="Y117" s="106">
        <v>48.2</v>
      </c>
      <c r="Z117" s="106">
        <v>61.7</v>
      </c>
      <c r="AA117" s="106">
        <v>58.9</v>
      </c>
      <c r="AB117" s="106">
        <v>55.7</v>
      </c>
      <c r="AC117" s="106">
        <v>54.7</v>
      </c>
      <c r="AD117" s="106">
        <v>52.9</v>
      </c>
      <c r="AE117" s="106">
        <v>38.299999999999997</v>
      </c>
      <c r="AF117" s="106">
        <v>41</v>
      </c>
      <c r="AG117" s="119"/>
      <c r="AH117" s="47">
        <f t="shared" si="8"/>
        <v>89.7</v>
      </c>
      <c r="AI117" s="48">
        <f t="shared" si="9"/>
        <v>33.299999999999997</v>
      </c>
    </row>
    <row r="118" spans="1:37" ht="15.75" thickBot="1" x14ac:dyDescent="0.3">
      <c r="A118" s="121" t="s">
        <v>126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47"/>
      <c r="AI118" s="48"/>
      <c r="AK118" s="49"/>
    </row>
    <row r="119" spans="1:37" x14ac:dyDescent="0.25">
      <c r="A119" s="124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>
        <v>9.94</v>
      </c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>
        <v>9.9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9.6579999999999995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9.51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9.4</v>
      </c>
      <c r="AH139" s="47"/>
      <c r="AI139" s="48"/>
      <c r="AK139" s="49"/>
    </row>
    <row r="140" spans="1:37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8.8000000000000007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8.5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8.4</v>
      </c>
      <c r="AH143" s="47"/>
      <c r="AI143" s="48"/>
      <c r="AK143" s="49"/>
    </row>
    <row r="144" spans="1:37" ht="13.5" customHeight="1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7.8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7.6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7.5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6.6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6.4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5.0999999999999996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03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0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4.9930000000000003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4.9800000000000004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4.95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4.8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4.5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4.4550000000000001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4.41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4.4000000000000004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4.3600000000000003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4.2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3.75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3.52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3.33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3.2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2.83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2.5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2.4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2.2000000000000002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1.8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1.65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1.5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0.998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0.997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0.996</v>
      </c>
      <c r="AH217" s="47"/>
      <c r="AI217" s="48"/>
      <c r="AK217" s="49"/>
    </row>
    <row r="218" spans="1:37" x14ac:dyDescent="0.25">
      <c r="A218" s="116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0.995</v>
      </c>
      <c r="AH220" s="47"/>
      <c r="AI220" s="48"/>
      <c r="AK220" s="49"/>
    </row>
    <row r="221" spans="1:37" x14ac:dyDescent="0.25">
      <c r="A221" s="116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0.99299999999999999</v>
      </c>
      <c r="AH221" s="47"/>
      <c r="AI221" s="48"/>
      <c r="AK221" s="49"/>
    </row>
    <row r="222" spans="1:37" x14ac:dyDescent="0.25">
      <c r="A222" s="116" t="s">
        <v>230</v>
      </c>
      <c r="B222" s="128"/>
      <c r="C222" s="126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</v>
      </c>
      <c r="AH222" s="47"/>
      <c r="AI222" s="48"/>
      <c r="AK222" s="49"/>
    </row>
    <row r="223" spans="1:37" ht="15.75" thickBot="1" x14ac:dyDescent="0.3">
      <c r="A223" s="116" t="s">
        <v>231</v>
      </c>
      <c r="B223" s="132"/>
      <c r="C223" s="133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1">
        <v>0.97899999999999998</v>
      </c>
      <c r="AH223" s="47"/>
      <c r="AI223" s="48"/>
      <c r="AK223" s="49"/>
    </row>
    <row r="224" spans="1:37" ht="15.75" thickBot="1" x14ac:dyDescent="0.3">
      <c r="A224" s="134" t="s">
        <v>232</v>
      </c>
      <c r="B224" s="135">
        <f t="shared" ref="B224:AG224" si="16">SUM(B119:B223)</f>
        <v>0</v>
      </c>
      <c r="C224" s="136">
        <f t="shared" si="16"/>
        <v>0</v>
      </c>
      <c r="D224" s="136">
        <f t="shared" si="16"/>
        <v>0</v>
      </c>
      <c r="E224" s="136">
        <f t="shared" si="16"/>
        <v>0</v>
      </c>
      <c r="F224" s="136">
        <f t="shared" si="16"/>
        <v>0</v>
      </c>
      <c r="G224" s="136">
        <f t="shared" si="16"/>
        <v>0</v>
      </c>
      <c r="H224" s="136">
        <f t="shared" si="16"/>
        <v>0</v>
      </c>
      <c r="I224" s="136">
        <f t="shared" si="16"/>
        <v>0</v>
      </c>
      <c r="J224" s="136">
        <f t="shared" si="16"/>
        <v>0</v>
      </c>
      <c r="K224" s="136">
        <f t="shared" si="16"/>
        <v>0</v>
      </c>
      <c r="L224" s="136">
        <f t="shared" si="16"/>
        <v>0</v>
      </c>
      <c r="M224" s="136">
        <f t="shared" si="16"/>
        <v>0</v>
      </c>
      <c r="N224" s="136">
        <f t="shared" si="16"/>
        <v>0</v>
      </c>
      <c r="O224" s="136">
        <f t="shared" si="16"/>
        <v>0</v>
      </c>
      <c r="P224" s="136">
        <f t="shared" si="16"/>
        <v>0</v>
      </c>
      <c r="Q224" s="136">
        <f t="shared" si="16"/>
        <v>0</v>
      </c>
      <c r="R224" s="136">
        <f t="shared" si="16"/>
        <v>0</v>
      </c>
      <c r="S224" s="136">
        <f t="shared" si="16"/>
        <v>0</v>
      </c>
      <c r="T224" s="136">
        <f t="shared" si="16"/>
        <v>0</v>
      </c>
      <c r="U224" s="136">
        <f t="shared" si="16"/>
        <v>0</v>
      </c>
      <c r="V224" s="136">
        <f t="shared" si="16"/>
        <v>0</v>
      </c>
      <c r="W224" s="136">
        <f t="shared" si="16"/>
        <v>0</v>
      </c>
      <c r="X224" s="136">
        <f t="shared" si="16"/>
        <v>0</v>
      </c>
      <c r="Y224" s="136">
        <f t="shared" si="16"/>
        <v>0</v>
      </c>
      <c r="Z224" s="136">
        <f t="shared" si="16"/>
        <v>0</v>
      </c>
      <c r="AA224" s="136">
        <f t="shared" si="16"/>
        <v>0</v>
      </c>
      <c r="AB224" s="136">
        <f t="shared" si="16"/>
        <v>0</v>
      </c>
      <c r="AC224" s="136">
        <f t="shared" si="16"/>
        <v>0</v>
      </c>
      <c r="AD224" s="136">
        <f t="shared" si="16"/>
        <v>0</v>
      </c>
      <c r="AE224" s="136">
        <f t="shared" si="16"/>
        <v>0</v>
      </c>
      <c r="AF224" s="137">
        <f t="shared" si="16"/>
        <v>0</v>
      </c>
      <c r="AG224" s="138">
        <f t="shared" si="16"/>
        <v>412.72299999999984</v>
      </c>
      <c r="AH224" s="47"/>
      <c r="AI224" s="48"/>
      <c r="AK224" s="49"/>
    </row>
    <row r="225" spans="1:37" ht="15.75" thickBot="1" x14ac:dyDescent="0.3">
      <c r="A225" s="26" t="s">
        <v>73</v>
      </c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19"/>
      <c r="AH225" s="47"/>
      <c r="AI225" s="48"/>
      <c r="AK225" s="49"/>
    </row>
    <row r="226" spans="1:37" x14ac:dyDescent="0.25">
      <c r="A226" s="100" t="s">
        <v>233</v>
      </c>
      <c r="B226" s="140">
        <f t="shared" ref="B226:B231" si="17">AF226</f>
        <v>0</v>
      </c>
      <c r="C226" s="140">
        <v>0.3</v>
      </c>
      <c r="D226" s="140">
        <f t="shared" ref="D226:P231" si="18">C226</f>
        <v>0.3</v>
      </c>
      <c r="E226" s="140">
        <f t="shared" si="18"/>
        <v>0.3</v>
      </c>
      <c r="F226" s="140">
        <f t="shared" si="18"/>
        <v>0.3</v>
      </c>
      <c r="G226" s="140">
        <f t="shared" si="18"/>
        <v>0.3</v>
      </c>
      <c r="H226" s="140">
        <f t="shared" si="18"/>
        <v>0.3</v>
      </c>
      <c r="I226" s="140">
        <f t="shared" si="18"/>
        <v>0.3</v>
      </c>
      <c r="J226" s="140">
        <f t="shared" si="18"/>
        <v>0.3</v>
      </c>
      <c r="K226" s="140">
        <f t="shared" si="18"/>
        <v>0.3</v>
      </c>
      <c r="L226" s="140">
        <f t="shared" si="18"/>
        <v>0.3</v>
      </c>
      <c r="M226" s="140">
        <f t="shared" si="18"/>
        <v>0.3</v>
      </c>
      <c r="N226" s="140">
        <f t="shared" si="18"/>
        <v>0.3</v>
      </c>
      <c r="O226" s="140">
        <f t="shared" si="18"/>
        <v>0.3</v>
      </c>
      <c r="P226" s="140">
        <f t="shared" si="18"/>
        <v>0.3</v>
      </c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1">
        <v>2.4</v>
      </c>
      <c r="AH226" s="47"/>
      <c r="AI226" s="48"/>
      <c r="AK226" s="49"/>
    </row>
    <row r="227" spans="1:37" ht="15.75" thickBot="1" x14ac:dyDescent="0.3">
      <c r="A227" s="103" t="s">
        <v>234</v>
      </c>
      <c r="B227" s="128">
        <f t="shared" si="17"/>
        <v>0</v>
      </c>
      <c r="C227" s="128">
        <v>0.4</v>
      </c>
      <c r="D227" s="128">
        <f t="shared" si="18"/>
        <v>0.4</v>
      </c>
      <c r="E227" s="128">
        <f t="shared" si="18"/>
        <v>0.4</v>
      </c>
      <c r="F227" s="128">
        <f t="shared" si="18"/>
        <v>0.4</v>
      </c>
      <c r="G227" s="128">
        <f t="shared" si="18"/>
        <v>0.4</v>
      </c>
      <c r="H227" s="128">
        <f t="shared" si="18"/>
        <v>0.4</v>
      </c>
      <c r="I227" s="128">
        <f t="shared" si="18"/>
        <v>0.4</v>
      </c>
      <c r="J227" s="128">
        <f t="shared" si="18"/>
        <v>0.4</v>
      </c>
      <c r="K227" s="128">
        <f t="shared" si="18"/>
        <v>0.4</v>
      </c>
      <c r="L227" s="128">
        <f t="shared" si="18"/>
        <v>0.4</v>
      </c>
      <c r="M227" s="128">
        <f t="shared" si="18"/>
        <v>0.4</v>
      </c>
      <c r="N227" s="128">
        <f t="shared" si="18"/>
        <v>0.4</v>
      </c>
      <c r="O227" s="128">
        <f t="shared" si="18"/>
        <v>0.4</v>
      </c>
      <c r="P227" s="128">
        <f t="shared" si="18"/>
        <v>0.4</v>
      </c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42">
        <v>2</v>
      </c>
      <c r="AH227" s="47"/>
      <c r="AI227" s="48"/>
      <c r="AK227" s="49"/>
    </row>
    <row r="228" spans="1:37" x14ac:dyDescent="0.25">
      <c r="A228" s="103" t="s">
        <v>235</v>
      </c>
      <c r="B228" s="128">
        <f t="shared" si="17"/>
        <v>0</v>
      </c>
      <c r="C228" s="128">
        <v>1.5</v>
      </c>
      <c r="D228" s="128">
        <f t="shared" si="18"/>
        <v>1.5</v>
      </c>
      <c r="E228" s="128">
        <f t="shared" si="18"/>
        <v>1.5</v>
      </c>
      <c r="F228" s="128">
        <f t="shared" si="18"/>
        <v>1.5</v>
      </c>
      <c r="G228" s="128">
        <f t="shared" si="18"/>
        <v>1.5</v>
      </c>
      <c r="H228" s="128">
        <f t="shared" si="18"/>
        <v>1.5</v>
      </c>
      <c r="I228" s="111">
        <f ca="1">SUM(I140,I146,I149:I150,I176,I178:I179,I181,I183,I229:I233,I255,I261,I267,I276,I278,I290,I297,I300:I301,I308,I310,I312,I316:I318,I320:I322,I327,I333:I334,I336:I338,I346,I351)</f>
        <v>123.21900000000009</v>
      </c>
      <c r="J228" s="128">
        <f t="shared" ca="1" si="18"/>
        <v>123.21900000000009</v>
      </c>
      <c r="K228" s="128">
        <f t="shared" ca="1" si="18"/>
        <v>123.21900000000009</v>
      </c>
      <c r="L228" s="128">
        <f t="shared" ca="1" si="18"/>
        <v>123.21900000000009</v>
      </c>
      <c r="M228" s="128">
        <f t="shared" ca="1" si="18"/>
        <v>123.21900000000009</v>
      </c>
      <c r="N228" s="128">
        <f t="shared" ca="1" si="18"/>
        <v>115.17900000000007</v>
      </c>
      <c r="O228" s="128">
        <f t="shared" ca="1" si="18"/>
        <v>115.17900000000007</v>
      </c>
      <c r="P228" s="128">
        <f t="shared" ca="1" si="18"/>
        <v>115.17900000000007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1.5</v>
      </c>
      <c r="AH228" s="47"/>
      <c r="AI228" s="48"/>
      <c r="AK228" s="49"/>
    </row>
    <row r="229" spans="1:37" x14ac:dyDescent="0.25">
      <c r="A229" s="103" t="s">
        <v>236</v>
      </c>
      <c r="B229" s="128">
        <f t="shared" si="17"/>
        <v>0</v>
      </c>
      <c r="C229" s="128">
        <v>0.3</v>
      </c>
      <c r="D229" s="128">
        <f t="shared" si="18"/>
        <v>0.3</v>
      </c>
      <c r="E229" s="128">
        <f t="shared" si="18"/>
        <v>0.3</v>
      </c>
      <c r="F229" s="128">
        <f t="shared" si="18"/>
        <v>0.3</v>
      </c>
      <c r="G229" s="128">
        <f t="shared" si="18"/>
        <v>0.3</v>
      </c>
      <c r="H229" s="128">
        <f t="shared" si="18"/>
        <v>0.3</v>
      </c>
      <c r="I229" s="128">
        <f t="shared" si="18"/>
        <v>0.3</v>
      </c>
      <c r="J229" s="128">
        <f t="shared" si="18"/>
        <v>0.3</v>
      </c>
      <c r="K229" s="128">
        <f t="shared" si="18"/>
        <v>0.3</v>
      </c>
      <c r="L229" s="128">
        <f t="shared" si="18"/>
        <v>0.3</v>
      </c>
      <c r="M229" s="128">
        <f t="shared" si="18"/>
        <v>0.3</v>
      </c>
      <c r="N229" s="128">
        <f t="shared" si="18"/>
        <v>0.3</v>
      </c>
      <c r="O229" s="128">
        <f t="shared" si="18"/>
        <v>0.3</v>
      </c>
      <c r="P229" s="128">
        <f t="shared" si="18"/>
        <v>0.3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</v>
      </c>
      <c r="AH229" s="47"/>
      <c r="AI229" s="48"/>
      <c r="AK229" s="49"/>
    </row>
    <row r="230" spans="1:37" x14ac:dyDescent="0.25">
      <c r="A230" s="103" t="s">
        <v>237</v>
      </c>
      <c r="B230" s="128">
        <f t="shared" si="17"/>
        <v>0</v>
      </c>
      <c r="C230" s="128">
        <v>0.4</v>
      </c>
      <c r="D230" s="128">
        <f t="shared" si="18"/>
        <v>0.4</v>
      </c>
      <c r="E230" s="128">
        <f t="shared" si="18"/>
        <v>0.4</v>
      </c>
      <c r="F230" s="128">
        <f t="shared" si="18"/>
        <v>0.4</v>
      </c>
      <c r="G230" s="128">
        <f t="shared" si="18"/>
        <v>0.4</v>
      </c>
      <c r="H230" s="128">
        <f t="shared" si="18"/>
        <v>0.4</v>
      </c>
      <c r="I230" s="128">
        <f t="shared" si="18"/>
        <v>0.4</v>
      </c>
      <c r="J230" s="128">
        <f t="shared" si="18"/>
        <v>0.4</v>
      </c>
      <c r="K230" s="128">
        <f t="shared" si="18"/>
        <v>0.4</v>
      </c>
      <c r="L230" s="128">
        <f t="shared" si="18"/>
        <v>0.4</v>
      </c>
      <c r="M230" s="128">
        <f t="shared" si="18"/>
        <v>0.4</v>
      </c>
      <c r="N230" s="128">
        <f t="shared" si="18"/>
        <v>0.4</v>
      </c>
      <c r="O230" s="128">
        <f t="shared" si="18"/>
        <v>0.4</v>
      </c>
      <c r="P230" s="128">
        <f t="shared" si="1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ht="15.75" thickBot="1" x14ac:dyDescent="0.3">
      <c r="A231" s="116" t="s">
        <v>238</v>
      </c>
      <c r="B231" s="132">
        <f t="shared" si="17"/>
        <v>0</v>
      </c>
      <c r="C231" s="132">
        <v>0.64</v>
      </c>
      <c r="D231" s="132">
        <f t="shared" si="18"/>
        <v>0.64</v>
      </c>
      <c r="E231" s="132">
        <f t="shared" si="18"/>
        <v>0.64</v>
      </c>
      <c r="F231" s="132">
        <f t="shared" si="18"/>
        <v>0.64</v>
      </c>
      <c r="G231" s="132">
        <f t="shared" si="18"/>
        <v>0.64</v>
      </c>
      <c r="H231" s="132">
        <f t="shared" si="18"/>
        <v>0.64</v>
      </c>
      <c r="I231" s="132">
        <f t="shared" si="18"/>
        <v>0.64</v>
      </c>
      <c r="J231" s="132">
        <f t="shared" si="18"/>
        <v>0.64</v>
      </c>
      <c r="K231" s="132">
        <f t="shared" si="18"/>
        <v>0.64</v>
      </c>
      <c r="L231" s="132">
        <f t="shared" si="18"/>
        <v>0.64</v>
      </c>
      <c r="M231" s="132">
        <f t="shared" si="18"/>
        <v>0.64</v>
      </c>
      <c r="N231" s="132">
        <f t="shared" si="18"/>
        <v>0.64</v>
      </c>
      <c r="O231" s="132">
        <f t="shared" si="18"/>
        <v>0.64</v>
      </c>
      <c r="P231" s="132">
        <f t="shared" si="18"/>
        <v>0.64</v>
      </c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43">
        <v>0.66</v>
      </c>
      <c r="AH231" s="47"/>
      <c r="AI231" s="48"/>
    </row>
    <row r="232" spans="1:37" ht="15.75" thickBot="1" x14ac:dyDescent="0.3">
      <c r="A232" s="144" t="s">
        <v>73</v>
      </c>
      <c r="B232" s="136">
        <f t="shared" ref="B232:AG232" si="19">SUM(B226:B231)</f>
        <v>0</v>
      </c>
      <c r="C232" s="136">
        <f t="shared" si="19"/>
        <v>3.54</v>
      </c>
      <c r="D232" s="136">
        <f t="shared" si="19"/>
        <v>3.54</v>
      </c>
      <c r="E232" s="136">
        <f t="shared" si="19"/>
        <v>3.54</v>
      </c>
      <c r="F232" s="136">
        <f t="shared" si="19"/>
        <v>3.54</v>
      </c>
      <c r="G232" s="136">
        <f t="shared" si="19"/>
        <v>3.54</v>
      </c>
      <c r="H232" s="136">
        <f t="shared" si="19"/>
        <v>3.54</v>
      </c>
      <c r="I232" s="136">
        <f t="shared" ca="1" si="19"/>
        <v>121.23900000000009</v>
      </c>
      <c r="J232" s="136">
        <f t="shared" ca="1" si="19"/>
        <v>121.23900000000009</v>
      </c>
      <c r="K232" s="136">
        <f t="shared" ca="1" si="19"/>
        <v>121.23900000000009</v>
      </c>
      <c r="L232" s="136">
        <f t="shared" ca="1" si="19"/>
        <v>121.23900000000009</v>
      </c>
      <c r="M232" s="136">
        <f t="shared" ca="1" si="19"/>
        <v>125.2590000000001</v>
      </c>
      <c r="N232" s="136">
        <f t="shared" ca="1" si="19"/>
        <v>117.21900000000008</v>
      </c>
      <c r="O232" s="136">
        <f t="shared" ca="1" si="19"/>
        <v>117.21900000000008</v>
      </c>
      <c r="P232" s="136">
        <f t="shared" ca="1" si="19"/>
        <v>117.21900000000008</v>
      </c>
      <c r="Q232" s="136">
        <f t="shared" si="19"/>
        <v>0</v>
      </c>
      <c r="R232" s="136">
        <f t="shared" si="19"/>
        <v>0</v>
      </c>
      <c r="S232" s="136">
        <f t="shared" si="19"/>
        <v>0</v>
      </c>
      <c r="T232" s="136">
        <f t="shared" si="19"/>
        <v>0</v>
      </c>
      <c r="U232" s="136">
        <f t="shared" si="19"/>
        <v>0</v>
      </c>
      <c r="V232" s="136">
        <f t="shared" si="19"/>
        <v>0</v>
      </c>
      <c r="W232" s="136">
        <f t="shared" si="19"/>
        <v>0</v>
      </c>
      <c r="X232" s="136">
        <f t="shared" si="19"/>
        <v>0</v>
      </c>
      <c r="Y232" s="136">
        <f t="shared" si="19"/>
        <v>0</v>
      </c>
      <c r="Z232" s="136">
        <f t="shared" si="19"/>
        <v>0</v>
      </c>
      <c r="AA232" s="136">
        <f t="shared" si="19"/>
        <v>0</v>
      </c>
      <c r="AB232" s="136">
        <f t="shared" si="19"/>
        <v>0</v>
      </c>
      <c r="AC232" s="136">
        <f t="shared" si="19"/>
        <v>0</v>
      </c>
      <c r="AD232" s="136">
        <f t="shared" si="19"/>
        <v>0</v>
      </c>
      <c r="AE232" s="136">
        <f t="shared" si="19"/>
        <v>0</v>
      </c>
      <c r="AF232" s="136">
        <f t="shared" si="19"/>
        <v>0</v>
      </c>
      <c r="AG232" s="145">
        <f t="shared" si="19"/>
        <v>8.56</v>
      </c>
      <c r="AH232" s="47"/>
      <c r="AI232" s="48"/>
    </row>
    <row r="233" spans="1:37" ht="15.75" thickBot="1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139"/>
      <c r="AH233" s="43"/>
    </row>
    <row r="234" spans="1:37" x14ac:dyDescent="0.25">
      <c r="A234" s="146" t="s">
        <v>239</v>
      </c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43"/>
      <c r="AH234" s="47"/>
      <c r="AI234" s="48"/>
    </row>
    <row r="235" spans="1:37" x14ac:dyDescent="0.25">
      <c r="A235" s="149" t="s">
        <v>240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1"/>
      <c r="AG235" s="152"/>
      <c r="AH235" s="47"/>
      <c r="AI235" s="48"/>
    </row>
    <row r="236" spans="1:37" x14ac:dyDescent="0.25">
      <c r="A236" s="153" t="s">
        <v>241</v>
      </c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5"/>
      <c r="AG236" s="152"/>
      <c r="AH236" s="47"/>
      <c r="AI236" s="48"/>
    </row>
    <row r="237" spans="1:37" x14ac:dyDescent="0.25">
      <c r="A237" s="153" t="s">
        <v>242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ht="15.75" thickBot="1" x14ac:dyDescent="0.3">
      <c r="A238" s="156" t="s">
        <v>243</v>
      </c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8"/>
      <c r="AG238" s="152"/>
      <c r="AH238" s="47"/>
      <c r="AI238" s="48"/>
    </row>
    <row r="239" spans="1:37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159" t="s">
        <v>244</v>
      </c>
      <c r="B241" s="160">
        <f>MAX(G89:N89)</f>
        <v>1418.94</v>
      </c>
      <c r="C241" s="161">
        <f>INDEX(G9:N9,1,MATCH(MAX(G89:N89),G89:N89,0))</f>
        <v>0.25</v>
      </c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62" t="str">
        <f ca="1">MID(CELL("filename",C7),FIND("]",CELL("filename",C7))+1,600)</f>
        <v>9</v>
      </c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78" t="s">
        <v>245</v>
      </c>
      <c r="B243" s="178"/>
      <c r="C243" s="43"/>
      <c r="D243" s="162" t="str">
        <f ca="1">"Pie Chart of Daily Peak Demand(Inclusive of Export) of Nepal ("&amp;A4&amp;" "&amp;B4&amp;")"</f>
        <v>Pie Chart of Daily Peak Demand(Inclusive of Export) of Nepal (Nepali Date: 2080/02/9)</v>
      </c>
      <c r="E243" s="43"/>
      <c r="F243" s="43"/>
      <c r="G243" s="162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"Daily Load Curve(Excluding of Export) of Nepal ("&amp;A4&amp;" "&amp;B4&amp;")"</f>
        <v>Daily Load Curve(Excluding of Export) of Nepal (Nepali Date: 2080/02/9)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ht="12.75" customHeight="1" thickBot="1" x14ac:dyDescent="0.3">
      <c r="A244" s="163" t="s">
        <v>7</v>
      </c>
      <c r="B244" s="164"/>
      <c r="C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5.75" thickTop="1" x14ac:dyDescent="0.25">
      <c r="A245" s="163" t="s">
        <v>246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5" t="s">
        <v>247</v>
      </c>
      <c r="T245" s="166">
        <v>0</v>
      </c>
      <c r="U245" s="167">
        <v>4.1666666666666664E-2</v>
      </c>
      <c r="V245" s="168">
        <v>8.3333333333333301E-2</v>
      </c>
      <c r="W245" s="168">
        <v>0.125</v>
      </c>
      <c r="X245" s="168">
        <v>0.16666666666666699</v>
      </c>
      <c r="Y245" s="168">
        <v>0.20833333333333301</v>
      </c>
      <c r="Z245" s="168">
        <v>0.22916666666666666</v>
      </c>
      <c r="AA245" s="168">
        <v>0.25</v>
      </c>
      <c r="AB245" s="168">
        <v>0.27083333333333331</v>
      </c>
      <c r="AC245" s="168">
        <v>0.29166666666666669</v>
      </c>
      <c r="AD245" s="168">
        <v>0.3125</v>
      </c>
      <c r="AE245" s="169">
        <v>0.33333333333333331</v>
      </c>
      <c r="AF245" s="169">
        <v>0.375</v>
      </c>
      <c r="AG245" s="169">
        <v>0.41666666666666702</v>
      </c>
      <c r="AH245" s="169">
        <v>0.45833333333333298</v>
      </c>
      <c r="AI245" s="169">
        <v>0.5</v>
      </c>
      <c r="AJ245" s="169">
        <v>0.54166666666666696</v>
      </c>
      <c r="AK245" s="169">
        <v>0.58333333333333304</v>
      </c>
      <c r="AL245" s="169">
        <v>0.625</v>
      </c>
      <c r="AM245" s="169">
        <v>0.66666666666666696</v>
      </c>
      <c r="AN245" s="169">
        <v>0.70833333333333304</v>
      </c>
      <c r="AO245" s="169">
        <v>0.72916666666666663</v>
      </c>
      <c r="AP245" s="169">
        <v>0.75</v>
      </c>
      <c r="AQ245" s="169">
        <v>0.77083333333333337</v>
      </c>
      <c r="AR245" s="169">
        <v>0.79166666666666663</v>
      </c>
      <c r="AS245" s="169">
        <v>0.8125</v>
      </c>
      <c r="AT245" s="168">
        <v>0.83333333333333337</v>
      </c>
      <c r="AU245" s="168">
        <v>0.85416666666666663</v>
      </c>
      <c r="AV245" s="168">
        <v>0.875</v>
      </c>
      <c r="AW245" s="168">
        <v>0.91666666666666696</v>
      </c>
      <c r="AX245" s="168">
        <v>0.95833333333333304</v>
      </c>
    </row>
    <row r="246" spans="1:50" x14ac:dyDescent="0.25">
      <c r="A246" s="163" t="s">
        <v>248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 t="s">
        <v>249</v>
      </c>
      <c r="T246" s="170">
        <f t="shared" ref="T246:AX246" si="20">B89</f>
        <v>1586.34</v>
      </c>
      <c r="U246" s="170">
        <f t="shared" si="20"/>
        <v>1307.6400000000001</v>
      </c>
      <c r="V246" s="170">
        <f t="shared" si="20"/>
        <v>1354.04</v>
      </c>
      <c r="W246" s="170">
        <f t="shared" si="20"/>
        <v>1181.9399999999998</v>
      </c>
      <c r="X246" s="170">
        <f t="shared" si="20"/>
        <v>1293.1399999999999</v>
      </c>
      <c r="Y246" s="170">
        <f t="shared" si="20"/>
        <v>1273.1400000000001</v>
      </c>
      <c r="Z246" s="170">
        <f t="shared" si="20"/>
        <v>1304.08</v>
      </c>
      <c r="AA246" s="170">
        <f t="shared" si="20"/>
        <v>1418.94</v>
      </c>
      <c r="AB246" s="170">
        <f t="shared" si="20"/>
        <v>1305.94</v>
      </c>
      <c r="AC246" s="170">
        <f t="shared" si="20"/>
        <v>1304.1400000000001</v>
      </c>
      <c r="AD246" s="170">
        <f t="shared" si="20"/>
        <v>1400.74</v>
      </c>
      <c r="AE246" s="170">
        <f t="shared" si="20"/>
        <v>1374.44</v>
      </c>
      <c r="AF246" s="170">
        <f t="shared" si="20"/>
        <v>1359.94</v>
      </c>
      <c r="AG246" s="170">
        <f t="shared" si="20"/>
        <v>1386.3400000000001</v>
      </c>
      <c r="AH246" s="170">
        <f t="shared" si="20"/>
        <v>1381.5400000000002</v>
      </c>
      <c r="AI246" s="170">
        <f t="shared" si="20"/>
        <v>1342.3400000000001</v>
      </c>
      <c r="AJ246" s="170">
        <f t="shared" si="20"/>
        <v>1292.3400000000001</v>
      </c>
      <c r="AK246" s="170">
        <f t="shared" si="20"/>
        <v>1361.94</v>
      </c>
      <c r="AL246" s="170">
        <f t="shared" si="20"/>
        <v>1410.49</v>
      </c>
      <c r="AM246" s="170">
        <f t="shared" si="20"/>
        <v>1442.49</v>
      </c>
      <c r="AN246" s="170">
        <f t="shared" si="20"/>
        <v>1367.64</v>
      </c>
      <c r="AO246" s="170">
        <f t="shared" si="20"/>
        <v>1383.64</v>
      </c>
      <c r="AP246" s="170">
        <f t="shared" si="20"/>
        <v>1390.64</v>
      </c>
      <c r="AQ246" s="170">
        <f t="shared" si="20"/>
        <v>1426.94</v>
      </c>
      <c r="AR246" s="170">
        <f t="shared" si="20"/>
        <v>1491.7400000000002</v>
      </c>
      <c r="AS246" s="170">
        <f t="shared" si="20"/>
        <v>1575.8400000000001</v>
      </c>
      <c r="AT246" s="170">
        <f t="shared" si="20"/>
        <v>1497.34</v>
      </c>
      <c r="AU246" s="170">
        <f t="shared" si="20"/>
        <v>1491.3399999999997</v>
      </c>
      <c r="AV246" s="170">
        <f t="shared" si="20"/>
        <v>1349.1399999999999</v>
      </c>
      <c r="AW246" s="170">
        <f t="shared" si="20"/>
        <v>1335.6399999999999</v>
      </c>
      <c r="AX246" s="170">
        <f t="shared" si="20"/>
        <v>1337.1399999999999</v>
      </c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A248" s="163" t="s">
        <v>251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252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253</v>
      </c>
      <c r="B250" s="17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A267" s="172" t="s">
        <v>239</v>
      </c>
      <c r="B267" s="173">
        <f t="shared" ref="B267:AE267" si="21">C231</f>
        <v>0.64</v>
      </c>
      <c r="C267" s="173">
        <f t="shared" si="21"/>
        <v>0.64</v>
      </c>
      <c r="D267" s="173">
        <f t="shared" si="21"/>
        <v>0.64</v>
      </c>
      <c r="E267" s="173">
        <f t="shared" si="21"/>
        <v>0.64</v>
      </c>
      <c r="F267" s="173">
        <f t="shared" si="21"/>
        <v>0.64</v>
      </c>
      <c r="G267" s="173">
        <f t="shared" si="21"/>
        <v>0.64</v>
      </c>
      <c r="H267" s="173">
        <f t="shared" si="21"/>
        <v>0.64</v>
      </c>
      <c r="I267" s="173">
        <f t="shared" si="21"/>
        <v>0.64</v>
      </c>
      <c r="J267" s="173">
        <f t="shared" si="21"/>
        <v>0.64</v>
      </c>
      <c r="K267" s="173">
        <f t="shared" si="21"/>
        <v>0.64</v>
      </c>
      <c r="L267" s="173">
        <f t="shared" si="21"/>
        <v>0.64</v>
      </c>
      <c r="M267" s="173">
        <f t="shared" si="21"/>
        <v>0.64</v>
      </c>
      <c r="N267" s="173">
        <f t="shared" si="21"/>
        <v>0.64</v>
      </c>
      <c r="O267" s="173">
        <f t="shared" si="21"/>
        <v>0.64</v>
      </c>
      <c r="P267" s="173">
        <f t="shared" si="21"/>
        <v>0</v>
      </c>
      <c r="Q267" s="173">
        <f t="shared" si="21"/>
        <v>0</v>
      </c>
      <c r="R267" s="173">
        <f t="shared" si="21"/>
        <v>0</v>
      </c>
      <c r="S267" s="173">
        <f t="shared" si="21"/>
        <v>0</v>
      </c>
      <c r="T267" s="173">
        <f t="shared" si="21"/>
        <v>0</v>
      </c>
      <c r="U267" s="173">
        <f t="shared" si="21"/>
        <v>0</v>
      </c>
      <c r="V267" s="173">
        <f t="shared" si="21"/>
        <v>0</v>
      </c>
      <c r="W267" s="173">
        <f t="shared" si="21"/>
        <v>0</v>
      </c>
      <c r="X267" s="173">
        <f t="shared" si="21"/>
        <v>0</v>
      </c>
      <c r="Y267" s="173">
        <f t="shared" si="21"/>
        <v>0</v>
      </c>
      <c r="Z267" s="173">
        <f t="shared" si="21"/>
        <v>0</v>
      </c>
      <c r="AA267" s="173">
        <f t="shared" si="21"/>
        <v>0</v>
      </c>
      <c r="AB267" s="173">
        <f t="shared" si="21"/>
        <v>0</v>
      </c>
      <c r="AC267" s="173">
        <f t="shared" si="21"/>
        <v>0</v>
      </c>
      <c r="AD267" s="173">
        <f t="shared" si="21"/>
        <v>0</v>
      </c>
      <c r="AE267" s="173">
        <f t="shared" si="21"/>
        <v>0</v>
      </c>
      <c r="AF267" s="173">
        <f>B231</f>
        <v>0</v>
      </c>
      <c r="AG267" s="43"/>
      <c r="AH267" s="43"/>
    </row>
    <row r="268" spans="1:34" x14ac:dyDescent="0.25">
      <c r="A268" s="174" t="str">
        <f>A235</f>
        <v>KGA</v>
      </c>
      <c r="B268" s="174" t="str">
        <f t="shared" ref="B268:AF268" si="22">IF(B235&lt;100,"",B235-520)</f>
        <v/>
      </c>
      <c r="C268" s="174" t="str">
        <f t="shared" si="22"/>
        <v/>
      </c>
      <c r="D268" s="174" t="str">
        <f t="shared" si="22"/>
        <v/>
      </c>
      <c r="E268" s="174" t="str">
        <f t="shared" si="22"/>
        <v/>
      </c>
      <c r="F268" s="174" t="str">
        <f t="shared" si="22"/>
        <v/>
      </c>
      <c r="G268" s="174" t="str">
        <f t="shared" si="22"/>
        <v/>
      </c>
      <c r="H268" s="174" t="str">
        <f t="shared" si="22"/>
        <v/>
      </c>
      <c r="I268" s="174" t="str">
        <f t="shared" si="22"/>
        <v/>
      </c>
      <c r="J268" s="174" t="str">
        <f t="shared" si="22"/>
        <v/>
      </c>
      <c r="K268" s="174" t="str">
        <f t="shared" si="22"/>
        <v/>
      </c>
      <c r="L268" s="174" t="str">
        <f t="shared" si="22"/>
        <v/>
      </c>
      <c r="M268" s="174" t="str">
        <f t="shared" si="22"/>
        <v/>
      </c>
      <c r="N268" s="174" t="str">
        <f t="shared" si="22"/>
        <v/>
      </c>
      <c r="O268" s="174" t="str">
        <f t="shared" si="22"/>
        <v/>
      </c>
      <c r="P268" s="174" t="str">
        <f t="shared" si="22"/>
        <v/>
      </c>
      <c r="Q268" s="174" t="str">
        <f t="shared" si="22"/>
        <v/>
      </c>
      <c r="R268" s="174" t="str">
        <f t="shared" si="22"/>
        <v/>
      </c>
      <c r="S268" s="174" t="str">
        <f t="shared" si="22"/>
        <v/>
      </c>
      <c r="T268" s="174" t="str">
        <f t="shared" si="22"/>
        <v/>
      </c>
      <c r="U268" s="174" t="str">
        <f t="shared" si="22"/>
        <v/>
      </c>
      <c r="V268" s="174" t="str">
        <f t="shared" si="22"/>
        <v/>
      </c>
      <c r="W268" s="174" t="str">
        <f t="shared" si="22"/>
        <v/>
      </c>
      <c r="X268" s="174" t="str">
        <f t="shared" si="22"/>
        <v/>
      </c>
      <c r="Y268" s="174" t="str">
        <f t="shared" si="22"/>
        <v/>
      </c>
      <c r="Z268" s="174" t="str">
        <f t="shared" si="22"/>
        <v/>
      </c>
      <c r="AA268" s="174" t="str">
        <f t="shared" si="22"/>
        <v/>
      </c>
      <c r="AB268" s="174" t="str">
        <f t="shared" si="22"/>
        <v/>
      </c>
      <c r="AC268" s="174" t="str">
        <f t="shared" si="22"/>
        <v/>
      </c>
      <c r="AD268" s="174" t="str">
        <f t="shared" si="22"/>
        <v/>
      </c>
      <c r="AE268" s="174" t="str">
        <f t="shared" si="22"/>
        <v/>
      </c>
      <c r="AF268" s="174" t="str">
        <f t="shared" si="22"/>
        <v/>
      </c>
      <c r="AG268" s="43"/>
      <c r="AH268" s="43"/>
    </row>
    <row r="269" spans="1:34" x14ac:dyDescent="0.25">
      <c r="A269" s="174" t="str">
        <f>A236</f>
        <v>MMRS</v>
      </c>
      <c r="B269" s="174" t="str">
        <f t="shared" ref="B269:AF269" si="23">IF(B236&lt;100,"",B236-620)</f>
        <v/>
      </c>
      <c r="C269" s="174" t="str">
        <f t="shared" si="23"/>
        <v/>
      </c>
      <c r="D269" s="174" t="str">
        <f t="shared" si="23"/>
        <v/>
      </c>
      <c r="E269" s="174" t="str">
        <f t="shared" si="23"/>
        <v/>
      </c>
      <c r="F269" s="174" t="str">
        <f t="shared" si="23"/>
        <v/>
      </c>
      <c r="G269" s="174" t="str">
        <f t="shared" si="23"/>
        <v/>
      </c>
      <c r="H269" s="174" t="str">
        <f t="shared" si="23"/>
        <v/>
      </c>
      <c r="I269" s="174" t="str">
        <f t="shared" si="23"/>
        <v/>
      </c>
      <c r="J269" s="174" t="str">
        <f t="shared" si="23"/>
        <v/>
      </c>
      <c r="K269" s="174" t="str">
        <f t="shared" si="23"/>
        <v/>
      </c>
      <c r="L269" s="174" t="str">
        <f t="shared" si="23"/>
        <v/>
      </c>
      <c r="M269" s="174" t="str">
        <f t="shared" si="23"/>
        <v/>
      </c>
      <c r="N269" s="174" t="str">
        <f t="shared" si="23"/>
        <v/>
      </c>
      <c r="O269" s="174" t="str">
        <f t="shared" si="23"/>
        <v/>
      </c>
      <c r="P269" s="174" t="str">
        <f t="shared" si="23"/>
        <v/>
      </c>
      <c r="Q269" s="174" t="str">
        <f t="shared" si="23"/>
        <v/>
      </c>
      <c r="R269" s="174" t="str">
        <f t="shared" si="23"/>
        <v/>
      </c>
      <c r="S269" s="174" t="str">
        <f t="shared" si="23"/>
        <v/>
      </c>
      <c r="T269" s="174" t="str">
        <f t="shared" si="23"/>
        <v/>
      </c>
      <c r="U269" s="174" t="str">
        <f t="shared" si="23"/>
        <v/>
      </c>
      <c r="V269" s="174" t="str">
        <f t="shared" si="23"/>
        <v/>
      </c>
      <c r="W269" s="174" t="str">
        <f t="shared" si="23"/>
        <v/>
      </c>
      <c r="X269" s="174" t="str">
        <f t="shared" si="23"/>
        <v/>
      </c>
      <c r="Y269" s="174" t="str">
        <f t="shared" si="23"/>
        <v/>
      </c>
      <c r="Z269" s="174" t="str">
        <f t="shared" si="23"/>
        <v/>
      </c>
      <c r="AA269" s="174" t="str">
        <f t="shared" si="23"/>
        <v/>
      </c>
      <c r="AB269" s="174" t="str">
        <f t="shared" si="23"/>
        <v/>
      </c>
      <c r="AC269" s="174" t="str">
        <f t="shared" si="23"/>
        <v/>
      </c>
      <c r="AD269" s="174" t="str">
        <f t="shared" si="23"/>
        <v/>
      </c>
      <c r="AE269" s="174" t="str">
        <f t="shared" si="23"/>
        <v/>
      </c>
      <c r="AF269" s="174" t="str">
        <f t="shared" si="23"/>
        <v/>
      </c>
      <c r="AG269" s="43"/>
      <c r="AH269" s="43"/>
    </row>
    <row r="270" spans="1:34" x14ac:dyDescent="0.25">
      <c r="A270" s="174" t="str">
        <f>A237</f>
        <v>MRS</v>
      </c>
      <c r="B270" s="174" t="str">
        <f t="shared" ref="B270:AF270" si="24">IF(B237&lt;100,"",B237-330)</f>
        <v/>
      </c>
      <c r="C270" s="174" t="str">
        <f t="shared" si="24"/>
        <v/>
      </c>
      <c r="D270" s="174" t="str">
        <f t="shared" si="24"/>
        <v/>
      </c>
      <c r="E270" s="174" t="str">
        <f t="shared" si="24"/>
        <v/>
      </c>
      <c r="F270" s="174" t="str">
        <f t="shared" si="24"/>
        <v/>
      </c>
      <c r="G270" s="174" t="str">
        <f t="shared" si="24"/>
        <v/>
      </c>
      <c r="H270" s="174" t="str">
        <f t="shared" si="24"/>
        <v/>
      </c>
      <c r="I270" s="174" t="str">
        <f t="shared" si="24"/>
        <v/>
      </c>
      <c r="J270" s="174" t="str">
        <f t="shared" si="24"/>
        <v/>
      </c>
      <c r="K270" s="174" t="str">
        <f t="shared" si="24"/>
        <v/>
      </c>
      <c r="L270" s="174" t="str">
        <f t="shared" si="24"/>
        <v/>
      </c>
      <c r="M270" s="174" t="str">
        <f t="shared" si="24"/>
        <v/>
      </c>
      <c r="N270" s="174" t="str">
        <f t="shared" si="24"/>
        <v/>
      </c>
      <c r="O270" s="174" t="str">
        <f t="shared" si="24"/>
        <v/>
      </c>
      <c r="P270" s="174" t="str">
        <f t="shared" si="24"/>
        <v/>
      </c>
      <c r="Q270" s="174" t="str">
        <f t="shared" si="24"/>
        <v/>
      </c>
      <c r="R270" s="174" t="str">
        <f t="shared" si="24"/>
        <v/>
      </c>
      <c r="S270" s="174" t="str">
        <f t="shared" si="24"/>
        <v/>
      </c>
      <c r="T270" s="174" t="str">
        <f t="shared" si="24"/>
        <v/>
      </c>
      <c r="U270" s="174" t="str">
        <f t="shared" si="24"/>
        <v/>
      </c>
      <c r="V270" s="174" t="str">
        <f t="shared" si="24"/>
        <v/>
      </c>
      <c r="W270" s="174" t="str">
        <f t="shared" si="24"/>
        <v/>
      </c>
      <c r="X270" s="174" t="str">
        <f t="shared" si="24"/>
        <v/>
      </c>
      <c r="Y270" s="174" t="str">
        <f t="shared" si="24"/>
        <v/>
      </c>
      <c r="Z270" s="174" t="str">
        <f t="shared" si="24"/>
        <v/>
      </c>
      <c r="AA270" s="174" t="str">
        <f t="shared" si="24"/>
        <v/>
      </c>
      <c r="AB270" s="174" t="str">
        <f t="shared" si="24"/>
        <v/>
      </c>
      <c r="AC270" s="174" t="str">
        <f t="shared" si="24"/>
        <v/>
      </c>
      <c r="AD270" s="174" t="str">
        <f t="shared" si="24"/>
        <v/>
      </c>
      <c r="AE270" s="174" t="str">
        <f t="shared" si="24"/>
        <v/>
      </c>
      <c r="AF270" s="174" t="str">
        <f t="shared" si="24"/>
        <v/>
      </c>
      <c r="AG270" s="43"/>
      <c r="AH270" s="43"/>
    </row>
    <row r="271" spans="1:34" x14ac:dyDescent="0.25">
      <c r="A271" s="174" t="str">
        <f>A238</f>
        <v>KL 1</v>
      </c>
      <c r="B271" s="174" t="str">
        <f t="shared" ref="B271:AF271" si="25">IF(B238&lt;100,"",B238-1500)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0620" priority="339">
      <formula>B$9&gt;=20/24</formula>
    </cfRule>
    <cfRule type="expression" dxfId="10619" priority="340">
      <formula>AND(B$9&gt;=14/24,B$9&lt;20/24)</formula>
    </cfRule>
    <cfRule type="expression" dxfId="10618" priority="341">
      <formula>AND(B$9&gt;=8/24,B$9&lt;14/24)</formula>
    </cfRule>
    <cfRule type="expression" dxfId="10617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0616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0615" priority="336">
      <formula>$AH12=0</formula>
    </cfRule>
  </conditionalFormatting>
  <conditionalFormatting sqref="A114">
    <cfRule type="expression" dxfId="10614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0613" priority="333">
      <formula>$AH45=0</formula>
    </cfRule>
  </conditionalFormatting>
  <conditionalFormatting sqref="A98">
    <cfRule type="expression" dxfId="10612" priority="332">
      <formula>$AH98=0</formula>
    </cfRule>
  </conditionalFormatting>
  <conditionalFormatting sqref="A18">
    <cfRule type="expression" dxfId="10611" priority="331">
      <formula>$AH18=0</formula>
    </cfRule>
  </conditionalFormatting>
  <conditionalFormatting sqref="A196:A201">
    <cfRule type="expression" dxfId="10610" priority="330">
      <formula>$AH196=0</formula>
    </cfRule>
  </conditionalFormatting>
  <conditionalFormatting sqref="A190:A195">
    <cfRule type="expression" dxfId="10609" priority="329">
      <formula>$AH190=0</formula>
    </cfRule>
  </conditionalFormatting>
  <conditionalFormatting sqref="A58">
    <cfRule type="expression" dxfId="10608" priority="328">
      <formula>$AH58=0</formula>
    </cfRule>
  </conditionalFormatting>
  <conditionalFormatting sqref="A94">
    <cfRule type="expression" dxfId="10607" priority="327">
      <formula>$AH94=0</formula>
    </cfRule>
  </conditionalFormatting>
  <conditionalFormatting sqref="AD99:AF99 E99:X99">
    <cfRule type="expression" dxfId="10606" priority="323">
      <formula>E$9&gt;=20/24</formula>
    </cfRule>
    <cfRule type="expression" dxfId="10605" priority="324">
      <formula>AND(E$9&gt;=14/24,E$9&lt;20/24)</formula>
    </cfRule>
    <cfRule type="expression" dxfId="10604" priority="325">
      <formula>AND(E$9&gt;=8/24,E$9&lt;14/24)</formula>
    </cfRule>
    <cfRule type="expression" dxfId="10603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602" priority="345">
      <formula>C$9&gt;=20/24</formula>
    </cfRule>
    <cfRule type="expression" dxfId="10601" priority="346">
      <formula>AND(C$9&gt;=14/24,C$9&lt;20/24)</formula>
    </cfRule>
    <cfRule type="expression" dxfId="10600" priority="347">
      <formula>AND(C$9&gt;=8/24,C$9&lt;14/24)</formula>
    </cfRule>
    <cfRule type="expression" dxfId="10599" priority="348">
      <formula>C$9&lt;8/24</formula>
    </cfRule>
  </conditionalFormatting>
  <conditionalFormatting sqref="A233">
    <cfRule type="expression" dxfId="10598" priority="349">
      <formula>$AH233=0</formula>
    </cfRule>
  </conditionalFormatting>
  <conditionalFormatting sqref="AG245">
    <cfRule type="expression" dxfId="10597" priority="350">
      <formula>B$9&gt;=20/24</formula>
    </cfRule>
    <cfRule type="expression" dxfId="10596" priority="351">
      <formula>AND(B$9&gt;=14/24,B$9&lt;20/24)</formula>
    </cfRule>
    <cfRule type="expression" dxfId="10595" priority="352">
      <formula>AND(B$9&gt;=8/24,B$9&lt;14/24)</formula>
    </cfRule>
    <cfRule type="expression" dxfId="10594" priority="353">
      <formula>B$9&lt;8/24</formula>
    </cfRule>
  </conditionalFormatting>
  <conditionalFormatting sqref="S8">
    <cfRule type="expression" dxfId="10593" priority="318">
      <formula>U$9&gt;=20/24</formula>
    </cfRule>
    <cfRule type="expression" dxfId="10592" priority="319">
      <formula>AND(U$9&gt;=14/24,U$9&lt;20/24)</formula>
    </cfRule>
    <cfRule type="expression" dxfId="10591" priority="320">
      <formula>AND(U$9&gt;=8/24,U$9&lt;14/24)</formula>
    </cfRule>
    <cfRule type="expression" dxfId="10590" priority="321">
      <formula>U$9&lt;8/24</formula>
    </cfRule>
  </conditionalFormatting>
  <conditionalFormatting sqref="AB8">
    <cfRule type="expression" dxfId="10589" priority="314">
      <formula>AD$9&gt;=20/24</formula>
    </cfRule>
    <cfRule type="expression" dxfId="10588" priority="315">
      <formula>AND(AD$9&gt;=14/24,AD$9&lt;20/24)</formula>
    </cfRule>
    <cfRule type="expression" dxfId="10587" priority="316">
      <formula>AND(AD$9&gt;=8/24,AD$9&lt;14/24)</formula>
    </cfRule>
    <cfRule type="expression" dxfId="10586" priority="317">
      <formula>AD$9&lt;8/24</formula>
    </cfRule>
  </conditionalFormatting>
  <conditionalFormatting sqref="AH245:AX245">
    <cfRule type="expression" dxfId="10585" priority="354">
      <formula>AG$9&gt;=20/24</formula>
    </cfRule>
    <cfRule type="expression" dxfId="10584" priority="355">
      <formula>AND(AG$9&gt;=14/24,AG$9&lt;20/24)</formula>
    </cfRule>
    <cfRule type="expression" dxfId="10583" priority="356">
      <formula>AND(AG$9&gt;=8/24,AG$9&lt;14/24)</formula>
    </cfRule>
    <cfRule type="expression" dxfId="10582" priority="357">
      <formula>AG$9&lt;8/24</formula>
    </cfRule>
  </conditionalFormatting>
  <conditionalFormatting sqref="T245">
    <cfRule type="expression" dxfId="10581" priority="358">
      <formula>AX$9&gt;=20/24</formula>
    </cfRule>
    <cfRule type="expression" dxfId="10580" priority="359">
      <formula>AND(AX$9&gt;=14/24,AX$9&lt;20/24)</formula>
    </cfRule>
    <cfRule type="expression" dxfId="10579" priority="360">
      <formula>AND(AX$9&gt;=8/24,AX$9&lt;14/24)</formula>
    </cfRule>
    <cfRule type="expression" dxfId="10578" priority="361">
      <formula>AX$9&lt;8/24</formula>
    </cfRule>
  </conditionalFormatting>
  <conditionalFormatting sqref="A115:A116">
    <cfRule type="expression" dxfId="10577" priority="313">
      <formula>$AH115=0</formula>
    </cfRule>
  </conditionalFormatting>
  <conditionalFormatting sqref="N54:Q58 R56:X58 Y57:Z58 AB54:AF56 E71:AF71">
    <cfRule type="expression" dxfId="10576" priority="309">
      <formula>E$9&gt;=20/24</formula>
    </cfRule>
    <cfRule type="expression" dxfId="10575" priority="310">
      <formula>AND(E$9&gt;=14/24,E$9&lt;20/24)</formula>
    </cfRule>
    <cfRule type="expression" dxfId="10574" priority="311">
      <formula>AND(E$9&gt;=8/24,E$9&lt;14/24)</formula>
    </cfRule>
    <cfRule type="expression" dxfId="10573" priority="312">
      <formula>E$9&lt;8/24</formula>
    </cfRule>
  </conditionalFormatting>
  <conditionalFormatting sqref="N53:Q53 AB53:AF53">
    <cfRule type="expression" dxfId="10572" priority="305">
      <formula>N$9&gt;=20/24</formula>
    </cfRule>
    <cfRule type="expression" dxfId="10571" priority="306">
      <formula>AND(N$9&gt;=14/24,N$9&lt;20/24)</formula>
    </cfRule>
    <cfRule type="expression" dxfId="10570" priority="307">
      <formula>AND(N$9&gt;=8/24,N$9&lt;14/24)</formula>
    </cfRule>
    <cfRule type="expression" dxfId="10569" priority="308">
      <formula>N$9&lt;8/24</formula>
    </cfRule>
  </conditionalFormatting>
  <conditionalFormatting sqref="N53:Q58 R56:X58 Y57:Z58 AB53:AF56">
    <cfRule type="expression" dxfId="10568" priority="304">
      <formula>N53&gt;$AG53</formula>
    </cfRule>
  </conditionalFormatting>
  <conditionalFormatting sqref="D86:AF86 X96:AF96 AD100:AF106 M100:X106 E72:AB73 AA74:AB74 X47:AF47 Z67:AF69 AC72:AF74">
    <cfRule type="expression" dxfId="10567" priority="300">
      <formula>D$9&gt;=20/24</formula>
    </cfRule>
    <cfRule type="expression" dxfId="10566" priority="301">
      <formula>AND(D$9&gt;=14/24,D$9&lt;20/24)</formula>
    </cfRule>
    <cfRule type="expression" dxfId="10565" priority="302">
      <formula>AND(D$9&gt;=8/24,D$9&lt;14/24)</formula>
    </cfRule>
    <cfRule type="expression" dxfId="10564" priority="303">
      <formula>D$9&lt;8/24</formula>
    </cfRule>
  </conditionalFormatting>
  <conditionalFormatting sqref="X47:AF47 Z67:AF69">
    <cfRule type="expression" dxfId="10563" priority="299">
      <formula>X47&gt;$AG47</formula>
    </cfRule>
  </conditionalFormatting>
  <conditionalFormatting sqref="R53:AA55 AA56:AA58 Y56:Z56 AB57:AF58">
    <cfRule type="expression" dxfId="10562" priority="295">
      <formula>R$9&gt;=20/24</formula>
    </cfRule>
    <cfRule type="expression" dxfId="10561" priority="296">
      <formula>AND(R$9&gt;=14/24,R$9&lt;20/24)</formula>
    </cfRule>
    <cfRule type="expression" dxfId="10560" priority="297">
      <formula>AND(R$9&gt;=8/24,R$9&lt;14/24)</formula>
    </cfRule>
    <cfRule type="expression" dxfId="10559" priority="298">
      <formula>R$9&lt;8/24</formula>
    </cfRule>
  </conditionalFormatting>
  <conditionalFormatting sqref="R53:AA55 AA56:AA58 Y56:Z56 AB57:AF58">
    <cfRule type="expression" dxfId="10558" priority="294">
      <formula>R53&gt;$AG53</formula>
    </cfRule>
  </conditionalFormatting>
  <conditionalFormatting sqref="C97:AF97 D88:AF88">
    <cfRule type="expression" dxfId="10557" priority="290">
      <formula>C$9&gt;=20/24</formula>
    </cfRule>
    <cfRule type="expression" dxfId="10556" priority="291">
      <formula>AND(C$9&gt;=14/24,C$9&lt;20/24)</formula>
    </cfRule>
    <cfRule type="expression" dxfId="10555" priority="292">
      <formula>AND(C$9&gt;=8/24,C$9&lt;14/24)</formula>
    </cfRule>
    <cfRule type="expression" dxfId="10554" priority="293">
      <formula>C$9&lt;8/24</formula>
    </cfRule>
  </conditionalFormatting>
  <conditionalFormatting sqref="T47:W47">
    <cfRule type="expression" dxfId="10553" priority="286">
      <formula>T$9&gt;=20/24</formula>
    </cfRule>
    <cfRule type="expression" dxfId="10552" priority="287">
      <formula>AND(T$9&gt;=14/24,T$9&lt;20/24)</formula>
    </cfRule>
    <cfRule type="expression" dxfId="10551" priority="288">
      <formula>AND(T$9&gt;=8/24,T$9&lt;14/24)</formula>
    </cfRule>
    <cfRule type="expression" dxfId="10550" priority="289">
      <formula>T$9&lt;8/24</formula>
    </cfRule>
  </conditionalFormatting>
  <conditionalFormatting sqref="T47:W47">
    <cfRule type="expression" dxfId="10549" priority="285">
      <formula>T47&gt;$AG47</formula>
    </cfRule>
  </conditionalFormatting>
  <conditionalFormatting sqref="E54:M55">
    <cfRule type="expression" dxfId="10548" priority="281">
      <formula>E$9&gt;=20/24</formula>
    </cfRule>
    <cfRule type="expression" dxfId="10547" priority="282">
      <formula>AND(E$9&gt;=14/24,E$9&lt;20/24)</formula>
    </cfRule>
    <cfRule type="expression" dxfId="10546" priority="283">
      <formula>AND(E$9&gt;=8/24,E$9&lt;14/24)</formula>
    </cfRule>
    <cfRule type="expression" dxfId="10545" priority="284">
      <formula>E$9&lt;8/24</formula>
    </cfRule>
  </conditionalFormatting>
  <conditionalFormatting sqref="E53:M53">
    <cfRule type="expression" dxfId="10544" priority="277">
      <formula>E$9&gt;=20/24</formula>
    </cfRule>
    <cfRule type="expression" dxfId="10543" priority="278">
      <formula>AND(E$9&gt;=14/24,E$9&lt;20/24)</formula>
    </cfRule>
    <cfRule type="expression" dxfId="10542" priority="279">
      <formula>AND(E$9&gt;=8/24,E$9&lt;14/24)</formula>
    </cfRule>
    <cfRule type="expression" dxfId="10541" priority="280">
      <formula>E$9&lt;8/24</formula>
    </cfRule>
  </conditionalFormatting>
  <conditionalFormatting sqref="E53:M55">
    <cfRule type="expression" dxfId="10540" priority="276">
      <formula>E53&gt;$AG53</formula>
    </cfRule>
  </conditionalFormatting>
  <conditionalFormatting sqref="AG70 AG87 G100:L106 R67:Y69">
    <cfRule type="expression" dxfId="10539" priority="272">
      <formula>G$9&gt;=20/24</formula>
    </cfRule>
    <cfRule type="expression" dxfId="10538" priority="273">
      <formula>AND(G$9&gt;=14/24,G$9&lt;20/24)</formula>
    </cfRule>
    <cfRule type="expression" dxfId="10537" priority="274">
      <formula>AND(G$9&gt;=8/24,G$9&lt;14/24)</formula>
    </cfRule>
    <cfRule type="expression" dxfId="10536" priority="275">
      <formula>G$9&lt;8/24</formula>
    </cfRule>
  </conditionalFormatting>
  <conditionalFormatting sqref="AG48 AG66 AG70 R67:Y69">
    <cfRule type="expression" dxfId="10535" priority="271">
      <formula>R48&gt;$AG48</formula>
    </cfRule>
  </conditionalFormatting>
  <conditionalFormatting sqref="A43">
    <cfRule type="expression" dxfId="10534" priority="265">
      <formula>$AH43=0</formula>
    </cfRule>
  </conditionalFormatting>
  <conditionalFormatting sqref="X91:AF95">
    <cfRule type="expression" dxfId="10533" priority="261">
      <formula>X$9&gt;=20/24</formula>
    </cfRule>
    <cfRule type="expression" dxfId="10532" priority="262">
      <formula>AND(X$9&gt;=14/24,X$9&lt;20/24)</formula>
    </cfRule>
    <cfRule type="expression" dxfId="10531" priority="263">
      <formula>AND(X$9&gt;=8/24,X$9&lt;14/24)</formula>
    </cfRule>
    <cfRule type="expression" dxfId="10530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P49 G50:P51 Q49:AF51">
    <cfRule type="expression" dxfId="10529" priority="257">
      <formula>E$9&gt;=20/24</formula>
    </cfRule>
    <cfRule type="expression" dxfId="10528" priority="258">
      <formula>AND(E$9&gt;=14/24,E$9&lt;20/24)</formula>
    </cfRule>
    <cfRule type="expression" dxfId="10527" priority="259">
      <formula>AND(E$9&gt;=8/24,E$9&lt;14/24)</formula>
    </cfRule>
    <cfRule type="expression" dxfId="10526" priority="260">
      <formula>E$9&lt;8/24</formula>
    </cfRule>
  </conditionalFormatting>
  <conditionalFormatting sqref="E49:P49 G50:P51 Q49:AF51">
    <cfRule type="expression" dxfId="10525" priority="256">
      <formula>E49&gt;$AG49</formula>
    </cfRule>
  </conditionalFormatting>
  <conditionalFormatting sqref="AG52">
    <cfRule type="expression" dxfId="10524" priority="252">
      <formula>AG$9&gt;=20/24</formula>
    </cfRule>
    <cfRule type="expression" dxfId="10523" priority="253">
      <formula>AND(AG$9&gt;=14/24,AG$9&lt;20/24)</formula>
    </cfRule>
    <cfRule type="expression" dxfId="10522" priority="254">
      <formula>AND(AG$9&gt;=8/24,AG$9&lt;14/24)</formula>
    </cfRule>
    <cfRule type="expression" dxfId="10521" priority="255">
      <formula>AG$9&lt;8/24</formula>
    </cfRule>
  </conditionalFormatting>
  <conditionalFormatting sqref="AG52">
    <cfRule type="expression" dxfId="10520" priority="251">
      <formula>AG52&gt;$AG52</formula>
    </cfRule>
  </conditionalFormatting>
  <conditionalFormatting sqref="C107:AF107">
    <cfRule type="expression" dxfId="10519" priority="247">
      <formula>C$9&gt;=20/24</formula>
    </cfRule>
    <cfRule type="expression" dxfId="10518" priority="248">
      <formula>AND(C$9&gt;=14/24,C$9&lt;20/24)</formula>
    </cfRule>
    <cfRule type="expression" dxfId="10517" priority="249">
      <formula>AND(C$9&gt;=8/24,C$9&lt;14/24)</formula>
    </cfRule>
    <cfRule type="expression" dxfId="10516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0515" priority="245">
      <formula>$AH40=0</formula>
    </cfRule>
  </conditionalFormatting>
  <conditionalFormatting sqref="A90">
    <cfRule type="expression" dxfId="10514" priority="243">
      <formula>$AH90=0</formula>
    </cfRule>
  </conditionalFormatting>
  <conditionalFormatting sqref="A87">
    <cfRule type="expression" dxfId="10513" priority="244">
      <formula>$AH87=0</formula>
    </cfRule>
  </conditionalFormatting>
  <conditionalFormatting sqref="D110:AF110">
    <cfRule type="expression" dxfId="10512" priority="239">
      <formula>D$9&gt;=20/24</formula>
    </cfRule>
    <cfRule type="expression" dxfId="10511" priority="240">
      <formula>AND(D$9&gt;=14/24,D$9&lt;20/24)</formula>
    </cfRule>
    <cfRule type="expression" dxfId="10510" priority="241">
      <formula>AND(D$9&gt;=8/24,D$9&lt;14/24)</formula>
    </cfRule>
    <cfRule type="expression" dxfId="10509" priority="242">
      <formula>D$9&lt;8/24</formula>
    </cfRule>
  </conditionalFormatting>
  <conditionalFormatting sqref="A110">
    <cfRule type="expression" dxfId="10508" priority="238">
      <formula>$AH110=0</formula>
    </cfRule>
  </conditionalFormatting>
  <conditionalFormatting sqref="A21">
    <cfRule type="expression" dxfId="10507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0506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0505" priority="230">
      <formula>Y$9&gt;=20/24</formula>
    </cfRule>
    <cfRule type="expression" dxfId="10504" priority="231">
      <formula>AND(Y$9&gt;=14/24,Y$9&lt;20/24)</formula>
    </cfRule>
    <cfRule type="expression" dxfId="10503" priority="232">
      <formula>AND(Y$9&gt;=8/24,Y$9&lt;14/24)</formula>
    </cfRule>
    <cfRule type="expression" dxfId="10502" priority="233">
      <formula>Y$9&lt;8/24</formula>
    </cfRule>
  </conditionalFormatting>
  <conditionalFormatting sqref="Y100:AC106">
    <cfRule type="expression" dxfId="10501" priority="226">
      <formula>Y$9&gt;=20/24</formula>
    </cfRule>
    <cfRule type="expression" dxfId="10500" priority="227">
      <formula>AND(Y$9&gt;=14/24,Y$9&lt;20/24)</formula>
    </cfRule>
    <cfRule type="expression" dxfId="10499" priority="228">
      <formula>AND(Y$9&gt;=8/24,Y$9&lt;14/24)</formula>
    </cfRule>
    <cfRule type="expression" dxfId="10498" priority="229">
      <formula>Y$9&lt;8/24</formula>
    </cfRule>
  </conditionalFormatting>
  <conditionalFormatting sqref="C109 C111:C116 AA34:AF43 AA17:AF19 AA21:AF32">
    <cfRule type="expression" dxfId="10497" priority="222">
      <formula>C$9&gt;=20/24</formula>
    </cfRule>
    <cfRule type="expression" dxfId="10496" priority="223">
      <formula>AND(C$9&gt;=14/24,C$9&lt;20/24)</formula>
    </cfRule>
    <cfRule type="expression" dxfId="10495" priority="224">
      <formula>AND(C$9&gt;=8/24,C$9&lt;14/24)</formula>
    </cfRule>
    <cfRule type="expression" dxfId="10494" priority="225">
      <formula>C$9&lt;8/24</formula>
    </cfRule>
  </conditionalFormatting>
  <conditionalFormatting sqref="C47:S47">
    <cfRule type="expression" dxfId="10493" priority="218">
      <formula>C$9&gt;=20/24</formula>
    </cfRule>
    <cfRule type="expression" dxfId="10492" priority="219">
      <formula>AND(C$9&gt;=14/24,C$9&lt;20/24)</formula>
    </cfRule>
    <cfRule type="expression" dxfId="10491" priority="220">
      <formula>AND(C$9&gt;=8/24,C$9&lt;14/24)</formula>
    </cfRule>
    <cfRule type="expression" dxfId="10490" priority="221">
      <formula>C$9&lt;8/24</formula>
    </cfRule>
  </conditionalFormatting>
  <conditionalFormatting sqref="C47:S47 AA34:AF43 AA17:AF19 AA21:AF32">
    <cfRule type="expression" dxfId="10489" priority="217">
      <formula>C17&gt;$AG17</formula>
    </cfRule>
  </conditionalFormatting>
  <conditionalFormatting sqref="C99:D99">
    <cfRule type="expression" dxfId="10488" priority="213">
      <formula>C$9&gt;=20/24</formula>
    </cfRule>
    <cfRule type="expression" dxfId="10487" priority="214">
      <formula>AND(C$9&gt;=14/24,C$9&lt;20/24)</formula>
    </cfRule>
    <cfRule type="expression" dxfId="10486" priority="215">
      <formula>AND(C$9&gt;=8/24,C$9&lt;14/24)</formula>
    </cfRule>
    <cfRule type="expression" dxfId="10485" priority="216">
      <formula>C$9&lt;8/24</formula>
    </cfRule>
  </conditionalFormatting>
  <conditionalFormatting sqref="C86 C96:W96 C83:AF85 M67:Q69 G74:X75 M76:X76 Y74:Z76 AA75:AF76">
    <cfRule type="expression" dxfId="10484" priority="209">
      <formula>C$9&gt;=20/24</formula>
    </cfRule>
    <cfRule type="expression" dxfId="10483" priority="210">
      <formula>AND(C$9&gt;=14/24,C$9&lt;20/24)</formula>
    </cfRule>
    <cfRule type="expression" dxfId="10482" priority="211">
      <formula>AND(C$9&gt;=8/24,C$9&lt;14/24)</formula>
    </cfRule>
    <cfRule type="expression" dxfId="10481" priority="212">
      <formula>C$9&lt;8/24</formula>
    </cfRule>
  </conditionalFormatting>
  <conditionalFormatting sqref="E56:M57 M67:Q69">
    <cfRule type="expression" dxfId="10480" priority="208">
      <formula>E56&gt;$AG56</formula>
    </cfRule>
  </conditionalFormatting>
  <conditionalFormatting sqref="J58:M58">
    <cfRule type="expression" dxfId="10479" priority="204">
      <formula>J$9&gt;=20/24</formula>
    </cfRule>
    <cfRule type="expression" dxfId="10478" priority="205">
      <formula>AND(J$9&gt;=14/24,J$9&lt;20/24)</formula>
    </cfRule>
    <cfRule type="expression" dxfId="10477" priority="206">
      <formula>AND(J$9&gt;=8/24,J$9&lt;14/24)</formula>
    </cfRule>
    <cfRule type="expression" dxfId="10476" priority="207">
      <formula>J$9&lt;8/24</formula>
    </cfRule>
  </conditionalFormatting>
  <conditionalFormatting sqref="J58:M58">
    <cfRule type="expression" dxfId="10475" priority="203">
      <formula>J58&gt;$AG58</formula>
    </cfRule>
  </conditionalFormatting>
  <conditionalFormatting sqref="B54:D57 B71:D71">
    <cfRule type="expression" dxfId="10474" priority="132">
      <formula>B$9&gt;=20/24</formula>
    </cfRule>
    <cfRule type="expression" dxfId="10473" priority="133">
      <formula>AND(B$9&gt;=14/24,B$9&lt;20/24)</formula>
    </cfRule>
    <cfRule type="expression" dxfId="10472" priority="134">
      <formula>AND(B$9&gt;=8/24,B$9&lt;14/24)</formula>
    </cfRule>
    <cfRule type="expression" dxfId="10471" priority="135">
      <formula>B$9&lt;8/24</formula>
    </cfRule>
  </conditionalFormatting>
  <conditionalFormatting sqref="C87:AF87 C89:AF89 C98:AF98 C70:AF70">
    <cfRule type="expression" dxfId="10470" priority="199">
      <formula>C$9&gt;=20/24</formula>
    </cfRule>
    <cfRule type="expression" dxfId="10469" priority="200">
      <formula>AND(C$9&gt;=14/24,C$9&lt;20/24)</formula>
    </cfRule>
    <cfRule type="expression" dxfId="10468" priority="201">
      <formula>AND(C$9&gt;=8/24,C$9&lt;14/24)</formula>
    </cfRule>
    <cfRule type="expression" dxfId="10467" priority="202">
      <formula>C$9&lt;8/24</formula>
    </cfRule>
  </conditionalFormatting>
  <conditionalFormatting sqref="C66:P66 D65:P65 C70:AF70 Q65:AF66">
    <cfRule type="expression" dxfId="10466" priority="198">
      <formula>C65&gt;$AG65</formula>
    </cfRule>
  </conditionalFormatting>
  <conditionalFormatting sqref="C82:AF82">
    <cfRule type="expression" dxfId="10465" priority="194">
      <formula>C$9&gt;=20/24</formula>
    </cfRule>
    <cfRule type="expression" dxfId="10464" priority="195">
      <formula>AND(C$9&gt;=14/24,C$9&lt;20/24)</formula>
    </cfRule>
    <cfRule type="expression" dxfId="10463" priority="196">
      <formula>AND(C$9&gt;=8/24,C$9&lt;14/24)</formula>
    </cfRule>
    <cfRule type="expression" dxfId="10462" priority="197">
      <formula>C$9&lt;8/24</formula>
    </cfRule>
  </conditionalFormatting>
  <conditionalFormatting sqref="C91:W95">
    <cfRule type="expression" dxfId="10461" priority="190">
      <formula>C$9&gt;=20/24</formula>
    </cfRule>
    <cfRule type="expression" dxfId="10460" priority="191">
      <formula>AND(C$9&gt;=14/24,C$9&lt;20/24)</formula>
    </cfRule>
    <cfRule type="expression" dxfId="10459" priority="192">
      <formula>AND(C$9&gt;=8/24,C$9&lt;14/24)</formula>
    </cfRule>
    <cfRule type="expression" dxfId="10458" priority="193">
      <formula>C$9&lt;8/24</formula>
    </cfRule>
  </conditionalFormatting>
  <conditionalFormatting sqref="C52:AF52">
    <cfRule type="expression" dxfId="10457" priority="186">
      <formula>C$9&gt;=20/24</formula>
    </cfRule>
    <cfRule type="expression" dxfId="10456" priority="187">
      <formula>AND(C$9&gt;=14/24,C$9&lt;20/24)</formula>
    </cfRule>
    <cfRule type="expression" dxfId="10455" priority="188">
      <formula>AND(C$9&gt;=8/24,C$9&lt;14/24)</formula>
    </cfRule>
    <cfRule type="expression" dxfId="10454" priority="189">
      <formula>C$9&lt;8/24</formula>
    </cfRule>
  </conditionalFormatting>
  <conditionalFormatting sqref="C52:AF52">
    <cfRule type="expression" dxfId="10453" priority="185">
      <formula>C52&gt;$AG52</formula>
    </cfRule>
  </conditionalFormatting>
  <conditionalFormatting sqref="B49:D51 E50:F51">
    <cfRule type="expression" dxfId="10452" priority="100">
      <formula>B$9&gt;=20/24</formula>
    </cfRule>
    <cfRule type="expression" dxfId="10451" priority="101">
      <formula>AND(B$9&gt;=14/24,B$9&lt;20/24)</formula>
    </cfRule>
    <cfRule type="expression" dxfId="10450" priority="102">
      <formula>AND(B$9&gt;=8/24,B$9&lt;14/24)</formula>
    </cfRule>
    <cfRule type="expression" dxfId="10449" priority="103">
      <formula>B$9&lt;8/24</formula>
    </cfRule>
  </conditionalFormatting>
  <conditionalFormatting sqref="C110">
    <cfRule type="expression" dxfId="10448" priority="177">
      <formula>C$9&gt;=20/24</formula>
    </cfRule>
    <cfRule type="expression" dxfId="10447" priority="178">
      <formula>AND(C$9&gt;=14/24,C$9&lt;20/24)</formula>
    </cfRule>
    <cfRule type="expression" dxfId="10446" priority="179">
      <formula>AND(C$9&gt;=8/24,C$9&lt;14/24)</formula>
    </cfRule>
    <cfRule type="expression" dxfId="10445" priority="180">
      <formula>C$9&lt;8/24</formula>
    </cfRule>
  </conditionalFormatting>
  <conditionalFormatting sqref="AA59:AF64">
    <cfRule type="expression" dxfId="10444" priority="173">
      <formula>AA$9&gt;=20/24</formula>
    </cfRule>
    <cfRule type="expression" dxfId="10443" priority="174">
      <formula>AND(AA$9&gt;=14/24,AA$9&lt;20/24)</formula>
    </cfRule>
    <cfRule type="expression" dxfId="10442" priority="175">
      <formula>AND(AA$9&gt;=8/24,AA$9&lt;14/24)</formula>
    </cfRule>
    <cfRule type="expression" dxfId="10441" priority="176">
      <formula>AA$9&lt;8/24</formula>
    </cfRule>
  </conditionalFormatting>
  <conditionalFormatting sqref="AA59:AF64">
    <cfRule type="expression" dxfId="10440" priority="172">
      <formula>AA59&gt;$AG59</formula>
    </cfRule>
  </conditionalFormatting>
  <conditionalFormatting sqref="F15:G15 G13:G14 AA45:AF45 H13:AF15">
    <cfRule type="expression" dxfId="10439" priority="171">
      <formula>F13&gt;$AG13</formula>
    </cfRule>
  </conditionalFormatting>
  <conditionalFormatting sqref="G12:AF12">
    <cfRule type="expression" dxfId="10438" priority="167">
      <formula>G$9&gt;=20/24</formula>
    </cfRule>
    <cfRule type="expression" dxfId="10437" priority="168">
      <formula>AND(G$9&gt;=14/24,G$9&lt;20/24)</formula>
    </cfRule>
    <cfRule type="expression" dxfId="10436" priority="169">
      <formula>AND(G$9&gt;=8/24,G$9&lt;14/24)</formula>
    </cfRule>
    <cfRule type="expression" dxfId="10435" priority="170">
      <formula>G$9&lt;8/24</formula>
    </cfRule>
  </conditionalFormatting>
  <conditionalFormatting sqref="G12:AF12">
    <cfRule type="expression" dxfId="10434" priority="166">
      <formula>G12&gt;$AG12</formula>
    </cfRule>
  </conditionalFormatting>
  <conditionalFormatting sqref="F15:G15 G13:G14 H13:AF15">
    <cfRule type="expression" dxfId="10433" priority="162">
      <formula>F$9&gt;=20/24</formula>
    </cfRule>
    <cfRule type="expression" dxfId="10432" priority="163">
      <formula>AND(F$9&gt;=14/24,F$9&lt;20/24)</formula>
    </cfRule>
    <cfRule type="expression" dxfId="10431" priority="164">
      <formula>AND(F$9&gt;=8/24,F$9&lt;14/24)</formula>
    </cfRule>
    <cfRule type="expression" dxfId="10430" priority="165">
      <formula>F$9&lt;8/24</formula>
    </cfRule>
  </conditionalFormatting>
  <conditionalFormatting sqref="AA45:AF45">
    <cfRule type="expression" dxfId="10429" priority="158">
      <formula>AA$9&gt;=20/24</formula>
    </cfRule>
    <cfRule type="expression" dxfId="10428" priority="159">
      <formula>AND(AA$9&gt;=14/24,AA$9&lt;20/24)</formula>
    </cfRule>
    <cfRule type="expression" dxfId="10427" priority="160">
      <formula>AND(AA$9&gt;=8/24,AA$9&lt;14/24)</formula>
    </cfRule>
    <cfRule type="expression" dxfId="10426" priority="161">
      <formula>AA$9&lt;8/24</formula>
    </cfRule>
  </conditionalFormatting>
  <conditionalFormatting sqref="E81:P81 M77:P80 Q77:AF81">
    <cfRule type="expression" dxfId="10425" priority="154">
      <formula>E$9&gt;=20/24</formula>
    </cfRule>
    <cfRule type="expression" dxfId="10424" priority="155">
      <formula>AND(E$9&gt;=14/24,E$9&lt;20/24)</formula>
    </cfRule>
    <cfRule type="expression" dxfId="10423" priority="156">
      <formula>AND(E$9&gt;=8/24,E$9&lt;14/24)</formula>
    </cfRule>
    <cfRule type="expression" dxfId="10422" priority="157">
      <formula>E$9&lt;8/24</formula>
    </cfRule>
  </conditionalFormatting>
  <conditionalFormatting sqref="AL78:AN78 AL84:AN84 AN79:AN80">
    <cfRule type="expression" dxfId="10421" priority="150">
      <formula>AL$9&gt;=20/24</formula>
    </cfRule>
    <cfRule type="expression" dxfId="10420" priority="151">
      <formula>AND(AL$9&gt;=14/24,AL$9&lt;20/24)</formula>
    </cfRule>
    <cfRule type="expression" dxfId="10419" priority="152">
      <formula>AND(AL$9&gt;=8/24,AL$9&lt;14/24)</formula>
    </cfRule>
    <cfRule type="expression" dxfId="10418" priority="153">
      <formula>AL$9&lt;8/24</formula>
    </cfRule>
  </conditionalFormatting>
  <conditionalFormatting sqref="AN81:AN82">
    <cfRule type="expression" dxfId="10417" priority="146">
      <formula>AN$9&gt;=20/24</formula>
    </cfRule>
    <cfRule type="expression" dxfId="10416" priority="147">
      <formula>AND(AN$9&gt;=14/24,AN$9&lt;20/24)</formula>
    </cfRule>
    <cfRule type="expression" dxfId="10415" priority="148">
      <formula>AND(AN$9&gt;=8/24,AN$9&lt;14/24)</formula>
    </cfRule>
    <cfRule type="expression" dxfId="10414" priority="149">
      <formula>AN$9&lt;8/24</formula>
    </cfRule>
  </conditionalFormatting>
  <conditionalFormatting sqref="AL79:AM83">
    <cfRule type="expression" dxfId="10413" priority="363">
      <formula>AJ$9&gt;=20/24</formula>
    </cfRule>
    <cfRule type="expression" dxfId="10412" priority="364">
      <formula>AND(AJ$9&gt;=14/24,AJ$9&lt;20/24)</formula>
    </cfRule>
    <cfRule type="expression" dxfId="10411" priority="365">
      <formula>AND(AJ$9&gt;=8/24,AJ$9&lt;14/24)</formula>
    </cfRule>
    <cfRule type="expression" dxfId="10410" priority="366">
      <formula>AJ$9&lt;8/24</formula>
    </cfRule>
  </conditionalFormatting>
  <conditionalFormatting sqref="A117">
    <cfRule type="expression" dxfId="10409" priority="145">
      <formula>$AH117=0</formula>
    </cfRule>
  </conditionalFormatting>
  <conditionalFormatting sqref="B109 B111:B116 B15:E15 B12:F14 B17:Z19 B34:Z43 B45:Z45 B21:Z32 B20:AF20">
    <cfRule type="expression" dxfId="10408" priority="141">
      <formula>B$9&gt;=20/24</formula>
    </cfRule>
    <cfRule type="expression" dxfId="10407" priority="142">
      <formula>AND(B$9&gt;=14/24,B$9&lt;20/24)</formula>
    </cfRule>
    <cfRule type="expression" dxfId="10406" priority="143">
      <formula>AND(B$9&gt;=8/24,B$9&lt;14/24)</formula>
    </cfRule>
    <cfRule type="expression" dxfId="10405" priority="144">
      <formula>B$9&lt;8/24</formula>
    </cfRule>
  </conditionalFormatting>
  <conditionalFormatting sqref="B15:E15 B12:F14 B17:Z19 B34:Z43 B45:Z45 B21:Z32 B20:AF20">
    <cfRule type="expression" dxfId="10404" priority="140">
      <formula>B12&gt;$AG12</formula>
    </cfRule>
  </conditionalFormatting>
  <conditionalFormatting sqref="B99">
    <cfRule type="expression" dxfId="10403" priority="136">
      <formula>B$9&gt;=20/24</formula>
    </cfRule>
    <cfRule type="expression" dxfId="10402" priority="137">
      <formula>AND(B$9&gt;=14/24,B$9&lt;20/24)</formula>
    </cfRule>
    <cfRule type="expression" dxfId="10401" priority="138">
      <formula>AND(B$9&gt;=8/24,B$9&lt;14/24)</formula>
    </cfRule>
    <cfRule type="expression" dxfId="10400" priority="139">
      <formula>B$9&lt;8/24</formula>
    </cfRule>
  </conditionalFormatting>
  <conditionalFormatting sqref="B53:D53">
    <cfRule type="expression" dxfId="10399" priority="128">
      <formula>B$9&gt;=20/24</formula>
    </cfRule>
    <cfRule type="expression" dxfId="10398" priority="129">
      <formula>AND(B$9&gt;=14/24,B$9&lt;20/24)</formula>
    </cfRule>
    <cfRule type="expression" dxfId="10397" priority="130">
      <formula>AND(B$9&gt;=8/24,B$9&lt;14/24)</formula>
    </cfRule>
    <cfRule type="expression" dxfId="10396" priority="131">
      <formula>B$9&lt;8/24</formula>
    </cfRule>
  </conditionalFormatting>
  <conditionalFormatting sqref="B53:D57">
    <cfRule type="expression" dxfId="10395" priority="127">
      <formula>B53&gt;$AG53</formula>
    </cfRule>
  </conditionalFormatting>
  <conditionalFormatting sqref="B96 B86 B47 B72:D74 E74:F74 B100:F106 B67:L69">
    <cfRule type="expression" dxfId="10394" priority="123">
      <formula>B$9&gt;=20/24</formula>
    </cfRule>
    <cfRule type="expression" dxfId="10393" priority="124">
      <formula>AND(B$9&gt;=14/24,B$9&lt;20/24)</formula>
    </cfRule>
    <cfRule type="expression" dxfId="10392" priority="125">
      <formula>AND(B$9&gt;=8/24,B$9&lt;14/24)</formula>
    </cfRule>
    <cfRule type="expression" dxfId="10391" priority="126">
      <formula>B$9&lt;8/24</formula>
    </cfRule>
  </conditionalFormatting>
  <conditionalFormatting sqref="B47 B67:L69">
    <cfRule type="expression" dxfId="10390" priority="122">
      <formula>B47&gt;$AG47</formula>
    </cfRule>
  </conditionalFormatting>
  <conditionalFormatting sqref="B97 B88:C88">
    <cfRule type="expression" dxfId="10389" priority="118">
      <formula>B$9&gt;=20/24</formula>
    </cfRule>
    <cfRule type="expression" dxfId="10388" priority="119">
      <formula>AND(B$9&gt;=14/24,B$9&lt;20/24)</formula>
    </cfRule>
    <cfRule type="expression" dxfId="10387" priority="120">
      <formula>AND(B$9&gt;=8/24,B$9&lt;14/24)</formula>
    </cfRule>
    <cfRule type="expression" dxfId="10386" priority="121">
      <formula>B$9&lt;8/24</formula>
    </cfRule>
  </conditionalFormatting>
  <conditionalFormatting sqref="B46:AF46">
    <cfRule type="expression" dxfId="10385" priority="114">
      <formula>B$9&gt;=20/24</formula>
    </cfRule>
    <cfRule type="expression" dxfId="10384" priority="115">
      <formula>AND(B$9&gt;=14/24,B$9&lt;20/24)</formula>
    </cfRule>
    <cfRule type="expression" dxfId="10383" priority="116">
      <formula>AND(B$9&gt;=8/24,B$9&lt;14/24)</formula>
    </cfRule>
    <cfRule type="expression" dxfId="10382" priority="117">
      <formula>B$9&lt;8/24</formula>
    </cfRule>
  </conditionalFormatting>
  <conditionalFormatting sqref="B46:AF46">
    <cfRule type="expression" dxfId="10381" priority="113">
      <formula>B46&gt;$AG46</formula>
    </cfRule>
  </conditionalFormatting>
  <conditionalFormatting sqref="B58:I58">
    <cfRule type="expression" dxfId="10380" priority="109">
      <formula>B$9&gt;=20/24</formula>
    </cfRule>
    <cfRule type="expression" dxfId="10379" priority="110">
      <formula>AND(B$9&gt;=14/24,B$9&lt;20/24)</formula>
    </cfRule>
    <cfRule type="expression" dxfId="10378" priority="111">
      <formula>AND(B$9&gt;=8/24,B$9&lt;14/24)</formula>
    </cfRule>
    <cfRule type="expression" dxfId="10377" priority="112">
      <formula>B$9&lt;8/24</formula>
    </cfRule>
  </conditionalFormatting>
  <conditionalFormatting sqref="B58:I58">
    <cfRule type="expression" dxfId="10376" priority="108">
      <formula>B58&gt;$AG58</formula>
    </cfRule>
  </conditionalFormatting>
  <conditionalFormatting sqref="B91:B95">
    <cfRule type="expression" dxfId="10375" priority="104">
      <formula>B$9&gt;=20/24</formula>
    </cfRule>
    <cfRule type="expression" dxfId="10374" priority="105">
      <formula>AND(B$9&gt;=14/24,B$9&lt;20/24)</formula>
    </cfRule>
    <cfRule type="expression" dxfId="10373" priority="106">
      <formula>AND(B$9&gt;=8/24,B$9&lt;14/24)</formula>
    </cfRule>
    <cfRule type="expression" dxfId="10372" priority="107">
      <formula>B$9&lt;8/24</formula>
    </cfRule>
  </conditionalFormatting>
  <conditionalFormatting sqref="B49:D51 E50:F51">
    <cfRule type="expression" dxfId="10371" priority="99">
      <formula>B49&gt;$AG49</formula>
    </cfRule>
  </conditionalFormatting>
  <conditionalFormatting sqref="B107">
    <cfRule type="expression" dxfId="10370" priority="95">
      <formula>B$9&gt;=20/24</formula>
    </cfRule>
    <cfRule type="expression" dxfId="10369" priority="96">
      <formula>AND(B$9&gt;=14/24,B$9&lt;20/24)</formula>
    </cfRule>
    <cfRule type="expression" dxfId="10368" priority="97">
      <formula>AND(B$9&gt;=8/24,B$9&lt;14/24)</formula>
    </cfRule>
    <cfRule type="expression" dxfId="10367" priority="98">
      <formula>B$9&lt;8/24</formula>
    </cfRule>
  </conditionalFormatting>
  <conditionalFormatting sqref="B110">
    <cfRule type="expression" dxfId="10366" priority="91">
      <formula>B$9&gt;=20/24</formula>
    </cfRule>
    <cfRule type="expression" dxfId="10365" priority="92">
      <formula>AND(B$9&gt;=14/24,B$9&lt;20/24)</formula>
    </cfRule>
    <cfRule type="expression" dxfId="10364" priority="93">
      <formula>AND(B$9&gt;=8/24,B$9&lt;14/24)</formula>
    </cfRule>
    <cfRule type="expression" dxfId="10363" priority="94">
      <formula>B$9&lt;8/24</formula>
    </cfRule>
  </conditionalFormatting>
  <conditionalFormatting sqref="B83:B85 B75:F76 G76:L76">
    <cfRule type="expression" dxfId="10362" priority="87">
      <formula>B$9&gt;=20/24</formula>
    </cfRule>
    <cfRule type="expression" dxfId="10361" priority="88">
      <formula>AND(B$9&gt;=14/24,B$9&lt;20/24)</formula>
    </cfRule>
    <cfRule type="expression" dxfId="10360" priority="89">
      <formula>AND(B$9&gt;=8/24,B$9&lt;14/24)</formula>
    </cfRule>
    <cfRule type="expression" dxfId="10359" priority="90">
      <formula>B$9&lt;8/24</formula>
    </cfRule>
  </conditionalFormatting>
  <conditionalFormatting sqref="B89 B98 B70 B87">
    <cfRule type="expression" dxfId="10358" priority="83">
      <formula>B$9&gt;=20/24</formula>
    </cfRule>
    <cfRule type="expression" dxfId="10357" priority="84">
      <formula>AND(B$9&gt;=14/24,B$9&lt;20/24)</formula>
    </cfRule>
    <cfRule type="expression" dxfId="10356" priority="85">
      <formula>AND(B$9&gt;=8/24,B$9&lt;14/24)</formula>
    </cfRule>
    <cfRule type="expression" dxfId="10355" priority="86">
      <formula>B$9&lt;8/24</formula>
    </cfRule>
  </conditionalFormatting>
  <conditionalFormatting sqref="B65:B66 B70 C65 B48:AF48">
    <cfRule type="expression" dxfId="10354" priority="82">
      <formula>B48&gt;$AG48</formula>
    </cfRule>
  </conditionalFormatting>
  <conditionalFormatting sqref="B82">
    <cfRule type="expression" dxfId="10353" priority="78">
      <formula>B$9&gt;=20/24</formula>
    </cfRule>
    <cfRule type="expression" dxfId="10352" priority="79">
      <formula>AND(B$9&gt;=14/24,B$9&lt;20/24)</formula>
    </cfRule>
    <cfRule type="expression" dxfId="10351" priority="80">
      <formula>AND(B$9&gt;=8/24,B$9&lt;14/24)</formula>
    </cfRule>
    <cfRule type="expression" dxfId="10350" priority="81">
      <formula>B$9&lt;8/24</formula>
    </cfRule>
  </conditionalFormatting>
  <conditionalFormatting sqref="B52">
    <cfRule type="expression" dxfId="10349" priority="74">
      <formula>B$9&gt;=20/24</formula>
    </cfRule>
    <cfRule type="expression" dxfId="10348" priority="75">
      <formula>AND(B$9&gt;=14/24,B$9&lt;20/24)</formula>
    </cfRule>
    <cfRule type="expression" dxfId="10347" priority="76">
      <formula>AND(B$9&gt;=8/24,B$9&lt;14/24)</formula>
    </cfRule>
    <cfRule type="expression" dxfId="10346" priority="77">
      <formula>B$9&lt;8/24</formula>
    </cfRule>
  </conditionalFormatting>
  <conditionalFormatting sqref="B52">
    <cfRule type="expression" dxfId="10345" priority="73">
      <formula>B52&gt;$AG52</formula>
    </cfRule>
  </conditionalFormatting>
  <conditionalFormatting sqref="B59:Z64">
    <cfRule type="expression" dxfId="10344" priority="65">
      <formula>B$9&gt;=20/24</formula>
    </cfRule>
    <cfRule type="expression" dxfId="10343" priority="66">
      <formula>AND(B$9&gt;=14/24,B$9&lt;20/24)</formula>
    </cfRule>
    <cfRule type="expression" dxfId="10342" priority="67">
      <formula>AND(B$9&gt;=8/24,B$9&lt;14/24)</formula>
    </cfRule>
    <cfRule type="expression" dxfId="10341" priority="68">
      <formula>B$9&lt;8/24</formula>
    </cfRule>
  </conditionalFormatting>
  <conditionalFormatting sqref="B59:Z64">
    <cfRule type="expression" dxfId="10340" priority="64">
      <formula>B59&gt;$AG59</formula>
    </cfRule>
  </conditionalFormatting>
  <conditionalFormatting sqref="B77:D81 E77:L80">
    <cfRule type="expression" dxfId="10339" priority="60">
      <formula>B$9&gt;=20/24</formula>
    </cfRule>
    <cfRule type="expression" dxfId="10338" priority="61">
      <formula>AND(B$9&gt;=14/24,B$9&lt;20/24)</formula>
    </cfRule>
    <cfRule type="expression" dxfId="10337" priority="62">
      <formula>AND(B$9&gt;=8/24,B$9&lt;14/24)</formula>
    </cfRule>
    <cfRule type="expression" dxfId="10336" priority="63">
      <formula>B$9&lt;8/24</formula>
    </cfRule>
  </conditionalFormatting>
  <conditionalFormatting sqref="A11">
    <cfRule type="expression" dxfId="10335" priority="59">
      <formula>$AH11=0</formula>
    </cfRule>
  </conditionalFormatting>
  <conditionalFormatting sqref="G11:AF11">
    <cfRule type="expression" dxfId="10334" priority="55">
      <formula>G$9&gt;=20/24</formula>
    </cfRule>
    <cfRule type="expression" dxfId="10333" priority="56">
      <formula>AND(G$9&gt;=14/24,G$9&lt;20/24)</formula>
    </cfRule>
    <cfRule type="expression" dxfId="10332" priority="57">
      <formula>AND(G$9&gt;=8/24,G$9&lt;14/24)</formula>
    </cfRule>
    <cfRule type="expression" dxfId="10331" priority="58">
      <formula>G$9&lt;8/24</formula>
    </cfRule>
  </conditionalFormatting>
  <conditionalFormatting sqref="G11:AF11">
    <cfRule type="expression" dxfId="10330" priority="54">
      <formula>G11&gt;$AG11</formula>
    </cfRule>
  </conditionalFormatting>
  <conditionalFormatting sqref="B11:F11">
    <cfRule type="expression" dxfId="10329" priority="50">
      <formula>B$9&gt;=20/24</formula>
    </cfRule>
    <cfRule type="expression" dxfId="10328" priority="51">
      <formula>AND(B$9&gt;=14/24,B$9&lt;20/24)</formula>
    </cfRule>
    <cfRule type="expression" dxfId="10327" priority="52">
      <formula>AND(B$9&gt;=8/24,B$9&lt;14/24)</formula>
    </cfRule>
    <cfRule type="expression" dxfId="10326" priority="53">
      <formula>B$9&lt;8/24</formula>
    </cfRule>
  </conditionalFormatting>
  <conditionalFormatting sqref="B11:F11">
    <cfRule type="expression" dxfId="10325" priority="49">
      <formula>B11&gt;$AG11</formula>
    </cfRule>
  </conditionalFormatting>
  <conditionalFormatting sqref="A16">
    <cfRule type="expression" dxfId="10324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A16:AF16">
    <cfRule type="expression" dxfId="10323" priority="43">
      <formula>AA$9&gt;=20/24</formula>
    </cfRule>
    <cfRule type="expression" dxfId="10322" priority="44">
      <formula>AND(AA$9&gt;=14/24,AA$9&lt;20/24)</formula>
    </cfRule>
    <cfRule type="expression" dxfId="10321" priority="45">
      <formula>AND(AA$9&gt;=8/24,AA$9&lt;14/24)</formula>
    </cfRule>
    <cfRule type="expression" dxfId="10320" priority="46">
      <formula>AA$9&lt;8/24</formula>
    </cfRule>
  </conditionalFormatting>
  <conditionalFormatting sqref="AA16:AF16">
    <cfRule type="expression" dxfId="10319" priority="42">
      <formula>AA16&gt;$AG16</formula>
    </cfRule>
  </conditionalFormatting>
  <conditionalFormatting sqref="B16:Z16">
    <cfRule type="expression" dxfId="10318" priority="38">
      <formula>B$9&gt;=20/24</formula>
    </cfRule>
    <cfRule type="expression" dxfId="10317" priority="39">
      <formula>AND(B$9&gt;=14/24,B$9&lt;20/24)</formula>
    </cfRule>
    <cfRule type="expression" dxfId="10316" priority="40">
      <formula>AND(B$9&gt;=8/24,B$9&lt;14/24)</formula>
    </cfRule>
    <cfRule type="expression" dxfId="10315" priority="41">
      <formula>B$9&lt;8/24</formula>
    </cfRule>
  </conditionalFormatting>
  <conditionalFormatting sqref="B16:Z16">
    <cfRule type="expression" dxfId="10314" priority="37">
      <formula>B16&gt;$AG16</formula>
    </cfRule>
  </conditionalFormatting>
  <conditionalFormatting sqref="A33">
    <cfRule type="expression" dxfId="10313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AA33:AF33">
    <cfRule type="expression" dxfId="10312" priority="31">
      <formula>AA$9&gt;=20/24</formula>
    </cfRule>
    <cfRule type="expression" dxfId="10311" priority="32">
      <formula>AND(AA$9&gt;=14/24,AA$9&lt;20/24)</formula>
    </cfRule>
    <cfRule type="expression" dxfId="10310" priority="33">
      <formula>AND(AA$9&gt;=8/24,AA$9&lt;14/24)</formula>
    </cfRule>
    <cfRule type="expression" dxfId="10309" priority="34">
      <formula>AA$9&lt;8/24</formula>
    </cfRule>
  </conditionalFormatting>
  <conditionalFormatting sqref="AA33:AF33">
    <cfRule type="expression" dxfId="10308" priority="30">
      <formula>AA33&gt;$AG33</formula>
    </cfRule>
  </conditionalFormatting>
  <conditionalFormatting sqref="B33:Z33">
    <cfRule type="expression" dxfId="10307" priority="26">
      <formula>B$9&gt;=20/24</formula>
    </cfRule>
    <cfRule type="expression" dxfId="10306" priority="27">
      <formula>AND(B$9&gt;=14/24,B$9&lt;20/24)</formula>
    </cfRule>
    <cfRule type="expression" dxfId="10305" priority="28">
      <formula>AND(B$9&gt;=8/24,B$9&lt;14/24)</formula>
    </cfRule>
    <cfRule type="expression" dxfId="10304" priority="29">
      <formula>B$9&lt;8/24</formula>
    </cfRule>
  </conditionalFormatting>
  <conditionalFormatting sqref="B33:Z33">
    <cfRule type="expression" dxfId="10303" priority="25">
      <formula>B33&gt;$AG33</formula>
    </cfRule>
  </conditionalFormatting>
  <conditionalFormatting sqref="A44">
    <cfRule type="expression" dxfId="10302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10301" priority="22">
      <formula>AA44&gt;$AG44</formula>
    </cfRule>
  </conditionalFormatting>
  <conditionalFormatting sqref="AA44:AF44">
    <cfRule type="expression" dxfId="10300" priority="18">
      <formula>AA$9&gt;=20/24</formula>
    </cfRule>
    <cfRule type="expression" dxfId="10299" priority="19">
      <formula>AND(AA$9&gt;=14/24,AA$9&lt;20/24)</formula>
    </cfRule>
    <cfRule type="expression" dxfId="10298" priority="20">
      <formula>AND(AA$9&gt;=8/24,AA$9&lt;14/24)</formula>
    </cfRule>
    <cfRule type="expression" dxfId="10297" priority="21">
      <formula>AA$9&lt;8/24</formula>
    </cfRule>
  </conditionalFormatting>
  <conditionalFormatting sqref="B44:Z44">
    <cfRule type="expression" dxfId="10296" priority="14">
      <formula>B$9&gt;=20/24</formula>
    </cfRule>
    <cfRule type="expression" dxfId="10295" priority="15">
      <formula>AND(B$9&gt;=14/24,B$9&lt;20/24)</formula>
    </cfRule>
    <cfRule type="expression" dxfId="10294" priority="16">
      <formula>AND(B$9&gt;=8/24,B$9&lt;14/24)</formula>
    </cfRule>
    <cfRule type="expression" dxfId="10293" priority="17">
      <formula>B$9&lt;8/24</formula>
    </cfRule>
  </conditionalFormatting>
  <conditionalFormatting sqref="B44:Z44">
    <cfRule type="expression" dxfId="10292" priority="13">
      <formula>B44&gt;$AG44</formula>
    </cfRule>
  </conditionalFormatting>
  <conditionalFormatting sqref="B117">
    <cfRule type="expression" dxfId="10291" priority="1">
      <formula>B$9&gt;=20/24</formula>
    </cfRule>
    <cfRule type="expression" dxfId="10290" priority="2">
      <formula>AND(B$9&gt;=14/24,B$9&lt;20/24)</formula>
    </cfRule>
    <cfRule type="expression" dxfId="10289" priority="3">
      <formula>AND(B$9&gt;=8/24,B$9&lt;14/24)</formula>
    </cfRule>
    <cfRule type="expression" dxfId="10288" priority="4">
      <formula>B$9&lt;8/24</formula>
    </cfRule>
  </conditionalFormatting>
  <conditionalFormatting sqref="D117:AF117">
    <cfRule type="expression" dxfId="10287" priority="9">
      <formula>D$9&gt;=20/24</formula>
    </cfRule>
    <cfRule type="expression" dxfId="10286" priority="10">
      <formula>AND(D$9&gt;=14/24,D$9&lt;20/24)</formula>
    </cfRule>
    <cfRule type="expression" dxfId="10285" priority="11">
      <formula>AND(D$9&gt;=8/24,D$9&lt;14/24)</formula>
    </cfRule>
    <cfRule type="expression" dxfId="10284" priority="12">
      <formula>D$9&lt;8/24</formula>
    </cfRule>
  </conditionalFormatting>
  <conditionalFormatting sqref="C117">
    <cfRule type="expression" dxfId="10283" priority="5">
      <formula>C$9&gt;=20/24</formula>
    </cfRule>
    <cfRule type="expression" dxfId="10282" priority="6">
      <formula>AND(C$9&gt;=14/24,C$9&lt;20/24)</formula>
    </cfRule>
    <cfRule type="expression" dxfId="10281" priority="7">
      <formula>AND(C$9&gt;=8/24,C$9&lt;14/24)</formula>
    </cfRule>
    <cfRule type="expression" dxfId="10280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8579F31B-7288-4A42-92F9-A30CF38473D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BE89A4F2-235C-4E95-9AC7-A784917DF46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6825B20F-471A-4E37-8B1D-E7B3FF6EC99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6F25AE87-9AF8-40D3-962D-6F41CFEDF9F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6873D965-9FF6-439A-A578-0A6E649E581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04F103E7-4DE8-41F9-A350-67214056DEC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7086D5B0-7ECF-48DF-B8AB-1ED9757EF96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A7A8B3AB-55D2-4B62-82E1-75084501691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CJ279"/>
  <sheetViews>
    <sheetView zoomScaleNormal="100" workbookViewId="0">
      <pane ySplit="10" topLeftCell="A26" activePane="bottomLeft" state="frozen"/>
      <selection activeCell="Z85" sqref="Z85"/>
      <selection pane="bottomLeft" activeCell="A73" sqref="A73:XFD7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2080/02/10</v>
      </c>
      <c r="C4" s="191"/>
      <c r="D4" s="191"/>
      <c r="E4" s="192" t="str">
        <f ca="1">"2079/"&amp;"12/"&amp;INT(MID(CELL("filename",G6),FIND("]",CELL("filename",G6))+1,200))</f>
        <v>2079/12/10</v>
      </c>
      <c r="F4" s="192"/>
      <c r="G4" s="192"/>
      <c r="H4" s="192" t="str">
        <f ca="1">TEXT(E4,"dddd")</f>
        <v>Sunday</v>
      </c>
      <c r="I4" s="192"/>
      <c r="J4" s="26"/>
      <c r="K4" s="1" t="str">
        <f>"Total Peak Supply(Inclusive of Export) ("&amp;ROUND(B250,0)&amp;" MW)"&amp;"    IPP   = "&amp;ROUND(B245,0)&amp;" MW     NEA RoR = "&amp;ROUND(B246,0)&amp;" MWImport   = "&amp;ROUND(B248,0)&amp;" MW      KL1+KL2+K3 = "&amp;ROUND(B247,0) &amp;" MW    EXPORT = "&amp;ROUND(B249,0)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91.9</v>
      </c>
      <c r="C5" s="30">
        <f t="shared" si="0"/>
        <v>156.19999999999999</v>
      </c>
      <c r="D5" s="30">
        <f t="shared" si="0"/>
        <v>106.5</v>
      </c>
      <c r="E5" s="30">
        <f t="shared" si="0"/>
        <v>119</v>
      </c>
      <c r="F5" s="30">
        <f t="shared" si="0"/>
        <v>125</v>
      </c>
      <c r="G5" s="30">
        <f t="shared" si="0"/>
        <v>124</v>
      </c>
      <c r="H5" s="30">
        <f t="shared" si="0"/>
        <v>208</v>
      </c>
      <c r="I5" s="30">
        <f t="shared" si="0"/>
        <v>230</v>
      </c>
      <c r="J5" s="30">
        <f t="shared" si="0"/>
        <v>228</v>
      </c>
      <c r="K5" s="30">
        <f t="shared" si="0"/>
        <v>247</v>
      </c>
      <c r="L5" s="30">
        <f t="shared" si="0"/>
        <v>261</v>
      </c>
      <c r="M5" s="30">
        <f t="shared" si="0"/>
        <v>277.60000000000002</v>
      </c>
      <c r="N5" s="30">
        <f t="shared" si="0"/>
        <v>318.7</v>
      </c>
      <c r="O5" s="30">
        <f t="shared" si="0"/>
        <v>304.10000000000002</v>
      </c>
      <c r="P5" s="30">
        <f t="shared" si="0"/>
        <v>285.3</v>
      </c>
      <c r="Q5" s="30">
        <f t="shared" si="0"/>
        <v>283.2</v>
      </c>
      <c r="R5" s="30">
        <f t="shared" si="0"/>
        <v>261.8</v>
      </c>
      <c r="S5" s="30">
        <f t="shared" si="0"/>
        <v>265.10000000000002</v>
      </c>
      <c r="T5" s="30">
        <f t="shared" si="0"/>
        <v>247.8</v>
      </c>
      <c r="U5" s="30">
        <f t="shared" si="0"/>
        <v>311.2</v>
      </c>
      <c r="V5" s="30">
        <f t="shared" si="0"/>
        <v>326.3</v>
      </c>
      <c r="W5" s="30">
        <f t="shared" si="0"/>
        <v>294.5</v>
      </c>
      <c r="X5" s="30">
        <f t="shared" si="0"/>
        <v>285</v>
      </c>
      <c r="Y5" s="30">
        <f t="shared" si="0"/>
        <v>279</v>
      </c>
      <c r="Z5" s="30">
        <f t="shared" si="0"/>
        <v>260</v>
      </c>
      <c r="AA5" s="30">
        <f t="shared" si="0"/>
        <v>214.6</v>
      </c>
      <c r="AB5" s="30">
        <f t="shared" si="0"/>
        <v>259</v>
      </c>
      <c r="AC5" s="30">
        <f t="shared" si="0"/>
        <v>81</v>
      </c>
      <c r="AD5" s="30">
        <f t="shared" si="0"/>
        <v>50</v>
      </c>
      <c r="AE5" s="30">
        <f t="shared" si="0"/>
        <v>47</v>
      </c>
      <c r="AF5" s="30">
        <f>B82</f>
        <v>86.7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"&amp;ROUND(B250,0)&amp;"MW at "&amp;TRUNC(B251*24,0)&amp;":"&amp;ROUND((B251*24-TRUNC(B251*24,0))*60,0)&amp;"hr at "&amp;ROUND(B252,1)&amp;"Hz     "&amp;A242&amp;" "&amp;ROUND(B242,0)&amp;"MW at "&amp;TRUNC(C242*24,0)&amp;":"&amp;ROUND((C242*24-TRUNC(C242*24,0))*6,0)&amp;"0hr"</f>
        <v>Evening Peak 0MW at 0:0hr at 0Hz     Morning Peak 1324MW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Load=1152</v>
      </c>
      <c r="B7" s="35">
        <f t="shared" ref="B7:AF7" si="1">B89</f>
        <v>1266.94</v>
      </c>
      <c r="C7" s="35">
        <f t="shared" si="1"/>
        <v>1272.1400000000001</v>
      </c>
      <c r="D7" s="35">
        <f t="shared" si="1"/>
        <v>1190.44</v>
      </c>
      <c r="E7" s="35">
        <f t="shared" si="1"/>
        <v>1152.24</v>
      </c>
      <c r="F7" s="35">
        <f t="shared" si="1"/>
        <v>1185.24</v>
      </c>
      <c r="G7" s="35">
        <f t="shared" si="1"/>
        <v>1195.3399999999999</v>
      </c>
      <c r="H7" s="35">
        <f t="shared" si="1"/>
        <v>1211.3399999999999</v>
      </c>
      <c r="I7" s="35">
        <f t="shared" si="1"/>
        <v>1262.94</v>
      </c>
      <c r="J7" s="35">
        <f t="shared" si="1"/>
        <v>1266.74</v>
      </c>
      <c r="K7" s="35">
        <f t="shared" si="1"/>
        <v>1289.24</v>
      </c>
      <c r="L7" s="35">
        <f t="shared" si="1"/>
        <v>1308.24</v>
      </c>
      <c r="M7" s="35">
        <f t="shared" si="1"/>
        <v>1323.74</v>
      </c>
      <c r="N7" s="35">
        <f>N89</f>
        <v>1300.24</v>
      </c>
      <c r="O7" s="35">
        <f t="shared" si="1"/>
        <v>1373.3400000000001</v>
      </c>
      <c r="P7" s="35">
        <f t="shared" si="1"/>
        <v>1359.2399999999998</v>
      </c>
      <c r="Q7" s="35">
        <f t="shared" si="1"/>
        <v>1360.24</v>
      </c>
      <c r="R7" s="35">
        <f t="shared" si="1"/>
        <v>1394.34</v>
      </c>
      <c r="S7" s="35">
        <f t="shared" si="1"/>
        <v>1428.9399999999998</v>
      </c>
      <c r="T7" s="35">
        <f t="shared" si="1"/>
        <v>1503.2399999999998</v>
      </c>
      <c r="U7" s="35">
        <f t="shared" si="1"/>
        <v>1512.9399999999998</v>
      </c>
      <c r="V7" s="35">
        <f t="shared" si="1"/>
        <v>1564.04</v>
      </c>
      <c r="W7" s="35">
        <f t="shared" si="1"/>
        <v>1433.24</v>
      </c>
      <c r="X7" s="35">
        <f t="shared" si="1"/>
        <v>1420.44</v>
      </c>
      <c r="Y7" s="35">
        <f t="shared" si="1"/>
        <v>1380.94</v>
      </c>
      <c r="Z7" s="35">
        <f t="shared" si="1"/>
        <v>1535.1399999999999</v>
      </c>
      <c r="AA7" s="35">
        <f t="shared" si="1"/>
        <v>1691.6399999999999</v>
      </c>
      <c r="AB7" s="35">
        <f t="shared" si="1"/>
        <v>1673.4399999999998</v>
      </c>
      <c r="AC7" s="35">
        <f t="shared" si="1"/>
        <v>1868.04</v>
      </c>
      <c r="AD7" s="35">
        <f t="shared" si="1"/>
        <v>1570.44</v>
      </c>
      <c r="AE7" s="35">
        <f t="shared" si="1"/>
        <v>1531.44</v>
      </c>
      <c r="AF7" s="35">
        <f t="shared" si="1"/>
        <v>1500.54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28</v>
      </c>
      <c r="C11" s="45">
        <v>28</v>
      </c>
      <c r="D11" s="45">
        <v>28</v>
      </c>
      <c r="E11" s="45">
        <v>28</v>
      </c>
      <c r="F11" s="45">
        <v>28</v>
      </c>
      <c r="G11" s="45">
        <v>24</v>
      </c>
      <c r="H11" s="45">
        <v>24</v>
      </c>
      <c r="I11" s="45">
        <v>24</v>
      </c>
      <c r="J11" s="45">
        <v>24</v>
      </c>
      <c r="K11" s="45">
        <v>24</v>
      </c>
      <c r="L11" s="45">
        <v>24</v>
      </c>
      <c r="M11" s="45">
        <v>24</v>
      </c>
      <c r="N11" s="45">
        <v>24</v>
      </c>
      <c r="O11" s="45">
        <v>24</v>
      </c>
      <c r="P11" s="45">
        <v>24</v>
      </c>
      <c r="Q11" s="45">
        <v>24</v>
      </c>
      <c r="R11" s="45">
        <v>24</v>
      </c>
      <c r="S11" s="45">
        <v>24</v>
      </c>
      <c r="T11" s="45">
        <v>24</v>
      </c>
      <c r="U11" s="45">
        <v>30</v>
      </c>
      <c r="V11" s="45">
        <v>30</v>
      </c>
      <c r="W11" s="45">
        <v>30</v>
      </c>
      <c r="X11" s="45">
        <v>30</v>
      </c>
      <c r="Y11" s="45">
        <v>30</v>
      </c>
      <c r="Z11" s="45">
        <v>30</v>
      </c>
      <c r="AA11" s="45">
        <v>30</v>
      </c>
      <c r="AB11" s="45">
        <v>30</v>
      </c>
      <c r="AC11" s="45">
        <v>30</v>
      </c>
      <c r="AD11" s="45">
        <v>30</v>
      </c>
      <c r="AE11" s="45">
        <v>30</v>
      </c>
      <c r="AF11" s="45">
        <v>30</v>
      </c>
      <c r="AG11" s="46">
        <v>86</v>
      </c>
      <c r="AH11" s="47">
        <f t="shared" ref="AH11:AH74" si="2">MAX(B11:AF11)</f>
        <v>30</v>
      </c>
      <c r="AI11" s="48">
        <f t="shared" ref="AI11:AI74" si="3">MIN(B11:AF11)</f>
        <v>24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17.899999999999999</v>
      </c>
      <c r="C12" s="45">
        <v>17.899999999999999</v>
      </c>
      <c r="D12" s="45">
        <v>17.899999999999999</v>
      </c>
      <c r="E12" s="45">
        <v>17.899999999999999</v>
      </c>
      <c r="F12" s="45">
        <v>17.899999999999999</v>
      </c>
      <c r="G12" s="45">
        <v>16.8</v>
      </c>
      <c r="H12" s="45">
        <v>16.8</v>
      </c>
      <c r="I12" s="45">
        <v>16.8</v>
      </c>
      <c r="J12" s="45">
        <v>19</v>
      </c>
      <c r="K12" s="45">
        <v>19.8</v>
      </c>
      <c r="L12" s="45">
        <v>19.8</v>
      </c>
      <c r="M12" s="45">
        <v>19.8</v>
      </c>
      <c r="N12" s="45">
        <v>16.7</v>
      </c>
      <c r="O12" s="45">
        <v>16.7</v>
      </c>
      <c r="P12" s="45">
        <v>16.7</v>
      </c>
      <c r="Q12" s="45">
        <v>16.7</v>
      </c>
      <c r="R12" s="45">
        <v>16.7</v>
      </c>
      <c r="S12" s="45">
        <v>16.7</v>
      </c>
      <c r="T12" s="45">
        <v>16.7</v>
      </c>
      <c r="U12" s="45">
        <v>16.7</v>
      </c>
      <c r="V12" s="45">
        <v>16.7</v>
      </c>
      <c r="W12" s="45">
        <v>16.7</v>
      </c>
      <c r="X12" s="45">
        <v>16.7</v>
      </c>
      <c r="Y12" s="45">
        <v>16.7</v>
      </c>
      <c r="Z12" s="45">
        <v>16.7</v>
      </c>
      <c r="AA12" s="45">
        <v>16.7</v>
      </c>
      <c r="AB12" s="45">
        <v>16.7</v>
      </c>
      <c r="AC12" s="45">
        <v>16.7</v>
      </c>
      <c r="AD12" s="45">
        <v>16.7</v>
      </c>
      <c r="AE12" s="45">
        <v>16.7</v>
      </c>
      <c r="AF12" s="45">
        <v>16.7</v>
      </c>
      <c r="AG12" s="46">
        <v>52.4</v>
      </c>
      <c r="AH12" s="47">
        <f t="shared" si="2"/>
        <v>19.8</v>
      </c>
      <c r="AI12" s="48">
        <f t="shared" si="3"/>
        <v>16.7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50.5</v>
      </c>
      <c r="C13" s="45">
        <v>50.5</v>
      </c>
      <c r="D13" s="45">
        <v>50.5</v>
      </c>
      <c r="E13" s="45">
        <v>50.5</v>
      </c>
      <c r="F13" s="45">
        <v>50.5</v>
      </c>
      <c r="G13" s="45">
        <v>50.5</v>
      </c>
      <c r="H13" s="45">
        <v>50.5</v>
      </c>
      <c r="I13" s="45">
        <v>50.5</v>
      </c>
      <c r="J13" s="45">
        <v>50.5</v>
      </c>
      <c r="K13" s="45">
        <v>50.5</v>
      </c>
      <c r="L13" s="45">
        <v>50.5</v>
      </c>
      <c r="M13" s="45">
        <v>50.5</v>
      </c>
      <c r="N13" s="45">
        <v>50.5</v>
      </c>
      <c r="O13" s="45">
        <v>50.5</v>
      </c>
      <c r="P13" s="45">
        <v>50.5</v>
      </c>
      <c r="Q13" s="45">
        <v>50.5</v>
      </c>
      <c r="R13" s="45">
        <v>50.5</v>
      </c>
      <c r="S13" s="45">
        <v>50.5</v>
      </c>
      <c r="T13" s="45">
        <v>50.5</v>
      </c>
      <c r="U13" s="45">
        <v>50.5</v>
      </c>
      <c r="V13" s="45">
        <v>50.5</v>
      </c>
      <c r="W13" s="45">
        <v>50.5</v>
      </c>
      <c r="X13" s="45">
        <v>50.5</v>
      </c>
      <c r="Y13" s="45">
        <v>50.5</v>
      </c>
      <c r="Z13" s="45">
        <v>50.5</v>
      </c>
      <c r="AA13" s="45">
        <v>50.5</v>
      </c>
      <c r="AB13" s="45">
        <v>50.5</v>
      </c>
      <c r="AC13" s="45">
        <v>50.5</v>
      </c>
      <c r="AD13" s="45">
        <v>50.5</v>
      </c>
      <c r="AE13" s="45">
        <v>50.5</v>
      </c>
      <c r="AF13" s="45">
        <v>50.5</v>
      </c>
      <c r="AG13" s="50">
        <v>50</v>
      </c>
      <c r="AH13" s="47">
        <f t="shared" si="2"/>
        <v>50.5</v>
      </c>
      <c r="AI13" s="48">
        <f t="shared" si="3"/>
        <v>50.5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24</v>
      </c>
      <c r="C14" s="45">
        <v>24</v>
      </c>
      <c r="D14" s="45">
        <v>24</v>
      </c>
      <c r="E14" s="45">
        <v>24</v>
      </c>
      <c r="F14" s="45">
        <v>24</v>
      </c>
      <c r="G14" s="45">
        <v>24.2</v>
      </c>
      <c r="H14" s="45">
        <v>24.2</v>
      </c>
      <c r="I14" s="45">
        <v>24.2</v>
      </c>
      <c r="J14" s="45">
        <v>24.2</v>
      </c>
      <c r="K14" s="45">
        <v>24.2</v>
      </c>
      <c r="L14" s="45">
        <v>24.2</v>
      </c>
      <c r="M14" s="45">
        <v>24.2</v>
      </c>
      <c r="N14" s="45">
        <v>23.3</v>
      </c>
      <c r="O14" s="45">
        <v>23.3</v>
      </c>
      <c r="P14" s="45">
        <v>23.3</v>
      </c>
      <c r="Q14" s="45">
        <v>23.3</v>
      </c>
      <c r="R14" s="45">
        <v>23.3</v>
      </c>
      <c r="S14" s="45">
        <v>23.3</v>
      </c>
      <c r="T14" s="45">
        <v>23.3</v>
      </c>
      <c r="U14" s="45">
        <v>23.3</v>
      </c>
      <c r="V14" s="45">
        <v>23.3</v>
      </c>
      <c r="W14" s="45">
        <v>23.3</v>
      </c>
      <c r="X14" s="45">
        <v>23.3</v>
      </c>
      <c r="Y14" s="45">
        <v>23.3</v>
      </c>
      <c r="Z14" s="45">
        <v>23.3</v>
      </c>
      <c r="AA14" s="45">
        <v>23.3</v>
      </c>
      <c r="AB14" s="45">
        <v>23.3</v>
      </c>
      <c r="AC14" s="45">
        <v>23.3</v>
      </c>
      <c r="AD14" s="45">
        <v>23.3</v>
      </c>
      <c r="AE14" s="45">
        <v>23.3</v>
      </c>
      <c r="AF14" s="45">
        <v>23.3</v>
      </c>
      <c r="AG14" s="50">
        <v>45</v>
      </c>
      <c r="AH14" s="47">
        <f t="shared" si="2"/>
        <v>24.2</v>
      </c>
      <c r="AI14" s="48">
        <f t="shared" si="3"/>
        <v>23.3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32</v>
      </c>
      <c r="C15" s="45">
        <v>32</v>
      </c>
      <c r="D15" s="45">
        <v>25</v>
      </c>
      <c r="E15" s="45">
        <v>25</v>
      </c>
      <c r="F15" s="45">
        <v>25</v>
      </c>
      <c r="G15" s="45">
        <v>22</v>
      </c>
      <c r="H15" s="45">
        <v>22</v>
      </c>
      <c r="I15" s="45">
        <v>22</v>
      </c>
      <c r="J15" s="45">
        <v>22</v>
      </c>
      <c r="K15" s="45">
        <v>22</v>
      </c>
      <c r="L15" s="45">
        <v>22</v>
      </c>
      <c r="M15" s="45">
        <v>22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28</v>
      </c>
      <c r="T15" s="45">
        <v>26</v>
      </c>
      <c r="U15" s="45">
        <v>26</v>
      </c>
      <c r="V15" s="45">
        <v>26</v>
      </c>
      <c r="W15" s="45">
        <v>26</v>
      </c>
      <c r="X15" s="45">
        <v>26</v>
      </c>
      <c r="Y15" s="45">
        <v>26</v>
      </c>
      <c r="Z15" s="45">
        <v>26</v>
      </c>
      <c r="AA15" s="45">
        <v>26</v>
      </c>
      <c r="AB15" s="45">
        <v>26</v>
      </c>
      <c r="AC15" s="45">
        <v>26</v>
      </c>
      <c r="AD15" s="45">
        <v>26</v>
      </c>
      <c r="AE15" s="45">
        <v>26</v>
      </c>
      <c r="AF15" s="45">
        <v>26</v>
      </c>
      <c r="AG15" s="50">
        <v>42</v>
      </c>
      <c r="AH15" s="47">
        <f t="shared" si="2"/>
        <v>32</v>
      </c>
      <c r="AI15" s="48">
        <f t="shared" si="3"/>
        <v>0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22</v>
      </c>
      <c r="C16" s="45">
        <v>22</v>
      </c>
      <c r="D16" s="45">
        <v>0</v>
      </c>
      <c r="E16" s="45">
        <v>0</v>
      </c>
      <c r="F16" s="45">
        <v>0</v>
      </c>
      <c r="G16" s="45">
        <v>27</v>
      </c>
      <c r="H16" s="45">
        <v>27</v>
      </c>
      <c r="I16" s="45">
        <v>24</v>
      </c>
      <c r="J16" s="45">
        <v>24</v>
      </c>
      <c r="K16" s="45">
        <v>24</v>
      </c>
      <c r="L16" s="45">
        <v>24</v>
      </c>
      <c r="M16" s="45">
        <v>24</v>
      </c>
      <c r="N16" s="45">
        <v>23</v>
      </c>
      <c r="O16" s="45">
        <v>23</v>
      </c>
      <c r="P16" s="45">
        <v>23</v>
      </c>
      <c r="Q16" s="45">
        <v>23</v>
      </c>
      <c r="R16" s="45">
        <v>23</v>
      </c>
      <c r="S16" s="45">
        <v>23</v>
      </c>
      <c r="T16" s="45">
        <v>23</v>
      </c>
      <c r="U16" s="45">
        <v>23</v>
      </c>
      <c r="V16" s="45">
        <v>23</v>
      </c>
      <c r="W16" s="45">
        <v>22</v>
      </c>
      <c r="X16" s="45">
        <v>22</v>
      </c>
      <c r="Y16" s="45">
        <v>22</v>
      </c>
      <c r="Z16" s="45">
        <v>24</v>
      </c>
      <c r="AA16" s="45">
        <v>24</v>
      </c>
      <c r="AB16" s="45">
        <v>24</v>
      </c>
      <c r="AC16" s="45">
        <v>24</v>
      </c>
      <c r="AD16" s="45">
        <v>24</v>
      </c>
      <c r="AE16" s="45">
        <v>24</v>
      </c>
      <c r="AF16" s="45">
        <v>24</v>
      </c>
      <c r="AG16" s="50">
        <v>36</v>
      </c>
      <c r="AH16" s="47">
        <f t="shared" si="2"/>
        <v>27</v>
      </c>
      <c r="AI16" s="48">
        <f t="shared" si="3"/>
        <v>0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14.6</v>
      </c>
      <c r="C17" s="45">
        <v>14.6</v>
      </c>
      <c r="D17" s="45">
        <v>14.6</v>
      </c>
      <c r="E17" s="45">
        <v>14.6</v>
      </c>
      <c r="F17" s="45">
        <v>14.6</v>
      </c>
      <c r="G17" s="45">
        <v>14.6</v>
      </c>
      <c r="H17" s="45">
        <v>14.6</v>
      </c>
      <c r="I17" s="45">
        <v>14.6</v>
      </c>
      <c r="J17" s="45">
        <v>14.6</v>
      </c>
      <c r="K17" s="45">
        <v>14.6</v>
      </c>
      <c r="L17" s="45">
        <v>14.6</v>
      </c>
      <c r="M17" s="45">
        <v>14.6</v>
      </c>
      <c r="N17" s="45">
        <v>14.6</v>
      </c>
      <c r="O17" s="45">
        <v>14.6</v>
      </c>
      <c r="P17" s="45">
        <v>14.6</v>
      </c>
      <c r="Q17" s="45">
        <v>14.6</v>
      </c>
      <c r="R17" s="45">
        <v>14.6</v>
      </c>
      <c r="S17" s="45">
        <v>14.6</v>
      </c>
      <c r="T17" s="45">
        <v>14.6</v>
      </c>
      <c r="U17" s="45">
        <v>14.6</v>
      </c>
      <c r="V17" s="45">
        <v>14.6</v>
      </c>
      <c r="W17" s="45">
        <v>14.6</v>
      </c>
      <c r="X17" s="45">
        <v>14.6</v>
      </c>
      <c r="Y17" s="45">
        <v>14.6</v>
      </c>
      <c r="Z17" s="45">
        <v>14.6</v>
      </c>
      <c r="AA17" s="45">
        <v>14.6</v>
      </c>
      <c r="AB17" s="45">
        <v>14.6</v>
      </c>
      <c r="AC17" s="45">
        <v>14.6</v>
      </c>
      <c r="AD17" s="45">
        <v>14.6</v>
      </c>
      <c r="AE17" s="45">
        <v>14.6</v>
      </c>
      <c r="AF17" s="45">
        <v>14.6</v>
      </c>
      <c r="AG17" s="50">
        <v>36</v>
      </c>
      <c r="AH17" s="47">
        <f t="shared" si="2"/>
        <v>14.6</v>
      </c>
      <c r="AI17" s="48">
        <f t="shared" si="3"/>
        <v>14.6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14.4</v>
      </c>
      <c r="C18" s="45">
        <v>14.4</v>
      </c>
      <c r="D18" s="45">
        <v>14.4</v>
      </c>
      <c r="E18" s="45">
        <v>14.4</v>
      </c>
      <c r="F18" s="45">
        <v>13.8</v>
      </c>
      <c r="G18" s="45">
        <v>13.8</v>
      </c>
      <c r="H18" s="45">
        <v>13.8</v>
      </c>
      <c r="I18" s="45">
        <v>13.8</v>
      </c>
      <c r="J18" s="45">
        <v>19.3</v>
      </c>
      <c r="K18" s="45">
        <v>19.8</v>
      </c>
      <c r="L18" s="45">
        <v>19.8</v>
      </c>
      <c r="M18" s="45">
        <v>19.8</v>
      </c>
      <c r="N18" s="45">
        <v>17.2</v>
      </c>
      <c r="O18" s="45">
        <v>17.2</v>
      </c>
      <c r="P18" s="45">
        <v>17.2</v>
      </c>
      <c r="Q18" s="45">
        <v>17.2</v>
      </c>
      <c r="R18" s="45">
        <v>17.2</v>
      </c>
      <c r="S18" s="45">
        <v>17.2</v>
      </c>
      <c r="T18" s="45">
        <v>17.2</v>
      </c>
      <c r="U18" s="45">
        <v>17.2</v>
      </c>
      <c r="V18" s="45">
        <v>17.2</v>
      </c>
      <c r="W18" s="45">
        <v>16</v>
      </c>
      <c r="X18" s="45">
        <v>16</v>
      </c>
      <c r="Y18" s="45">
        <v>16</v>
      </c>
      <c r="Z18" s="45">
        <v>16</v>
      </c>
      <c r="AA18" s="45">
        <v>16</v>
      </c>
      <c r="AB18" s="45">
        <v>16</v>
      </c>
      <c r="AC18" s="45">
        <v>16</v>
      </c>
      <c r="AD18" s="45">
        <v>16</v>
      </c>
      <c r="AE18" s="45">
        <v>16</v>
      </c>
      <c r="AF18" s="45">
        <v>16</v>
      </c>
      <c r="AG18" s="51">
        <v>30</v>
      </c>
      <c r="AH18" s="47">
        <f t="shared" si="2"/>
        <v>19.8</v>
      </c>
      <c r="AI18" s="48">
        <f t="shared" si="3"/>
        <v>13.8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9.3000000000000007</v>
      </c>
      <c r="C19" s="45">
        <v>9.3000000000000007</v>
      </c>
      <c r="D19" s="45">
        <v>9.3000000000000007</v>
      </c>
      <c r="E19" s="45">
        <v>9.3000000000000007</v>
      </c>
      <c r="F19" s="45">
        <v>9.3000000000000007</v>
      </c>
      <c r="G19" s="45">
        <v>9.3000000000000007</v>
      </c>
      <c r="H19" s="45">
        <v>9.3000000000000007</v>
      </c>
      <c r="I19" s="45">
        <v>9.3000000000000007</v>
      </c>
      <c r="J19" s="45">
        <v>9.3000000000000007</v>
      </c>
      <c r="K19" s="45">
        <v>9.3000000000000007</v>
      </c>
      <c r="L19" s="45">
        <v>9.3000000000000007</v>
      </c>
      <c r="M19" s="45">
        <v>9.3000000000000007</v>
      </c>
      <c r="N19" s="45">
        <v>9.1999999999999993</v>
      </c>
      <c r="O19" s="45">
        <v>9.1999999999999993</v>
      </c>
      <c r="P19" s="45">
        <v>9.1999999999999993</v>
      </c>
      <c r="Q19" s="45">
        <v>9.1999999999999993</v>
      </c>
      <c r="R19" s="45">
        <v>9.1999999999999993</v>
      </c>
      <c r="S19" s="45">
        <v>9.1999999999999993</v>
      </c>
      <c r="T19" s="45">
        <v>9.1999999999999993</v>
      </c>
      <c r="U19" s="45">
        <v>9.1999999999999993</v>
      </c>
      <c r="V19" s="45">
        <v>9.1999999999999993</v>
      </c>
      <c r="W19" s="45">
        <v>9.1999999999999993</v>
      </c>
      <c r="X19" s="45">
        <v>9.1999999999999993</v>
      </c>
      <c r="Y19" s="45">
        <v>9.1999999999999993</v>
      </c>
      <c r="Z19" s="45">
        <v>9.1999999999999993</v>
      </c>
      <c r="AA19" s="45">
        <v>9.1999999999999993</v>
      </c>
      <c r="AB19" s="45">
        <v>9.1999999999999993</v>
      </c>
      <c r="AC19" s="45">
        <v>9.1999999999999993</v>
      </c>
      <c r="AD19" s="45">
        <v>9.1999999999999993</v>
      </c>
      <c r="AE19" s="45">
        <v>9.1999999999999993</v>
      </c>
      <c r="AF19" s="45">
        <v>9.1999999999999993</v>
      </c>
      <c r="AG19" s="50">
        <v>24.2</v>
      </c>
      <c r="AH19" s="47">
        <f t="shared" si="2"/>
        <v>9.3000000000000007</v>
      </c>
      <c r="AI19" s="48">
        <f t="shared" si="3"/>
        <v>9.1999999999999993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8.6999999999999993</v>
      </c>
      <c r="C20" s="45">
        <v>8.6999999999999993</v>
      </c>
      <c r="D20" s="45">
        <v>8.6999999999999993</v>
      </c>
      <c r="E20" s="45">
        <v>8.6999999999999993</v>
      </c>
      <c r="F20" s="45">
        <v>8.6999999999999993</v>
      </c>
      <c r="G20" s="45">
        <v>8.6999999999999993</v>
      </c>
      <c r="H20" s="45">
        <v>8.6999999999999993</v>
      </c>
      <c r="I20" s="45">
        <v>8.6999999999999993</v>
      </c>
      <c r="J20" s="45">
        <v>8.6999999999999993</v>
      </c>
      <c r="K20" s="45">
        <v>8.6999999999999993</v>
      </c>
      <c r="L20" s="45">
        <v>8.6999999999999993</v>
      </c>
      <c r="M20" s="45">
        <v>8.6999999999999993</v>
      </c>
      <c r="N20" s="45">
        <v>8.6999999999999993</v>
      </c>
      <c r="O20" s="45">
        <v>8.6999999999999993</v>
      </c>
      <c r="P20" s="45">
        <v>8.6999999999999993</v>
      </c>
      <c r="Q20" s="45">
        <v>8.6999999999999993</v>
      </c>
      <c r="R20" s="45">
        <v>8.6999999999999993</v>
      </c>
      <c r="S20" s="45">
        <v>8.6999999999999993</v>
      </c>
      <c r="T20" s="45">
        <v>8.6999999999999993</v>
      </c>
      <c r="U20" s="45">
        <v>8.6999999999999993</v>
      </c>
      <c r="V20" s="45">
        <v>8.6999999999999993</v>
      </c>
      <c r="W20" s="45">
        <v>8.6999999999999993</v>
      </c>
      <c r="X20" s="45">
        <v>8.6999999999999993</v>
      </c>
      <c r="Y20" s="45">
        <v>8.6999999999999993</v>
      </c>
      <c r="Z20" s="45">
        <v>8.6999999999999993</v>
      </c>
      <c r="AA20" s="45">
        <v>8.6999999999999993</v>
      </c>
      <c r="AB20" s="45">
        <v>8.6999999999999993</v>
      </c>
      <c r="AC20" s="45">
        <v>8.6999999999999993</v>
      </c>
      <c r="AD20" s="45">
        <v>8.6999999999999993</v>
      </c>
      <c r="AE20" s="45">
        <v>8.6999999999999993</v>
      </c>
      <c r="AF20" s="45">
        <v>8.6999999999999993</v>
      </c>
      <c r="AG20" s="50">
        <v>28</v>
      </c>
      <c r="AH20" s="47">
        <f t="shared" si="2"/>
        <v>8.6999999999999993</v>
      </c>
      <c r="AI20" s="48">
        <f t="shared" si="3"/>
        <v>8.6999999999999993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17</v>
      </c>
      <c r="C21" s="45">
        <v>17</v>
      </c>
      <c r="D21" s="45">
        <v>17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17</v>
      </c>
      <c r="L21" s="45">
        <v>17</v>
      </c>
      <c r="M21" s="45">
        <v>17</v>
      </c>
      <c r="N21" s="45">
        <v>17</v>
      </c>
      <c r="O21" s="45">
        <v>17</v>
      </c>
      <c r="P21" s="45">
        <v>17</v>
      </c>
      <c r="Q21" s="45">
        <v>17</v>
      </c>
      <c r="R21" s="45">
        <v>17</v>
      </c>
      <c r="S21" s="45">
        <v>17</v>
      </c>
      <c r="T21" s="45">
        <v>17</v>
      </c>
      <c r="U21" s="45">
        <v>17</v>
      </c>
      <c r="V21" s="45">
        <v>17</v>
      </c>
      <c r="W21" s="45">
        <v>17</v>
      </c>
      <c r="X21" s="45">
        <v>17</v>
      </c>
      <c r="Y21" s="45">
        <v>17</v>
      </c>
      <c r="Z21" s="45">
        <v>17</v>
      </c>
      <c r="AA21" s="45">
        <v>17</v>
      </c>
      <c r="AB21" s="45">
        <v>17</v>
      </c>
      <c r="AC21" s="45">
        <v>17</v>
      </c>
      <c r="AD21" s="45">
        <v>17</v>
      </c>
      <c r="AE21" s="45">
        <v>17</v>
      </c>
      <c r="AF21" s="45">
        <v>17</v>
      </c>
      <c r="AG21" s="51">
        <v>30</v>
      </c>
      <c r="AH21" s="47">
        <f t="shared" si="2"/>
        <v>17</v>
      </c>
      <c r="AI21" s="48">
        <f t="shared" si="3"/>
        <v>14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21</v>
      </c>
      <c r="C22" s="45">
        <v>21</v>
      </c>
      <c r="D22" s="45">
        <v>21</v>
      </c>
      <c r="E22" s="45">
        <v>21</v>
      </c>
      <c r="F22" s="45">
        <v>21</v>
      </c>
      <c r="G22" s="45">
        <v>21</v>
      </c>
      <c r="H22" s="45">
        <v>21</v>
      </c>
      <c r="I22" s="45">
        <v>21</v>
      </c>
      <c r="J22" s="45">
        <v>21</v>
      </c>
      <c r="K22" s="45">
        <v>21</v>
      </c>
      <c r="L22" s="45">
        <v>21</v>
      </c>
      <c r="M22" s="45">
        <v>21</v>
      </c>
      <c r="N22" s="45">
        <v>20.2</v>
      </c>
      <c r="O22" s="45">
        <v>20.2</v>
      </c>
      <c r="P22" s="45">
        <v>20.2</v>
      </c>
      <c r="Q22" s="45">
        <v>20.2</v>
      </c>
      <c r="R22" s="45">
        <v>20.2</v>
      </c>
      <c r="S22" s="45">
        <v>20.2</v>
      </c>
      <c r="T22" s="45">
        <v>20.2</v>
      </c>
      <c r="U22" s="45">
        <v>20.2</v>
      </c>
      <c r="V22" s="45">
        <v>20.2</v>
      </c>
      <c r="W22" s="45">
        <v>20.2</v>
      </c>
      <c r="X22" s="45">
        <v>20.2</v>
      </c>
      <c r="Y22" s="45">
        <v>20.2</v>
      </c>
      <c r="Z22" s="45">
        <v>20.2</v>
      </c>
      <c r="AA22" s="45">
        <v>20.2</v>
      </c>
      <c r="AB22" s="45">
        <v>20.2</v>
      </c>
      <c r="AC22" s="45">
        <v>20.2</v>
      </c>
      <c r="AD22" s="45">
        <v>20.2</v>
      </c>
      <c r="AE22" s="45">
        <v>20.2</v>
      </c>
      <c r="AF22" s="45">
        <v>20.2</v>
      </c>
      <c r="AG22" s="50">
        <v>25</v>
      </c>
      <c r="AH22" s="47">
        <f t="shared" si="2"/>
        <v>21</v>
      </c>
      <c r="AI22" s="48">
        <f t="shared" si="3"/>
        <v>20.2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6</v>
      </c>
      <c r="T24" s="45">
        <v>6</v>
      </c>
      <c r="U24" s="45">
        <v>6</v>
      </c>
      <c r="V24" s="45">
        <v>6</v>
      </c>
      <c r="W24" s="45">
        <v>6</v>
      </c>
      <c r="X24" s="45">
        <v>6</v>
      </c>
      <c r="Y24" s="45">
        <v>6</v>
      </c>
      <c r="Z24" s="45">
        <v>6</v>
      </c>
      <c r="AA24" s="45">
        <v>6</v>
      </c>
      <c r="AB24" s="45">
        <v>6</v>
      </c>
      <c r="AC24" s="45">
        <v>6</v>
      </c>
      <c r="AD24" s="45">
        <v>6</v>
      </c>
      <c r="AE24" s="45">
        <v>6</v>
      </c>
      <c r="AF24" s="45">
        <v>6</v>
      </c>
      <c r="AG24" s="50">
        <v>25</v>
      </c>
      <c r="AH24" s="47">
        <f t="shared" si="2"/>
        <v>6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10</v>
      </c>
      <c r="C25" s="45">
        <v>10</v>
      </c>
      <c r="D25" s="45">
        <v>10</v>
      </c>
      <c r="E25" s="45">
        <v>10</v>
      </c>
      <c r="F25" s="45">
        <v>10</v>
      </c>
      <c r="G25" s="45">
        <v>10</v>
      </c>
      <c r="H25" s="45">
        <v>10</v>
      </c>
      <c r="I25" s="45">
        <v>10</v>
      </c>
      <c r="J25" s="45">
        <v>14</v>
      </c>
      <c r="K25" s="45">
        <v>17</v>
      </c>
      <c r="L25" s="45">
        <v>17</v>
      </c>
      <c r="M25" s="45">
        <v>17</v>
      </c>
      <c r="N25" s="45">
        <v>17</v>
      </c>
      <c r="O25" s="45">
        <v>17</v>
      </c>
      <c r="P25" s="45">
        <v>17</v>
      </c>
      <c r="Q25" s="45">
        <v>17</v>
      </c>
      <c r="R25" s="45">
        <v>17</v>
      </c>
      <c r="S25" s="45">
        <v>17</v>
      </c>
      <c r="T25" s="45">
        <v>17</v>
      </c>
      <c r="U25" s="45">
        <v>17</v>
      </c>
      <c r="V25" s="45">
        <v>17</v>
      </c>
      <c r="W25" s="45">
        <v>17</v>
      </c>
      <c r="X25" s="45">
        <v>17</v>
      </c>
      <c r="Y25" s="45">
        <v>17</v>
      </c>
      <c r="Z25" s="45">
        <v>17</v>
      </c>
      <c r="AA25" s="45">
        <v>17</v>
      </c>
      <c r="AB25" s="45">
        <v>17</v>
      </c>
      <c r="AC25" s="45">
        <v>17</v>
      </c>
      <c r="AD25" s="45">
        <v>17</v>
      </c>
      <c r="AE25" s="45">
        <v>17</v>
      </c>
      <c r="AF25" s="45">
        <v>17</v>
      </c>
      <c r="AG25" s="50">
        <v>25</v>
      </c>
      <c r="AH25" s="47">
        <f t="shared" si="2"/>
        <v>17</v>
      </c>
      <c r="AI25" s="48">
        <f t="shared" si="3"/>
        <v>10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7.7</v>
      </c>
      <c r="C26" s="45">
        <v>7.7</v>
      </c>
      <c r="D26" s="45">
        <v>7.7</v>
      </c>
      <c r="E26" s="45">
        <v>7.7</v>
      </c>
      <c r="F26" s="45">
        <v>7.7</v>
      </c>
      <c r="G26" s="45">
        <v>7.7</v>
      </c>
      <c r="H26" s="45">
        <v>7.7</v>
      </c>
      <c r="I26" s="45">
        <v>7.7</v>
      </c>
      <c r="J26" s="45">
        <v>7.7</v>
      </c>
      <c r="K26" s="45">
        <v>7.7</v>
      </c>
      <c r="L26" s="45">
        <v>7.7</v>
      </c>
      <c r="M26" s="45">
        <v>7.7</v>
      </c>
      <c r="N26" s="45">
        <v>7.1</v>
      </c>
      <c r="O26" s="45">
        <v>7.1</v>
      </c>
      <c r="P26" s="45">
        <v>7.1</v>
      </c>
      <c r="Q26" s="45">
        <v>7.1</v>
      </c>
      <c r="R26" s="45">
        <v>7.1</v>
      </c>
      <c r="S26" s="45">
        <v>7.1</v>
      </c>
      <c r="T26" s="45">
        <v>7.1</v>
      </c>
      <c r="U26" s="45">
        <v>7.1</v>
      </c>
      <c r="V26" s="45">
        <v>7.1</v>
      </c>
      <c r="W26" s="45">
        <v>7.1</v>
      </c>
      <c r="X26" s="45">
        <v>7.1</v>
      </c>
      <c r="Y26" s="45">
        <v>7.1</v>
      </c>
      <c r="Z26" s="45">
        <v>7.1</v>
      </c>
      <c r="AA26" s="45">
        <v>7.1</v>
      </c>
      <c r="AB26" s="45">
        <v>7.1</v>
      </c>
      <c r="AC26" s="45">
        <v>7.1</v>
      </c>
      <c r="AD26" s="45">
        <v>7.1</v>
      </c>
      <c r="AE26" s="45">
        <v>7.1</v>
      </c>
      <c r="AF26" s="45">
        <v>7.1</v>
      </c>
      <c r="AG26" s="50">
        <v>23.5</v>
      </c>
      <c r="AH26" s="47">
        <f t="shared" si="2"/>
        <v>7.7</v>
      </c>
      <c r="AI26" s="48">
        <f t="shared" si="3"/>
        <v>7.1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>
        <v>3</v>
      </c>
      <c r="Y27" s="45">
        <v>3</v>
      </c>
      <c r="Z27" s="45">
        <v>3</v>
      </c>
      <c r="AA27" s="45">
        <v>3</v>
      </c>
      <c r="AB27" s="45">
        <v>3</v>
      </c>
      <c r="AC27" s="45">
        <v>3</v>
      </c>
      <c r="AD27" s="45">
        <v>3</v>
      </c>
      <c r="AE27" s="45">
        <v>3</v>
      </c>
      <c r="AF27" s="45">
        <v>3</v>
      </c>
      <c r="AG27" s="50">
        <v>22.2</v>
      </c>
      <c r="AH27" s="47">
        <f t="shared" si="2"/>
        <v>3</v>
      </c>
      <c r="AI27" s="48">
        <f t="shared" si="3"/>
        <v>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0">
        <v>22.1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10.1</v>
      </c>
      <c r="C30" s="45">
        <v>10.1</v>
      </c>
      <c r="D30" s="45">
        <v>10.1</v>
      </c>
      <c r="E30" s="45">
        <v>10.1</v>
      </c>
      <c r="F30" s="45">
        <v>10.1</v>
      </c>
      <c r="G30" s="45">
        <v>10.1</v>
      </c>
      <c r="H30" s="45">
        <v>10.1</v>
      </c>
      <c r="I30" s="45">
        <v>10.1</v>
      </c>
      <c r="J30" s="45">
        <v>10.1</v>
      </c>
      <c r="K30" s="45">
        <v>10.1</v>
      </c>
      <c r="L30" s="45">
        <v>10.1</v>
      </c>
      <c r="M30" s="45">
        <v>10.1</v>
      </c>
      <c r="N30" s="45">
        <v>8.1999999999999993</v>
      </c>
      <c r="O30" s="45">
        <v>8.1999999999999993</v>
      </c>
      <c r="P30" s="45">
        <v>8.1999999999999993</v>
      </c>
      <c r="Q30" s="45">
        <v>8.1999999999999993</v>
      </c>
      <c r="R30" s="45">
        <v>8.1999999999999993</v>
      </c>
      <c r="S30" s="45">
        <v>8.1999999999999993</v>
      </c>
      <c r="T30" s="45">
        <v>8.1999999999999993</v>
      </c>
      <c r="U30" s="45">
        <v>8.1999999999999993</v>
      </c>
      <c r="V30" s="45">
        <v>8.1999999999999993</v>
      </c>
      <c r="W30" s="45">
        <v>8.1999999999999993</v>
      </c>
      <c r="X30" s="45">
        <v>8.1999999999999993</v>
      </c>
      <c r="Y30" s="45">
        <v>8.1999999999999993</v>
      </c>
      <c r="Z30" s="45">
        <v>8.1999999999999993</v>
      </c>
      <c r="AA30" s="45">
        <v>8.1999999999999993</v>
      </c>
      <c r="AB30" s="45">
        <v>8.1999999999999993</v>
      </c>
      <c r="AC30" s="45">
        <v>8.1999999999999993</v>
      </c>
      <c r="AD30" s="45">
        <v>8.1999999999999993</v>
      </c>
      <c r="AE30" s="45">
        <v>8.1999999999999993</v>
      </c>
      <c r="AF30" s="45">
        <v>8.1999999999999993</v>
      </c>
      <c r="AG30" s="50">
        <v>22</v>
      </c>
      <c r="AH30" s="47">
        <f t="shared" si="2"/>
        <v>10.1</v>
      </c>
      <c r="AI30" s="48">
        <f t="shared" si="3"/>
        <v>8.1999999999999993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16</v>
      </c>
      <c r="C31" s="45">
        <v>16</v>
      </c>
      <c r="D31" s="45">
        <v>16</v>
      </c>
      <c r="E31" s="45">
        <v>16</v>
      </c>
      <c r="F31" s="45">
        <v>16</v>
      </c>
      <c r="G31" s="45">
        <v>16</v>
      </c>
      <c r="H31" s="45">
        <v>16</v>
      </c>
      <c r="I31" s="45">
        <v>16</v>
      </c>
      <c r="J31" s="45">
        <v>16</v>
      </c>
      <c r="K31" s="45">
        <v>16</v>
      </c>
      <c r="L31" s="45">
        <v>16</v>
      </c>
      <c r="M31" s="45">
        <v>16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50">
        <v>20</v>
      </c>
      <c r="AH31" s="47">
        <f t="shared" si="2"/>
        <v>16</v>
      </c>
      <c r="AI31" s="48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50">
        <v>18</v>
      </c>
      <c r="AH32" s="47">
        <f t="shared" si="2"/>
        <v>8</v>
      </c>
      <c r="AI32" s="48">
        <f t="shared" si="3"/>
        <v>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8</v>
      </c>
      <c r="C33" s="45">
        <v>8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14</v>
      </c>
      <c r="N33" s="45">
        <v>14</v>
      </c>
      <c r="O33" s="45">
        <v>14</v>
      </c>
      <c r="P33" s="45">
        <v>14</v>
      </c>
      <c r="Q33" s="45">
        <v>14</v>
      </c>
      <c r="R33" s="45">
        <v>14</v>
      </c>
      <c r="S33" s="45">
        <v>14</v>
      </c>
      <c r="T33" s="45">
        <v>14</v>
      </c>
      <c r="U33" s="45">
        <v>14</v>
      </c>
      <c r="V33" s="45">
        <v>14</v>
      </c>
      <c r="W33" s="45">
        <v>14</v>
      </c>
      <c r="X33" s="45">
        <v>14</v>
      </c>
      <c r="Y33" s="45">
        <v>14</v>
      </c>
      <c r="Z33" s="45">
        <v>14</v>
      </c>
      <c r="AA33" s="45">
        <v>14</v>
      </c>
      <c r="AB33" s="45">
        <v>14</v>
      </c>
      <c r="AC33" s="45">
        <v>14</v>
      </c>
      <c r="AD33" s="45">
        <v>14</v>
      </c>
      <c r="AE33" s="45">
        <v>14</v>
      </c>
      <c r="AF33" s="45">
        <v>14</v>
      </c>
      <c r="AG33" s="50">
        <v>14.9</v>
      </c>
      <c r="AH33" s="47">
        <f t="shared" si="2"/>
        <v>14</v>
      </c>
      <c r="AI33" s="48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2</v>
      </c>
      <c r="C35" s="45">
        <v>2</v>
      </c>
      <c r="D35" s="45">
        <v>2</v>
      </c>
      <c r="E35" s="45">
        <v>2</v>
      </c>
      <c r="F35" s="45">
        <v>2</v>
      </c>
      <c r="G35" s="45">
        <v>2</v>
      </c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0</v>
      </c>
      <c r="O35" s="45">
        <v>0</v>
      </c>
      <c r="P35" s="45">
        <v>0</v>
      </c>
      <c r="Q35" s="45">
        <v>2</v>
      </c>
      <c r="R35" s="45">
        <v>2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2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3</v>
      </c>
      <c r="C36" s="45">
        <v>3</v>
      </c>
      <c r="D36" s="45">
        <v>3</v>
      </c>
      <c r="E36" s="45">
        <v>3</v>
      </c>
      <c r="F36" s="45">
        <v>3</v>
      </c>
      <c r="G36" s="45">
        <v>3</v>
      </c>
      <c r="H36" s="45">
        <v>3</v>
      </c>
      <c r="I36" s="45">
        <v>3</v>
      </c>
      <c r="J36" s="45">
        <v>3</v>
      </c>
      <c r="K36" s="45">
        <v>3</v>
      </c>
      <c r="L36" s="45">
        <v>3</v>
      </c>
      <c r="M36" s="45">
        <v>3</v>
      </c>
      <c r="N36" s="45">
        <v>3</v>
      </c>
      <c r="O36" s="45">
        <v>3</v>
      </c>
      <c r="P36" s="45">
        <v>3</v>
      </c>
      <c r="Q36" s="45">
        <v>3</v>
      </c>
      <c r="R36" s="45">
        <v>3</v>
      </c>
      <c r="S36" s="45">
        <v>3</v>
      </c>
      <c r="T36" s="45">
        <v>3</v>
      </c>
      <c r="U36" s="45">
        <v>3</v>
      </c>
      <c r="V36" s="45">
        <v>3</v>
      </c>
      <c r="W36" s="45">
        <v>3</v>
      </c>
      <c r="X36" s="45">
        <v>3</v>
      </c>
      <c r="Y36" s="45">
        <v>3</v>
      </c>
      <c r="Z36" s="45">
        <v>3</v>
      </c>
      <c r="AA36" s="45">
        <v>3</v>
      </c>
      <c r="AB36" s="45">
        <v>3</v>
      </c>
      <c r="AC36" s="45">
        <v>3</v>
      </c>
      <c r="AD36" s="45">
        <v>3</v>
      </c>
      <c r="AE36" s="45">
        <v>3</v>
      </c>
      <c r="AF36" s="45">
        <v>3</v>
      </c>
      <c r="AG36" s="50">
        <v>13</v>
      </c>
      <c r="AH36" s="47">
        <f t="shared" si="2"/>
        <v>3</v>
      </c>
      <c r="AI36" s="48">
        <f t="shared" si="3"/>
        <v>3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0">
        <v>12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4</v>
      </c>
      <c r="C38" s="45">
        <v>4</v>
      </c>
      <c r="D38" s="45">
        <v>4</v>
      </c>
      <c r="E38" s="45">
        <v>4</v>
      </c>
      <c r="F38" s="45">
        <v>4</v>
      </c>
      <c r="G38" s="45">
        <v>4</v>
      </c>
      <c r="H38" s="45">
        <v>4</v>
      </c>
      <c r="I38" s="45">
        <v>4</v>
      </c>
      <c r="J38" s="45">
        <v>4</v>
      </c>
      <c r="K38" s="45">
        <v>12</v>
      </c>
      <c r="L38" s="45">
        <v>12</v>
      </c>
      <c r="M38" s="45">
        <v>12</v>
      </c>
      <c r="N38" s="45">
        <v>12</v>
      </c>
      <c r="O38" s="45">
        <v>12</v>
      </c>
      <c r="P38" s="45">
        <v>12</v>
      </c>
      <c r="Q38" s="45">
        <v>12</v>
      </c>
      <c r="R38" s="45">
        <v>12</v>
      </c>
      <c r="S38" s="45">
        <v>12</v>
      </c>
      <c r="T38" s="45">
        <v>12</v>
      </c>
      <c r="U38" s="45">
        <v>12</v>
      </c>
      <c r="V38" s="45">
        <v>12</v>
      </c>
      <c r="W38" s="45">
        <v>12</v>
      </c>
      <c r="X38" s="45">
        <v>12</v>
      </c>
      <c r="Y38" s="45">
        <v>12</v>
      </c>
      <c r="Z38" s="45">
        <v>12</v>
      </c>
      <c r="AA38" s="45">
        <v>12</v>
      </c>
      <c r="AB38" s="45">
        <v>12</v>
      </c>
      <c r="AC38" s="45">
        <v>12</v>
      </c>
      <c r="AD38" s="45">
        <v>12</v>
      </c>
      <c r="AE38" s="45">
        <v>12</v>
      </c>
      <c r="AF38" s="45">
        <v>12</v>
      </c>
      <c r="AG38" s="50">
        <v>12</v>
      </c>
      <c r="AH38" s="47">
        <f t="shared" si="2"/>
        <v>12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>
        <v>3</v>
      </c>
      <c r="AB39" s="45">
        <v>3</v>
      </c>
      <c r="AC39" s="45">
        <v>3</v>
      </c>
      <c r="AD39" s="45">
        <v>3</v>
      </c>
      <c r="AE39" s="45">
        <v>3</v>
      </c>
      <c r="AF39" s="45">
        <v>3</v>
      </c>
      <c r="AG39" s="50">
        <v>12</v>
      </c>
      <c r="AH39" s="47">
        <f t="shared" si="2"/>
        <v>3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52">
        <v>22</v>
      </c>
      <c r="AH40" s="47">
        <f t="shared" si="2"/>
        <v>2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>
        <v>3.6</v>
      </c>
      <c r="Q41" s="45">
        <v>3.6</v>
      </c>
      <c r="R41" s="45">
        <v>3.6</v>
      </c>
      <c r="S41" s="45">
        <v>3.6</v>
      </c>
      <c r="T41" s="45">
        <v>3.6</v>
      </c>
      <c r="U41" s="45">
        <v>3.6</v>
      </c>
      <c r="V41" s="45">
        <v>3.6</v>
      </c>
      <c r="W41" s="45">
        <v>3.6</v>
      </c>
      <c r="X41" s="45">
        <v>3.6</v>
      </c>
      <c r="Y41" s="45">
        <v>3.6</v>
      </c>
      <c r="Z41" s="45">
        <v>3.6</v>
      </c>
      <c r="AA41" s="45">
        <v>3.6</v>
      </c>
      <c r="AB41" s="45">
        <v>3.6</v>
      </c>
      <c r="AC41" s="45">
        <v>3.6</v>
      </c>
      <c r="AD41" s="45">
        <v>3.6</v>
      </c>
      <c r="AE41" s="45">
        <v>3.6</v>
      </c>
      <c r="AF41" s="45">
        <v>3.6</v>
      </c>
      <c r="AG41" s="51">
        <v>11.88</v>
      </c>
      <c r="AH41" s="47">
        <f t="shared" si="2"/>
        <v>3.6</v>
      </c>
      <c r="AI41" s="48">
        <f t="shared" si="3"/>
        <v>3.6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3</v>
      </c>
      <c r="C43" s="45">
        <v>3</v>
      </c>
      <c r="D43" s="45">
        <v>3</v>
      </c>
      <c r="E43" s="45">
        <v>3</v>
      </c>
      <c r="F43" s="45">
        <v>3</v>
      </c>
      <c r="G43" s="45">
        <v>3</v>
      </c>
      <c r="H43" s="45">
        <v>3</v>
      </c>
      <c r="I43" s="45">
        <v>3</v>
      </c>
      <c r="J43" s="45">
        <v>3</v>
      </c>
      <c r="K43" s="45">
        <v>3</v>
      </c>
      <c r="L43" s="45">
        <v>3</v>
      </c>
      <c r="M43" s="45">
        <v>8</v>
      </c>
      <c r="N43" s="45">
        <v>0</v>
      </c>
      <c r="O43" s="45">
        <v>0</v>
      </c>
      <c r="P43" s="45">
        <v>0</v>
      </c>
      <c r="Q43" s="45">
        <v>8</v>
      </c>
      <c r="R43" s="45">
        <v>8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54">
        <v>10</v>
      </c>
      <c r="AH43" s="47">
        <f t="shared" si="2"/>
        <v>8</v>
      </c>
      <c r="AI43" s="48">
        <f t="shared" si="3"/>
        <v>0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>
        <v>3</v>
      </c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>
        <v>3</v>
      </c>
      <c r="Y44" s="45">
        <v>3</v>
      </c>
      <c r="Z44" s="45">
        <v>3</v>
      </c>
      <c r="AA44" s="45">
        <v>3</v>
      </c>
      <c r="AB44" s="45">
        <v>3</v>
      </c>
      <c r="AC44" s="45">
        <v>3</v>
      </c>
      <c r="AD44" s="45">
        <v>3</v>
      </c>
      <c r="AE44" s="45">
        <v>3</v>
      </c>
      <c r="AF44" s="45">
        <v>3</v>
      </c>
      <c r="AG44" s="54">
        <v>10</v>
      </c>
      <c r="AH44" s="47">
        <f t="shared" si="2"/>
        <v>3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225</v>
      </c>
      <c r="C46" s="56">
        <v>225</v>
      </c>
      <c r="D46" s="56">
        <v>225</v>
      </c>
      <c r="E46" s="56">
        <v>225</v>
      </c>
      <c r="F46" s="56">
        <v>225</v>
      </c>
      <c r="G46" s="56">
        <v>225</v>
      </c>
      <c r="H46" s="56">
        <v>225</v>
      </c>
      <c r="I46" s="56">
        <v>225</v>
      </c>
      <c r="J46" s="56">
        <v>225</v>
      </c>
      <c r="K46" s="56">
        <v>225</v>
      </c>
      <c r="L46" s="56">
        <v>225</v>
      </c>
      <c r="M46" s="56">
        <v>225</v>
      </c>
      <c r="N46" s="56">
        <v>225</v>
      </c>
      <c r="O46" s="56">
        <v>225</v>
      </c>
      <c r="P46" s="56">
        <v>225</v>
      </c>
      <c r="Q46" s="56">
        <v>225</v>
      </c>
      <c r="R46" s="56">
        <v>225</v>
      </c>
      <c r="S46" s="56">
        <v>225</v>
      </c>
      <c r="T46" s="56">
        <v>225</v>
      </c>
      <c r="U46" s="56">
        <v>225</v>
      </c>
      <c r="V46" s="56">
        <v>225</v>
      </c>
      <c r="W46" s="56">
        <v>225</v>
      </c>
      <c r="X46" s="56">
        <v>225</v>
      </c>
      <c r="Y46" s="56">
        <v>225</v>
      </c>
      <c r="Z46" s="56">
        <v>225</v>
      </c>
      <c r="AA46" s="56">
        <v>225</v>
      </c>
      <c r="AB46" s="56">
        <v>225</v>
      </c>
      <c r="AC46" s="56">
        <v>225</v>
      </c>
      <c r="AD46" s="56">
        <v>225</v>
      </c>
      <c r="AE46" s="56">
        <v>225</v>
      </c>
      <c r="AF46" s="56">
        <v>225</v>
      </c>
      <c r="AG46" s="54">
        <v>85</v>
      </c>
      <c r="AH46" s="47">
        <f t="shared" si="2"/>
        <v>225</v>
      </c>
      <c r="AI46" s="48">
        <f t="shared" si="3"/>
        <v>225</v>
      </c>
      <c r="AK46" s="49"/>
    </row>
    <row r="47" spans="1:88" ht="15.75" thickBot="1" x14ac:dyDescent="0.3">
      <c r="A47" s="57" t="s">
        <v>55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56</v>
      </c>
      <c r="B48" s="60">
        <f>SUM(B11:B46)</f>
        <v>613.5</v>
      </c>
      <c r="C48" s="60">
        <f t="shared" ref="C48:AF48" si="4">SUM(C11:C46)</f>
        <v>613.5</v>
      </c>
      <c r="D48" s="60">
        <f t="shared" si="4"/>
        <v>576.5</v>
      </c>
      <c r="E48" s="60">
        <f t="shared" si="4"/>
        <v>573.5</v>
      </c>
      <c r="F48" s="60">
        <f t="shared" si="4"/>
        <v>572.90000000000009</v>
      </c>
      <c r="G48" s="60">
        <f t="shared" si="4"/>
        <v>592</v>
      </c>
      <c r="H48" s="60">
        <f t="shared" si="4"/>
        <v>592</v>
      </c>
      <c r="I48" s="60">
        <f t="shared" si="4"/>
        <v>589</v>
      </c>
      <c r="J48" s="60">
        <f t="shared" si="4"/>
        <v>600.70000000000005</v>
      </c>
      <c r="K48" s="60">
        <f t="shared" si="4"/>
        <v>616</v>
      </c>
      <c r="L48" s="60">
        <f t="shared" si="4"/>
        <v>616</v>
      </c>
      <c r="M48" s="60">
        <f t="shared" si="4"/>
        <v>635</v>
      </c>
      <c r="N48" s="60">
        <f t="shared" si="4"/>
        <v>576</v>
      </c>
      <c r="O48" s="60">
        <f t="shared" si="4"/>
        <v>576</v>
      </c>
      <c r="P48" s="60">
        <f t="shared" si="4"/>
        <v>576</v>
      </c>
      <c r="Q48" s="60">
        <f t="shared" si="4"/>
        <v>586</v>
      </c>
      <c r="R48" s="60">
        <f>SUM(R11:R46)</f>
        <v>586</v>
      </c>
      <c r="S48" s="60">
        <f t="shared" si="4"/>
        <v>604</v>
      </c>
      <c r="T48" s="60">
        <f t="shared" si="4"/>
        <v>602</v>
      </c>
      <c r="U48" s="60">
        <f t="shared" si="4"/>
        <v>608</v>
      </c>
      <c r="V48" s="60">
        <f t="shared" si="4"/>
        <v>608</v>
      </c>
      <c r="W48" s="60">
        <f t="shared" si="4"/>
        <v>605.79999999999995</v>
      </c>
      <c r="X48" s="60">
        <f t="shared" si="4"/>
        <v>605.79999999999995</v>
      </c>
      <c r="Y48" s="60">
        <f t="shared" si="4"/>
        <v>605.79999999999995</v>
      </c>
      <c r="Z48" s="60">
        <f t="shared" si="4"/>
        <v>607.79999999999995</v>
      </c>
      <c r="AA48" s="60">
        <f t="shared" si="4"/>
        <v>607.79999999999995</v>
      </c>
      <c r="AB48" s="60">
        <f t="shared" si="4"/>
        <v>607.79999999999995</v>
      </c>
      <c r="AC48" s="60">
        <f t="shared" si="4"/>
        <v>607.79999999999995</v>
      </c>
      <c r="AD48" s="60">
        <f t="shared" si="4"/>
        <v>607.79999999999995</v>
      </c>
      <c r="AE48" s="60">
        <f t="shared" si="4"/>
        <v>607.79999999999995</v>
      </c>
      <c r="AF48" s="60">
        <f t="shared" si="4"/>
        <v>607.79999999999995</v>
      </c>
      <c r="AG48" s="61">
        <f>SUM(AG12:AG46)</f>
        <v>875.68</v>
      </c>
      <c r="AH48" s="47">
        <f t="shared" si="2"/>
        <v>635</v>
      </c>
      <c r="AI48" s="48">
        <f t="shared" si="3"/>
        <v>572.90000000000009</v>
      </c>
      <c r="AK48" s="49"/>
    </row>
    <row r="49" spans="1:41" x14ac:dyDescent="0.25">
      <c r="A49" s="62" t="s">
        <v>57</v>
      </c>
      <c r="B49" s="45">
        <v>200</v>
      </c>
      <c r="C49" s="45">
        <v>200</v>
      </c>
      <c r="D49" s="45">
        <v>113</v>
      </c>
      <c r="E49" s="45">
        <v>113</v>
      </c>
      <c r="F49" s="45">
        <v>100</v>
      </c>
      <c r="G49" s="45">
        <v>80</v>
      </c>
      <c r="H49" s="45">
        <v>90</v>
      </c>
      <c r="I49" s="45">
        <v>50</v>
      </c>
      <c r="J49" s="45">
        <v>30</v>
      </c>
      <c r="K49" s="45">
        <v>30</v>
      </c>
      <c r="L49" s="45">
        <v>30</v>
      </c>
      <c r="M49" s="63">
        <v>30</v>
      </c>
      <c r="N49" s="63">
        <v>50</v>
      </c>
      <c r="O49" s="45">
        <v>50</v>
      </c>
      <c r="P49" s="45">
        <v>30</v>
      </c>
      <c r="Q49" s="45">
        <v>15</v>
      </c>
      <c r="R49" s="45">
        <v>40</v>
      </c>
      <c r="S49" s="45">
        <v>76</v>
      </c>
      <c r="T49" s="45">
        <v>152</v>
      </c>
      <c r="U49" s="45">
        <v>170</v>
      </c>
      <c r="V49" s="45">
        <v>170</v>
      </c>
      <c r="W49" s="45">
        <v>60</v>
      </c>
      <c r="X49" s="45">
        <v>80</v>
      </c>
      <c r="Y49" s="45">
        <v>50</v>
      </c>
      <c r="Z49" s="45">
        <v>180</v>
      </c>
      <c r="AA49" s="45">
        <v>270</v>
      </c>
      <c r="AB49" s="45">
        <v>300</v>
      </c>
      <c r="AC49" s="45">
        <v>290</v>
      </c>
      <c r="AD49" s="45">
        <v>440</v>
      </c>
      <c r="AE49" s="45">
        <v>420</v>
      </c>
      <c r="AF49" s="45">
        <v>400</v>
      </c>
      <c r="AG49" s="51">
        <v>456</v>
      </c>
      <c r="AH49" s="47">
        <f t="shared" si="2"/>
        <v>440</v>
      </c>
      <c r="AI49" s="48">
        <f t="shared" si="3"/>
        <v>15</v>
      </c>
      <c r="AK49" s="49"/>
    </row>
    <row r="50" spans="1:41" x14ac:dyDescent="0.25">
      <c r="A50" s="64" t="s">
        <v>58</v>
      </c>
      <c r="B50" s="65">
        <v>36</v>
      </c>
      <c r="C50" s="65">
        <v>36</v>
      </c>
      <c r="D50" s="65">
        <v>36</v>
      </c>
      <c r="E50" s="65">
        <v>36</v>
      </c>
      <c r="F50" s="65">
        <v>36</v>
      </c>
      <c r="G50" s="65">
        <v>36</v>
      </c>
      <c r="H50" s="65">
        <v>36</v>
      </c>
      <c r="I50" s="65">
        <v>36</v>
      </c>
      <c r="J50" s="65">
        <v>36</v>
      </c>
      <c r="K50" s="65">
        <v>36</v>
      </c>
      <c r="L50" s="65">
        <v>36</v>
      </c>
      <c r="M50" s="65">
        <v>32</v>
      </c>
      <c r="N50" s="65">
        <v>32</v>
      </c>
      <c r="O50" s="65">
        <v>32</v>
      </c>
      <c r="P50" s="65">
        <v>32</v>
      </c>
      <c r="Q50" s="65">
        <v>32</v>
      </c>
      <c r="R50" s="65">
        <v>32</v>
      </c>
      <c r="S50" s="65">
        <v>32</v>
      </c>
      <c r="T50" s="65">
        <v>32</v>
      </c>
      <c r="U50" s="65">
        <v>32</v>
      </c>
      <c r="V50" s="65">
        <v>32</v>
      </c>
      <c r="W50" s="65">
        <v>32</v>
      </c>
      <c r="X50" s="65">
        <v>32</v>
      </c>
      <c r="Y50" s="65">
        <v>32</v>
      </c>
      <c r="Z50" s="65">
        <v>32</v>
      </c>
      <c r="AA50" s="65">
        <v>32</v>
      </c>
      <c r="AB50" s="65">
        <v>32</v>
      </c>
      <c r="AC50" s="65">
        <v>32</v>
      </c>
      <c r="AD50" s="65">
        <v>32</v>
      </c>
      <c r="AE50" s="65">
        <v>32</v>
      </c>
      <c r="AF50" s="65">
        <v>32</v>
      </c>
      <c r="AG50" s="54">
        <v>60</v>
      </c>
      <c r="AH50" s="47">
        <f t="shared" si="2"/>
        <v>36</v>
      </c>
      <c r="AI50" s="48">
        <f t="shared" si="3"/>
        <v>32</v>
      </c>
      <c r="AK50" s="49"/>
    </row>
    <row r="51" spans="1:41" ht="15.75" thickBot="1" x14ac:dyDescent="0.3">
      <c r="A51" s="66" t="s">
        <v>59</v>
      </c>
      <c r="B51" s="67">
        <v>22.4</v>
      </c>
      <c r="C51" s="67">
        <v>22.4</v>
      </c>
      <c r="D51" s="67">
        <v>22.4</v>
      </c>
      <c r="E51" s="67">
        <v>22.4</v>
      </c>
      <c r="F51" s="67">
        <v>20.3</v>
      </c>
      <c r="G51" s="67">
        <v>20.3</v>
      </c>
      <c r="H51" s="67">
        <v>20.3</v>
      </c>
      <c r="I51" s="67">
        <v>20.3</v>
      </c>
      <c r="J51" s="67">
        <v>20.3</v>
      </c>
      <c r="K51" s="67">
        <v>20.3</v>
      </c>
      <c r="L51" s="67">
        <v>20.3</v>
      </c>
      <c r="M51" s="67">
        <v>20.3</v>
      </c>
      <c r="N51" s="67">
        <v>20.3</v>
      </c>
      <c r="O51" s="67">
        <v>21.1</v>
      </c>
      <c r="P51" s="67">
        <v>21.1</v>
      </c>
      <c r="Q51" s="67">
        <v>21.1</v>
      </c>
      <c r="R51" s="67">
        <v>19.5</v>
      </c>
      <c r="S51" s="67">
        <v>19.5</v>
      </c>
      <c r="T51" s="67">
        <v>19.5</v>
      </c>
      <c r="U51" s="67">
        <v>19.600000000000001</v>
      </c>
      <c r="V51" s="67">
        <v>19.600000000000001</v>
      </c>
      <c r="W51" s="67">
        <v>19.600000000000001</v>
      </c>
      <c r="X51" s="67">
        <v>19.600000000000001</v>
      </c>
      <c r="Y51" s="67">
        <v>19.600000000000001</v>
      </c>
      <c r="Z51" s="67">
        <v>19.600000000000001</v>
      </c>
      <c r="AA51" s="67">
        <v>19.600000000000001</v>
      </c>
      <c r="AB51" s="67">
        <v>19.600000000000001</v>
      </c>
      <c r="AC51" s="67">
        <v>19.600000000000001</v>
      </c>
      <c r="AD51" s="67">
        <v>19.600000000000001</v>
      </c>
      <c r="AE51" s="67">
        <v>19.600000000000001</v>
      </c>
      <c r="AF51" s="67">
        <v>19.600000000000001</v>
      </c>
      <c r="AG51" s="68">
        <v>22.1</v>
      </c>
      <c r="AH51" s="47">
        <f t="shared" si="2"/>
        <v>22.4</v>
      </c>
      <c r="AI51" s="48">
        <f t="shared" si="3"/>
        <v>19.5</v>
      </c>
      <c r="AK51" s="49"/>
    </row>
    <row r="52" spans="1:41" ht="15.75" thickBot="1" x14ac:dyDescent="0.3">
      <c r="A52" s="69" t="s">
        <v>60</v>
      </c>
      <c r="B52" s="60">
        <f t="shared" ref="B52:AG52" si="5">SUM(B49:B51)</f>
        <v>258.39999999999998</v>
      </c>
      <c r="C52" s="60">
        <f t="shared" si="5"/>
        <v>258.39999999999998</v>
      </c>
      <c r="D52" s="60">
        <f t="shared" si="5"/>
        <v>171.4</v>
      </c>
      <c r="E52" s="60">
        <f t="shared" si="5"/>
        <v>171.4</v>
      </c>
      <c r="F52" s="60">
        <f t="shared" si="5"/>
        <v>156.30000000000001</v>
      </c>
      <c r="G52" s="60">
        <f t="shared" si="5"/>
        <v>136.30000000000001</v>
      </c>
      <c r="H52" s="60">
        <f t="shared" si="5"/>
        <v>146.30000000000001</v>
      </c>
      <c r="I52" s="60">
        <f t="shared" si="5"/>
        <v>106.3</v>
      </c>
      <c r="J52" s="60">
        <f t="shared" si="5"/>
        <v>86.3</v>
      </c>
      <c r="K52" s="60">
        <f t="shared" si="5"/>
        <v>86.3</v>
      </c>
      <c r="L52" s="60">
        <f t="shared" si="5"/>
        <v>86.3</v>
      </c>
      <c r="M52" s="60">
        <f t="shared" si="5"/>
        <v>82.3</v>
      </c>
      <c r="N52" s="60">
        <f t="shared" si="5"/>
        <v>102.3</v>
      </c>
      <c r="O52" s="60">
        <f t="shared" si="5"/>
        <v>103.1</v>
      </c>
      <c r="P52" s="60">
        <f t="shared" si="5"/>
        <v>83.1</v>
      </c>
      <c r="Q52" s="60">
        <f t="shared" si="5"/>
        <v>68.099999999999994</v>
      </c>
      <c r="R52" s="60">
        <f t="shared" si="5"/>
        <v>91.5</v>
      </c>
      <c r="S52" s="60">
        <f t="shared" si="5"/>
        <v>127.5</v>
      </c>
      <c r="T52" s="60">
        <f t="shared" si="5"/>
        <v>203.5</v>
      </c>
      <c r="U52" s="60">
        <f t="shared" si="5"/>
        <v>221.6</v>
      </c>
      <c r="V52" s="60">
        <f t="shared" si="5"/>
        <v>221.6</v>
      </c>
      <c r="W52" s="60">
        <f t="shared" si="5"/>
        <v>111.6</v>
      </c>
      <c r="X52" s="60">
        <f t="shared" si="5"/>
        <v>131.6</v>
      </c>
      <c r="Y52" s="60">
        <f t="shared" si="5"/>
        <v>101.6</v>
      </c>
      <c r="Z52" s="60">
        <f t="shared" si="5"/>
        <v>231.6</v>
      </c>
      <c r="AA52" s="60">
        <f t="shared" si="5"/>
        <v>321.60000000000002</v>
      </c>
      <c r="AB52" s="60">
        <f t="shared" si="5"/>
        <v>351.6</v>
      </c>
      <c r="AC52" s="60">
        <f t="shared" si="5"/>
        <v>341.6</v>
      </c>
      <c r="AD52" s="60">
        <f t="shared" si="5"/>
        <v>491.6</v>
      </c>
      <c r="AE52" s="60">
        <f t="shared" si="5"/>
        <v>471.6</v>
      </c>
      <c r="AF52" s="60">
        <f t="shared" si="5"/>
        <v>451.6</v>
      </c>
      <c r="AG52" s="61">
        <f t="shared" si="5"/>
        <v>538.1</v>
      </c>
      <c r="AH52" s="47">
        <f t="shared" si="2"/>
        <v>491.6</v>
      </c>
      <c r="AI52" s="48">
        <f t="shared" si="3"/>
        <v>68.099999999999994</v>
      </c>
      <c r="AK52" s="49"/>
    </row>
    <row r="53" spans="1:41" x14ac:dyDescent="0.25">
      <c r="A53" s="44" t="s">
        <v>61</v>
      </c>
      <c r="B53" s="45">
        <v>111.7</v>
      </c>
      <c r="C53" s="45">
        <v>111.7</v>
      </c>
      <c r="D53" s="45">
        <v>111.7</v>
      </c>
      <c r="E53" s="45">
        <v>112</v>
      </c>
      <c r="F53" s="45">
        <v>112</v>
      </c>
      <c r="G53" s="45">
        <v>112</v>
      </c>
      <c r="H53" s="45">
        <v>112</v>
      </c>
      <c r="I53" s="45">
        <v>112</v>
      </c>
      <c r="J53" s="45">
        <v>113</v>
      </c>
      <c r="K53" s="45">
        <v>112</v>
      </c>
      <c r="L53" s="45">
        <v>112</v>
      </c>
      <c r="M53" s="45">
        <v>111</v>
      </c>
      <c r="N53" s="45">
        <v>106.8</v>
      </c>
      <c r="O53" s="45">
        <v>122.1</v>
      </c>
      <c r="P53" s="45">
        <v>121.9</v>
      </c>
      <c r="Q53" s="45">
        <v>136.30000000000001</v>
      </c>
      <c r="R53" s="45">
        <v>145.6</v>
      </c>
      <c r="S53" s="45">
        <v>145.6</v>
      </c>
      <c r="T53" s="45">
        <v>145.6</v>
      </c>
      <c r="U53" s="45">
        <v>145.5</v>
      </c>
      <c r="V53" s="45">
        <v>145.5</v>
      </c>
      <c r="W53" s="45">
        <v>137</v>
      </c>
      <c r="X53" s="45">
        <v>137</v>
      </c>
      <c r="Y53" s="45">
        <v>137</v>
      </c>
      <c r="Z53" s="45">
        <v>145.30000000000001</v>
      </c>
      <c r="AA53" s="45">
        <v>145.30000000000001</v>
      </c>
      <c r="AB53" s="45">
        <v>145.30000000000001</v>
      </c>
      <c r="AC53" s="45">
        <v>132</v>
      </c>
      <c r="AD53" s="45">
        <v>132</v>
      </c>
      <c r="AE53" s="45">
        <v>145</v>
      </c>
      <c r="AF53" s="45">
        <v>145</v>
      </c>
      <c r="AG53" s="51">
        <v>144</v>
      </c>
      <c r="AH53" s="47">
        <f t="shared" si="2"/>
        <v>145.6</v>
      </c>
      <c r="AI53" s="48">
        <f t="shared" si="3"/>
        <v>106.8</v>
      </c>
      <c r="AK53" s="49"/>
    </row>
    <row r="54" spans="1:41" x14ac:dyDescent="0.25">
      <c r="A54" s="53" t="s">
        <v>62</v>
      </c>
      <c r="B54" s="65">
        <v>24</v>
      </c>
      <c r="C54" s="65">
        <v>24</v>
      </c>
      <c r="D54" s="65">
        <v>24</v>
      </c>
      <c r="E54" s="65">
        <v>44</v>
      </c>
      <c r="F54" s="65">
        <v>70</v>
      </c>
      <c r="G54" s="65">
        <v>70</v>
      </c>
      <c r="H54" s="65">
        <v>70</v>
      </c>
      <c r="I54" s="65">
        <v>70</v>
      </c>
      <c r="J54" s="65">
        <v>60</v>
      </c>
      <c r="K54" s="65">
        <v>70</v>
      </c>
      <c r="L54" s="65">
        <v>70</v>
      </c>
      <c r="M54" s="65">
        <v>71</v>
      </c>
      <c r="N54" s="65">
        <v>73</v>
      </c>
      <c r="O54" s="65">
        <v>73</v>
      </c>
      <c r="P54" s="65">
        <v>70</v>
      </c>
      <c r="Q54" s="65">
        <v>71.900000000000006</v>
      </c>
      <c r="R54" s="65">
        <v>70.400000000000006</v>
      </c>
      <c r="S54" s="65">
        <v>70.400000000000006</v>
      </c>
      <c r="T54" s="65">
        <v>69.5</v>
      </c>
      <c r="U54" s="45">
        <v>71.3</v>
      </c>
      <c r="V54" s="45">
        <v>59</v>
      </c>
      <c r="W54" s="45">
        <v>49.8</v>
      </c>
      <c r="X54" s="45">
        <v>49.8</v>
      </c>
      <c r="Y54" s="45">
        <v>49.8</v>
      </c>
      <c r="Z54" s="45">
        <v>70.099999999999994</v>
      </c>
      <c r="AA54" s="45">
        <v>70.099999999999994</v>
      </c>
      <c r="AB54" s="45">
        <v>70.099999999999994</v>
      </c>
      <c r="AC54" s="65">
        <v>62</v>
      </c>
      <c r="AD54" s="65">
        <v>62</v>
      </c>
      <c r="AE54" s="65">
        <v>55</v>
      </c>
      <c r="AF54" s="65">
        <v>49</v>
      </c>
      <c r="AG54" s="54">
        <v>70</v>
      </c>
      <c r="AH54" s="47">
        <f t="shared" si="2"/>
        <v>73</v>
      </c>
      <c r="AI54" s="48">
        <f t="shared" si="3"/>
        <v>24</v>
      </c>
      <c r="AK54" s="49"/>
    </row>
    <row r="55" spans="1:41" x14ac:dyDescent="0.25">
      <c r="A55" s="53" t="s">
        <v>63</v>
      </c>
      <c r="B55" s="65">
        <v>49</v>
      </c>
      <c r="C55" s="65">
        <v>49</v>
      </c>
      <c r="D55" s="65">
        <v>32</v>
      </c>
      <c r="E55" s="65">
        <v>33.200000000000003</v>
      </c>
      <c r="F55" s="65">
        <v>33</v>
      </c>
      <c r="G55" s="65">
        <v>33</v>
      </c>
      <c r="H55" s="65">
        <v>33</v>
      </c>
      <c r="I55" s="65">
        <v>44.5</v>
      </c>
      <c r="J55" s="65">
        <v>45.5</v>
      </c>
      <c r="K55" s="65">
        <v>45.5</v>
      </c>
      <c r="L55" s="65">
        <v>45.5</v>
      </c>
      <c r="M55" s="65">
        <v>32</v>
      </c>
      <c r="N55" s="65">
        <v>32.4</v>
      </c>
      <c r="O55" s="65">
        <v>45.5</v>
      </c>
      <c r="P55" s="65">
        <v>69.5</v>
      </c>
      <c r="Q55" s="65">
        <v>69.5</v>
      </c>
      <c r="R55" s="65">
        <v>69.5</v>
      </c>
      <c r="S55" s="65">
        <v>69.5</v>
      </c>
      <c r="T55" s="65">
        <v>69.5</v>
      </c>
      <c r="U55" s="45">
        <v>70.7</v>
      </c>
      <c r="V55" s="45">
        <v>70.7</v>
      </c>
      <c r="W55" s="45">
        <v>70.7</v>
      </c>
      <c r="X55" s="45">
        <v>70.7</v>
      </c>
      <c r="Y55" s="45">
        <v>70.7</v>
      </c>
      <c r="Z55" s="45">
        <v>70.3</v>
      </c>
      <c r="AA55" s="45">
        <v>70.3</v>
      </c>
      <c r="AB55" s="45">
        <v>70.3</v>
      </c>
      <c r="AC55" s="65">
        <v>61</v>
      </c>
      <c r="AD55" s="65">
        <v>61</v>
      </c>
      <c r="AE55" s="65">
        <v>70</v>
      </c>
      <c r="AF55" s="65">
        <v>70</v>
      </c>
      <c r="AG55" s="54">
        <v>69</v>
      </c>
      <c r="AH55" s="47">
        <f t="shared" si="2"/>
        <v>70.7</v>
      </c>
      <c r="AI55" s="48">
        <f t="shared" si="3"/>
        <v>32</v>
      </c>
      <c r="AK55" s="49"/>
    </row>
    <row r="56" spans="1:41" x14ac:dyDescent="0.25">
      <c r="A56" s="53" t="s">
        <v>64</v>
      </c>
      <c r="B56" s="65">
        <v>60.7</v>
      </c>
      <c r="C56" s="65">
        <v>60.7</v>
      </c>
      <c r="D56" s="65">
        <v>60.7</v>
      </c>
      <c r="E56" s="56">
        <v>60.7</v>
      </c>
      <c r="F56" s="56">
        <v>60.4</v>
      </c>
      <c r="G56" s="56">
        <v>60.4</v>
      </c>
      <c r="H56" s="56">
        <v>60.4</v>
      </c>
      <c r="I56" s="56">
        <v>60.7</v>
      </c>
      <c r="J56" s="56">
        <v>60.6</v>
      </c>
      <c r="K56" s="56">
        <v>60.7</v>
      </c>
      <c r="L56" s="56">
        <v>60.7</v>
      </c>
      <c r="M56" s="56">
        <v>60.7</v>
      </c>
      <c r="N56" s="65">
        <v>60.7</v>
      </c>
      <c r="O56" s="65">
        <v>60.7</v>
      </c>
      <c r="P56" s="65">
        <v>60.4</v>
      </c>
      <c r="Q56" s="65">
        <v>60.4</v>
      </c>
      <c r="R56" s="65">
        <v>60.4</v>
      </c>
      <c r="S56" s="65">
        <v>60.4</v>
      </c>
      <c r="T56" s="65">
        <v>60.4</v>
      </c>
      <c r="U56" s="45">
        <v>60.4</v>
      </c>
      <c r="V56" s="45">
        <v>60.4</v>
      </c>
      <c r="W56" s="45">
        <v>60.4</v>
      </c>
      <c r="X56" s="45">
        <v>60.4</v>
      </c>
      <c r="Y56" s="45">
        <v>60.4</v>
      </c>
      <c r="Z56" s="45">
        <v>60.4</v>
      </c>
      <c r="AA56" s="45">
        <v>60.4</v>
      </c>
      <c r="AB56" s="45">
        <v>60.4</v>
      </c>
      <c r="AC56" s="65">
        <v>290</v>
      </c>
      <c r="AD56" s="65">
        <v>60.4</v>
      </c>
      <c r="AE56" s="65">
        <v>60.4</v>
      </c>
      <c r="AF56" s="65">
        <v>58.5</v>
      </c>
      <c r="AG56" s="54">
        <v>60</v>
      </c>
      <c r="AH56" s="47">
        <f t="shared" si="2"/>
        <v>290</v>
      </c>
      <c r="AI56" s="48">
        <f t="shared" si="3"/>
        <v>58.5</v>
      </c>
      <c r="AK56" s="49"/>
    </row>
    <row r="57" spans="1:41" x14ac:dyDescent="0.25">
      <c r="A57" s="53" t="s">
        <v>65</v>
      </c>
      <c r="B57" s="65">
        <v>15</v>
      </c>
      <c r="C57" s="65">
        <v>15</v>
      </c>
      <c r="D57" s="65">
        <v>10</v>
      </c>
      <c r="E57" s="56">
        <v>0</v>
      </c>
      <c r="F57" s="56">
        <v>10</v>
      </c>
      <c r="G57" s="56">
        <v>15</v>
      </c>
      <c r="H57" s="56">
        <v>22</v>
      </c>
      <c r="I57" s="56">
        <v>22</v>
      </c>
      <c r="J57" s="56">
        <v>20</v>
      </c>
      <c r="K57" s="56">
        <v>20</v>
      </c>
      <c r="L57" s="56">
        <v>20</v>
      </c>
      <c r="M57" s="56">
        <v>20</v>
      </c>
      <c r="N57" s="65">
        <v>20</v>
      </c>
      <c r="O57" s="65">
        <v>20</v>
      </c>
      <c r="P57" s="65">
        <v>20</v>
      </c>
      <c r="Q57" s="65">
        <v>20</v>
      </c>
      <c r="R57" s="65">
        <v>20</v>
      </c>
      <c r="S57" s="45">
        <v>22</v>
      </c>
      <c r="T57" s="45">
        <v>22</v>
      </c>
      <c r="U57" s="45">
        <v>22</v>
      </c>
      <c r="V57" s="45">
        <v>22</v>
      </c>
      <c r="W57" s="45">
        <v>22</v>
      </c>
      <c r="X57" s="45">
        <v>22</v>
      </c>
      <c r="Y57" s="45">
        <v>22</v>
      </c>
      <c r="Z57" s="45">
        <v>22</v>
      </c>
      <c r="AA57" s="45">
        <v>22</v>
      </c>
      <c r="AB57" s="45">
        <v>22</v>
      </c>
      <c r="AC57" s="65">
        <v>26</v>
      </c>
      <c r="AD57" s="65">
        <v>26</v>
      </c>
      <c r="AE57" s="65">
        <v>23</v>
      </c>
      <c r="AF57" s="65">
        <v>23</v>
      </c>
      <c r="AG57" s="54">
        <v>30</v>
      </c>
      <c r="AH57" s="47">
        <f t="shared" si="2"/>
        <v>26</v>
      </c>
      <c r="AI57" s="48">
        <f t="shared" si="3"/>
        <v>0</v>
      </c>
      <c r="AK57" s="49"/>
    </row>
    <row r="58" spans="1:41" x14ac:dyDescent="0.25">
      <c r="A58" s="53" t="s">
        <v>66</v>
      </c>
      <c r="B58" s="65">
        <v>0</v>
      </c>
      <c r="C58" s="65">
        <v>0</v>
      </c>
      <c r="D58" s="6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65">
        <v>0.7</v>
      </c>
      <c r="O58" s="65">
        <v>3.5</v>
      </c>
      <c r="P58" s="65">
        <v>3.5</v>
      </c>
      <c r="Q58" s="65">
        <v>12</v>
      </c>
      <c r="R58" s="65">
        <v>17</v>
      </c>
      <c r="S58" s="65">
        <v>17</v>
      </c>
      <c r="T58" s="65">
        <v>17</v>
      </c>
      <c r="U58" s="65">
        <v>17</v>
      </c>
      <c r="V58" s="65">
        <v>17</v>
      </c>
      <c r="W58" s="65">
        <v>1</v>
      </c>
      <c r="X58" s="65">
        <v>0</v>
      </c>
      <c r="Y58" s="65">
        <v>0</v>
      </c>
      <c r="Z58" s="65">
        <v>0</v>
      </c>
      <c r="AA58" s="45">
        <v>0</v>
      </c>
      <c r="AB58" s="4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17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17</v>
      </c>
      <c r="C59" s="65">
        <v>17</v>
      </c>
      <c r="D59" s="65">
        <v>17</v>
      </c>
      <c r="E59" s="65">
        <v>17</v>
      </c>
      <c r="F59" s="65">
        <v>17</v>
      </c>
      <c r="G59" s="65">
        <v>17</v>
      </c>
      <c r="H59" s="65">
        <v>17</v>
      </c>
      <c r="I59" s="65">
        <v>17</v>
      </c>
      <c r="J59" s="65">
        <v>17</v>
      </c>
      <c r="K59" s="65">
        <v>17</v>
      </c>
      <c r="L59" s="65">
        <v>17</v>
      </c>
      <c r="M59" s="65">
        <v>17</v>
      </c>
      <c r="N59" s="65">
        <v>17</v>
      </c>
      <c r="O59" s="65">
        <v>17</v>
      </c>
      <c r="P59" s="65">
        <v>17</v>
      </c>
      <c r="Q59" s="65">
        <v>17</v>
      </c>
      <c r="R59" s="65">
        <v>17</v>
      </c>
      <c r="S59" s="65">
        <v>17</v>
      </c>
      <c r="T59" s="65">
        <v>17</v>
      </c>
      <c r="U59" s="65">
        <v>17</v>
      </c>
      <c r="V59" s="65">
        <v>17</v>
      </c>
      <c r="W59" s="65">
        <v>17</v>
      </c>
      <c r="X59" s="65">
        <v>17</v>
      </c>
      <c r="Y59" s="65">
        <v>17</v>
      </c>
      <c r="Z59" s="65">
        <v>17</v>
      </c>
      <c r="AA59" s="65">
        <v>17</v>
      </c>
      <c r="AB59" s="65">
        <v>17</v>
      </c>
      <c r="AC59" s="65">
        <v>17</v>
      </c>
      <c r="AD59" s="65">
        <v>17</v>
      </c>
      <c r="AE59" s="65">
        <v>17</v>
      </c>
      <c r="AF59" s="65">
        <v>17</v>
      </c>
      <c r="AG59" s="54">
        <v>24</v>
      </c>
      <c r="AH59" s="47">
        <f t="shared" si="2"/>
        <v>17</v>
      </c>
      <c r="AI59" s="48">
        <f t="shared" si="3"/>
        <v>17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12.4</v>
      </c>
      <c r="C61" s="65">
        <v>12.4</v>
      </c>
      <c r="D61" s="65">
        <v>12.4</v>
      </c>
      <c r="E61" s="65">
        <v>12.4</v>
      </c>
      <c r="F61" s="65">
        <v>13.3</v>
      </c>
      <c r="G61" s="65">
        <v>13.3</v>
      </c>
      <c r="H61" s="65">
        <v>13.3</v>
      </c>
      <c r="I61" s="65">
        <v>13.1</v>
      </c>
      <c r="J61" s="65">
        <v>13.1</v>
      </c>
      <c r="K61" s="65">
        <v>13.1</v>
      </c>
      <c r="L61" s="65">
        <v>13.1</v>
      </c>
      <c r="M61" s="65">
        <v>13.1</v>
      </c>
      <c r="N61" s="65">
        <v>13</v>
      </c>
      <c r="O61" s="65">
        <v>13</v>
      </c>
      <c r="P61" s="65">
        <v>13</v>
      </c>
      <c r="Q61" s="65">
        <v>13</v>
      </c>
      <c r="R61" s="65">
        <v>13</v>
      </c>
      <c r="S61" s="65">
        <v>13</v>
      </c>
      <c r="T61" s="65">
        <v>13</v>
      </c>
      <c r="U61" s="65">
        <v>13</v>
      </c>
      <c r="V61" s="65">
        <v>13</v>
      </c>
      <c r="W61" s="65">
        <v>13</v>
      </c>
      <c r="X61" s="65">
        <v>13</v>
      </c>
      <c r="Y61" s="65">
        <v>13</v>
      </c>
      <c r="Z61" s="65">
        <v>13</v>
      </c>
      <c r="AA61" s="65">
        <v>13</v>
      </c>
      <c r="AB61" s="65">
        <v>13</v>
      </c>
      <c r="AC61" s="65">
        <v>13</v>
      </c>
      <c r="AD61" s="65">
        <v>13</v>
      </c>
      <c r="AE61" s="65">
        <v>13</v>
      </c>
      <c r="AF61" s="65">
        <v>13</v>
      </c>
      <c r="AG61" s="54">
        <v>14.1</v>
      </c>
      <c r="AH61" s="47">
        <f t="shared" si="2"/>
        <v>13.3</v>
      </c>
      <c r="AI61" s="48">
        <f t="shared" si="3"/>
        <v>12.4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10.3</v>
      </c>
      <c r="C62" s="65">
        <v>10.3</v>
      </c>
      <c r="D62" s="65">
        <v>10.3</v>
      </c>
      <c r="E62" s="65">
        <v>13.4</v>
      </c>
      <c r="F62" s="65">
        <v>13.2</v>
      </c>
      <c r="G62" s="65">
        <v>13.2</v>
      </c>
      <c r="H62" s="65">
        <v>13.2</v>
      </c>
      <c r="I62" s="65">
        <v>12.2</v>
      </c>
      <c r="J62" s="65">
        <v>12.4</v>
      </c>
      <c r="K62" s="65">
        <v>12.5</v>
      </c>
      <c r="L62" s="65">
        <v>12.5</v>
      </c>
      <c r="M62" s="65">
        <v>12.5</v>
      </c>
      <c r="N62" s="65">
        <v>12.3</v>
      </c>
      <c r="O62" s="65">
        <v>12.3</v>
      </c>
      <c r="P62" s="65">
        <v>12.3</v>
      </c>
      <c r="Q62" s="65">
        <v>12.3</v>
      </c>
      <c r="R62" s="65">
        <v>12.3</v>
      </c>
      <c r="S62" s="65">
        <v>12.3</v>
      </c>
      <c r="T62" s="65">
        <v>10.199999999999999</v>
      </c>
      <c r="U62" s="65">
        <v>10.199999999999999</v>
      </c>
      <c r="V62" s="65">
        <v>10.199999999999999</v>
      </c>
      <c r="W62" s="65">
        <v>10.199999999999999</v>
      </c>
      <c r="X62" s="65">
        <v>10.199999999999999</v>
      </c>
      <c r="Y62" s="65">
        <v>10.199999999999999</v>
      </c>
      <c r="Z62" s="65">
        <v>10.199999999999999</v>
      </c>
      <c r="AA62" s="65">
        <v>10.199999999999999</v>
      </c>
      <c r="AB62" s="65">
        <v>10.199999999999999</v>
      </c>
      <c r="AC62" s="65">
        <v>10.199999999999999</v>
      </c>
      <c r="AD62" s="65">
        <v>10.199999999999999</v>
      </c>
      <c r="AE62" s="65">
        <v>10.199999999999999</v>
      </c>
      <c r="AF62" s="65">
        <v>10.199999999999999</v>
      </c>
      <c r="AG62" s="54">
        <v>14</v>
      </c>
      <c r="AH62" s="47">
        <f t="shared" si="2"/>
        <v>13.4</v>
      </c>
      <c r="AI62" s="48">
        <f t="shared" si="3"/>
        <v>10.199999999999999</v>
      </c>
      <c r="AK62" s="49"/>
    </row>
    <row r="63" spans="1:41" x14ac:dyDescent="0.25">
      <c r="A63" s="53" t="s">
        <v>71</v>
      </c>
      <c r="B63" s="65">
        <v>2.7</v>
      </c>
      <c r="C63" s="65">
        <v>2.7</v>
      </c>
      <c r="D63" s="65">
        <v>2.7</v>
      </c>
      <c r="E63" s="65">
        <v>2.6</v>
      </c>
      <c r="F63" s="65">
        <v>2.6</v>
      </c>
      <c r="G63" s="65">
        <v>2.6</v>
      </c>
      <c r="H63" s="65">
        <v>2.6</v>
      </c>
      <c r="I63" s="65">
        <v>2.6</v>
      </c>
      <c r="J63" s="65">
        <v>2.6</v>
      </c>
      <c r="K63" s="65">
        <v>2.6</v>
      </c>
      <c r="L63" s="65">
        <v>2.6</v>
      </c>
      <c r="M63" s="65">
        <v>2.6</v>
      </c>
      <c r="N63" s="65">
        <v>2.9</v>
      </c>
      <c r="O63" s="65">
        <v>2.9</v>
      </c>
      <c r="P63" s="65">
        <v>2.9</v>
      </c>
      <c r="Q63" s="65">
        <v>2.9</v>
      </c>
      <c r="R63" s="65">
        <v>2.9</v>
      </c>
      <c r="S63" s="65">
        <v>2.9</v>
      </c>
      <c r="T63" s="65">
        <v>2.9</v>
      </c>
      <c r="U63" s="65">
        <v>2.9</v>
      </c>
      <c r="V63" s="65">
        <v>2.9</v>
      </c>
      <c r="W63" s="65">
        <v>2.9</v>
      </c>
      <c r="X63" s="65">
        <v>2.9</v>
      </c>
      <c r="Y63" s="65">
        <v>2.9</v>
      </c>
      <c r="Z63" s="65">
        <v>2.9</v>
      </c>
      <c r="AA63" s="65">
        <v>2.9</v>
      </c>
      <c r="AB63" s="65">
        <v>2.9</v>
      </c>
      <c r="AC63" s="65">
        <v>2.9</v>
      </c>
      <c r="AD63" s="65">
        <v>2.9</v>
      </c>
      <c r="AE63" s="65">
        <v>2.9</v>
      </c>
      <c r="AF63" s="65">
        <v>2.9</v>
      </c>
      <c r="AG63" s="54">
        <v>10.050000000000001</v>
      </c>
      <c r="AH63" s="47">
        <f t="shared" si="2"/>
        <v>2.9</v>
      </c>
      <c r="AI63" s="48">
        <f t="shared" si="3"/>
        <v>2.6</v>
      </c>
      <c r="AK63" s="49"/>
    </row>
    <row r="64" spans="1:41" x14ac:dyDescent="0.25">
      <c r="A64" s="53" t="s">
        <v>72</v>
      </c>
      <c r="B64" s="65">
        <v>2</v>
      </c>
      <c r="C64" s="65">
        <v>2</v>
      </c>
      <c r="D64" s="65">
        <v>2</v>
      </c>
      <c r="E64" s="65">
        <v>2</v>
      </c>
      <c r="F64" s="65">
        <v>2</v>
      </c>
      <c r="G64" s="65">
        <v>2</v>
      </c>
      <c r="H64" s="65">
        <v>2</v>
      </c>
      <c r="I64" s="65">
        <v>2</v>
      </c>
      <c r="J64" s="65">
        <v>2</v>
      </c>
      <c r="K64" s="65">
        <v>2</v>
      </c>
      <c r="L64" s="65">
        <v>2</v>
      </c>
      <c r="M64" s="65">
        <v>2</v>
      </c>
      <c r="N64" s="65">
        <v>2</v>
      </c>
      <c r="O64" s="65">
        <v>2</v>
      </c>
      <c r="P64" s="65">
        <v>2</v>
      </c>
      <c r="Q64" s="65">
        <v>2</v>
      </c>
      <c r="R64" s="65">
        <v>2</v>
      </c>
      <c r="S64" s="65">
        <v>2</v>
      </c>
      <c r="T64" s="65">
        <v>2</v>
      </c>
      <c r="U64" s="65">
        <v>2</v>
      </c>
      <c r="V64" s="65">
        <v>2</v>
      </c>
      <c r="W64" s="65">
        <v>2</v>
      </c>
      <c r="X64" s="65">
        <v>2</v>
      </c>
      <c r="Y64" s="65">
        <v>2</v>
      </c>
      <c r="Z64" s="65">
        <v>2</v>
      </c>
      <c r="AA64" s="65">
        <v>2</v>
      </c>
      <c r="AB64" s="65">
        <v>2</v>
      </c>
      <c r="AC64" s="65">
        <v>2</v>
      </c>
      <c r="AD64" s="65">
        <v>2</v>
      </c>
      <c r="AE64" s="65">
        <v>2</v>
      </c>
      <c r="AF64" s="65">
        <v>2</v>
      </c>
      <c r="AG64" s="54">
        <v>6.2</v>
      </c>
      <c r="AH64" s="47">
        <f t="shared" si="2"/>
        <v>2</v>
      </c>
      <c r="AI64" s="48">
        <f t="shared" si="3"/>
        <v>2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AG233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f t="shared" ref="B66:AG66" si="6">SUM(B53:B65)</f>
        <v>308.33999999999997</v>
      </c>
      <c r="C66" s="60">
        <f t="shared" si="6"/>
        <v>308.33999999999997</v>
      </c>
      <c r="D66" s="60">
        <f t="shared" si="6"/>
        <v>286.33999999999997</v>
      </c>
      <c r="E66" s="60">
        <f t="shared" si="6"/>
        <v>300.83999999999997</v>
      </c>
      <c r="F66" s="60">
        <f t="shared" si="6"/>
        <v>337.04</v>
      </c>
      <c r="G66" s="60">
        <f t="shared" si="6"/>
        <v>342.04</v>
      </c>
      <c r="H66" s="60">
        <f t="shared" si="6"/>
        <v>349.04</v>
      </c>
      <c r="I66" s="60">
        <f t="shared" si="6"/>
        <v>359.64000000000004</v>
      </c>
      <c r="J66" s="60">
        <f t="shared" si="6"/>
        <v>349.74000000000007</v>
      </c>
      <c r="K66" s="60">
        <f t="shared" si="6"/>
        <v>358.94000000000005</v>
      </c>
      <c r="L66" s="60">
        <f t="shared" si="6"/>
        <v>358.94000000000005</v>
      </c>
      <c r="M66" s="60">
        <f t="shared" si="6"/>
        <v>345.44000000000005</v>
      </c>
      <c r="N66" s="60">
        <f t="shared" si="6"/>
        <v>344.34000000000003</v>
      </c>
      <c r="O66" s="60">
        <f t="shared" si="6"/>
        <v>375.54</v>
      </c>
      <c r="P66" s="60">
        <f t="shared" si="6"/>
        <v>396.03999999999996</v>
      </c>
      <c r="Q66" s="60">
        <f t="shared" si="6"/>
        <v>420.84000000000003</v>
      </c>
      <c r="R66" s="60">
        <f t="shared" si="6"/>
        <v>433.64</v>
      </c>
      <c r="S66" s="60">
        <f t="shared" si="6"/>
        <v>435.64</v>
      </c>
      <c r="T66" s="60">
        <f t="shared" si="6"/>
        <v>432.64</v>
      </c>
      <c r="U66" s="60">
        <f t="shared" si="6"/>
        <v>435.53999999999996</v>
      </c>
      <c r="V66" s="60">
        <f t="shared" si="6"/>
        <v>423.23999999999995</v>
      </c>
      <c r="W66" s="60">
        <f t="shared" si="6"/>
        <v>389.53999999999996</v>
      </c>
      <c r="X66" s="60">
        <f t="shared" si="6"/>
        <v>388.53999999999996</v>
      </c>
      <c r="Y66" s="60">
        <f t="shared" si="6"/>
        <v>388.53999999999996</v>
      </c>
      <c r="Z66" s="60">
        <f t="shared" si="6"/>
        <v>416.73999999999995</v>
      </c>
      <c r="AA66" s="60">
        <f t="shared" si="6"/>
        <v>416.73999999999995</v>
      </c>
      <c r="AB66" s="60">
        <f t="shared" si="6"/>
        <v>416.73999999999995</v>
      </c>
      <c r="AC66" s="60">
        <f t="shared" si="6"/>
        <v>619.64</v>
      </c>
      <c r="AD66" s="60">
        <f t="shared" si="6"/>
        <v>390.03999999999996</v>
      </c>
      <c r="AE66" s="60">
        <f t="shared" si="6"/>
        <v>402.03999999999996</v>
      </c>
      <c r="AF66" s="60">
        <f t="shared" si="6"/>
        <v>394.14</v>
      </c>
      <c r="AG66" s="61">
        <f t="shared" si="6"/>
        <v>489.91</v>
      </c>
      <c r="AH66" s="47">
        <f t="shared" si="2"/>
        <v>619.64</v>
      </c>
      <c r="AI66" s="48">
        <f t="shared" si="3"/>
        <v>286.33999999999997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/>
      <c r="T67" s="45"/>
      <c r="U67" s="45"/>
      <c r="V67" s="45"/>
      <c r="W67" s="45"/>
      <c r="X67" s="45"/>
      <c r="Y67" s="45"/>
      <c r="Z67" s="45"/>
      <c r="AA67" s="45">
        <v>14</v>
      </c>
      <c r="AB67" s="45">
        <v>14.3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14.3</v>
      </c>
      <c r="AI67" s="48">
        <f t="shared" si="3"/>
        <v>0</v>
      </c>
      <c r="AK67" s="49"/>
    </row>
    <row r="68" spans="1:40" x14ac:dyDescent="0.25">
      <c r="A68" s="53" t="s">
        <v>76</v>
      </c>
      <c r="B68" s="45">
        <v>0</v>
      </c>
      <c r="C68" s="45">
        <v>0</v>
      </c>
      <c r="D68" s="4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45">
        <v>0</v>
      </c>
      <c r="R68" s="45">
        <v>0</v>
      </c>
      <c r="S68" s="45"/>
      <c r="T68" s="45"/>
      <c r="U68" s="45"/>
      <c r="V68" s="45"/>
      <c r="W68" s="65"/>
      <c r="X68" s="65"/>
      <c r="Y68" s="65"/>
      <c r="Z68" s="65"/>
      <c r="AA68" s="65">
        <v>8.3000000000000007</v>
      </c>
      <c r="AB68" s="65">
        <v>5.2</v>
      </c>
      <c r="AC68" s="65">
        <v>0</v>
      </c>
      <c r="AD68" s="65">
        <v>0</v>
      </c>
      <c r="AE68" s="65">
        <v>0</v>
      </c>
      <c r="AF68" s="65">
        <v>0</v>
      </c>
      <c r="AG68" s="54">
        <v>32</v>
      </c>
      <c r="AH68" s="47">
        <f t="shared" si="2"/>
        <v>8.3000000000000007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45">
        <v>0</v>
      </c>
      <c r="C69" s="45">
        <v>0</v>
      </c>
      <c r="D69" s="45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7">
        <v>0</v>
      </c>
      <c r="P69" s="67">
        <v>0</v>
      </c>
      <c r="Q69" s="45">
        <v>0</v>
      </c>
      <c r="R69" s="45">
        <v>0</v>
      </c>
      <c r="S69" s="45"/>
      <c r="T69" s="45"/>
      <c r="U69" s="45"/>
      <c r="V69" s="45"/>
      <c r="W69" s="67"/>
      <c r="X69" s="67"/>
      <c r="Y69" s="67"/>
      <c r="Z69" s="67"/>
      <c r="AA69" s="67">
        <v>3.2</v>
      </c>
      <c r="AB69" s="67">
        <v>3.2</v>
      </c>
      <c r="AC69" s="67">
        <v>0</v>
      </c>
      <c r="AD69" s="67">
        <v>0</v>
      </c>
      <c r="AE69" s="67">
        <v>0</v>
      </c>
      <c r="AF69" s="67">
        <v>0</v>
      </c>
      <c r="AG69" s="68">
        <v>14</v>
      </c>
      <c r="AH69" s="47">
        <f t="shared" si="2"/>
        <v>3.2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f>B67+B68+B69</f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0</v>
      </c>
      <c r="M70" s="60">
        <f t="shared" ref="M70:AF70" si="7">M67+M68+M69</f>
        <v>0</v>
      </c>
      <c r="N70" s="60">
        <f t="shared" si="7"/>
        <v>0</v>
      </c>
      <c r="O70" s="60">
        <f t="shared" si="7"/>
        <v>0</v>
      </c>
      <c r="P70" s="60">
        <f t="shared" si="7"/>
        <v>0</v>
      </c>
      <c r="Q70" s="60">
        <f t="shared" si="7"/>
        <v>0</v>
      </c>
      <c r="R70" s="60">
        <f t="shared" si="7"/>
        <v>0</v>
      </c>
      <c r="S70" s="60">
        <f t="shared" si="7"/>
        <v>0</v>
      </c>
      <c r="T70" s="60">
        <f t="shared" si="7"/>
        <v>0</v>
      </c>
      <c r="U70" s="60">
        <f t="shared" si="7"/>
        <v>0</v>
      </c>
      <c r="V70" s="60">
        <f t="shared" si="7"/>
        <v>0</v>
      </c>
      <c r="W70" s="60">
        <f t="shared" si="7"/>
        <v>0</v>
      </c>
      <c r="X70" s="60">
        <f t="shared" si="7"/>
        <v>0</v>
      </c>
      <c r="Y70" s="60">
        <f t="shared" si="7"/>
        <v>0</v>
      </c>
      <c r="Z70" s="60">
        <f t="shared" si="7"/>
        <v>0</v>
      </c>
      <c r="AA70" s="60">
        <f t="shared" si="7"/>
        <v>25.5</v>
      </c>
      <c r="AB70" s="60">
        <f t="shared" si="7"/>
        <v>22.7</v>
      </c>
      <c r="AC70" s="60">
        <f t="shared" si="7"/>
        <v>0</v>
      </c>
      <c r="AD70" s="60">
        <f t="shared" si="7"/>
        <v>0</v>
      </c>
      <c r="AE70" s="60">
        <f t="shared" si="7"/>
        <v>0</v>
      </c>
      <c r="AF70" s="60">
        <f t="shared" si="7"/>
        <v>0</v>
      </c>
      <c r="AG70" s="61">
        <f>SUM(AG67:AG69)</f>
        <v>106</v>
      </c>
      <c r="AH70" s="47">
        <f t="shared" si="2"/>
        <v>25.5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43</v>
      </c>
      <c r="C71" s="45">
        <v>52</v>
      </c>
      <c r="D71" s="45">
        <v>40</v>
      </c>
      <c r="E71" s="45">
        <v>12</v>
      </c>
      <c r="F71" s="45">
        <v>2</v>
      </c>
      <c r="G71" s="45">
        <v>8</v>
      </c>
      <c r="H71" s="45">
        <v>15</v>
      </c>
      <c r="I71" s="45">
        <v>19</v>
      </c>
      <c r="J71" s="45">
        <v>32</v>
      </c>
      <c r="K71" s="45">
        <v>26</v>
      </c>
      <c r="L71" s="45">
        <v>22</v>
      </c>
      <c r="M71" s="45">
        <v>29</v>
      </c>
      <c r="N71" s="45">
        <v>47.5</v>
      </c>
      <c r="O71" s="45">
        <v>48.7</v>
      </c>
      <c r="P71" s="45">
        <v>50.1</v>
      </c>
      <c r="Q71" s="45">
        <v>64.7</v>
      </c>
      <c r="R71" s="45">
        <v>51.1</v>
      </c>
      <c r="S71" s="45">
        <v>51.8</v>
      </c>
      <c r="T71" s="45">
        <v>59.5</v>
      </c>
      <c r="U71" s="45">
        <v>62</v>
      </c>
      <c r="V71" s="45">
        <v>71.2</v>
      </c>
      <c r="W71" s="45">
        <v>59.3</v>
      </c>
      <c r="X71" s="45">
        <v>57.5</v>
      </c>
      <c r="Y71" s="45">
        <v>46</v>
      </c>
      <c r="Z71" s="45">
        <v>41</v>
      </c>
      <c r="AA71" s="45">
        <v>58</v>
      </c>
      <c r="AB71" s="45">
        <v>64.599999999999994</v>
      </c>
      <c r="AC71" s="45">
        <v>75</v>
      </c>
      <c r="AD71" s="45">
        <v>75</v>
      </c>
      <c r="AE71" s="45">
        <v>50</v>
      </c>
      <c r="AF71" s="45">
        <v>47</v>
      </c>
      <c r="AG71" s="51"/>
      <c r="AH71" s="47">
        <f t="shared" si="2"/>
        <v>75</v>
      </c>
      <c r="AI71" s="48">
        <f t="shared" si="3"/>
        <v>2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/>
      <c r="T72" s="65"/>
      <c r="U72" s="65"/>
      <c r="V72" s="65"/>
      <c r="W72" s="65"/>
      <c r="X72" s="65"/>
      <c r="Y72" s="65"/>
      <c r="Z72" s="65"/>
      <c r="AA72" s="65"/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6</v>
      </c>
      <c r="C73" s="65">
        <v>1.9</v>
      </c>
      <c r="D73" s="65">
        <v>81.2</v>
      </c>
      <c r="E73" s="65">
        <v>94.5</v>
      </c>
      <c r="F73" s="65">
        <v>117</v>
      </c>
      <c r="G73" s="65">
        <v>117</v>
      </c>
      <c r="H73" s="65">
        <v>109</v>
      </c>
      <c r="I73" s="65">
        <v>189</v>
      </c>
      <c r="J73" s="65">
        <v>198</v>
      </c>
      <c r="K73" s="65">
        <v>202</v>
      </c>
      <c r="L73" s="65">
        <v>225</v>
      </c>
      <c r="M73" s="65">
        <v>232</v>
      </c>
      <c r="N73" s="65">
        <v>230.1</v>
      </c>
      <c r="O73" s="65">
        <v>270</v>
      </c>
      <c r="P73" s="65">
        <v>254</v>
      </c>
      <c r="Q73" s="65">
        <v>220.6</v>
      </c>
      <c r="R73" s="65">
        <v>232.1</v>
      </c>
      <c r="S73" s="65">
        <v>210</v>
      </c>
      <c r="T73" s="65">
        <v>205.6</v>
      </c>
      <c r="U73" s="65">
        <v>185.8</v>
      </c>
      <c r="V73" s="65">
        <v>240</v>
      </c>
      <c r="W73" s="65">
        <v>267</v>
      </c>
      <c r="X73" s="65">
        <v>237</v>
      </c>
      <c r="Y73" s="65">
        <v>239</v>
      </c>
      <c r="Z73" s="65">
        <v>238</v>
      </c>
      <c r="AA73" s="65">
        <v>202</v>
      </c>
      <c r="AB73" s="65">
        <v>150</v>
      </c>
      <c r="AC73" s="65">
        <v>184</v>
      </c>
      <c r="AD73" s="65">
        <v>0</v>
      </c>
      <c r="AE73" s="65">
        <v>0</v>
      </c>
      <c r="AF73" s="65">
        <v>0</v>
      </c>
      <c r="AG73" s="75"/>
      <c r="AH73" s="47">
        <f t="shared" si="2"/>
        <v>270</v>
      </c>
      <c r="AI73" s="48">
        <f t="shared" si="3"/>
        <v>0</v>
      </c>
      <c r="AK73" s="49"/>
    </row>
    <row r="74" spans="1:40" x14ac:dyDescent="0.25">
      <c r="A74" s="53" t="s">
        <v>82</v>
      </c>
      <c r="B74" s="65">
        <v>0</v>
      </c>
      <c r="C74" s="65">
        <v>0</v>
      </c>
      <c r="D74" s="65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/>
      <c r="T74" s="76"/>
      <c r="U74" s="76"/>
      <c r="V74" s="76"/>
      <c r="W74" s="76"/>
      <c r="X74" s="76"/>
      <c r="Y74" s="65"/>
      <c r="Z74" s="65"/>
      <c r="AA74" s="65"/>
      <c r="AB74" s="65"/>
      <c r="AC74" s="65">
        <v>0</v>
      </c>
      <c r="AD74" s="65">
        <v>0</v>
      </c>
      <c r="AE74" s="65">
        <v>0</v>
      </c>
      <c r="AF74" s="65">
        <v>0</v>
      </c>
      <c r="AG74" s="75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83</v>
      </c>
      <c r="B75" s="45">
        <v>32.700000000000003</v>
      </c>
      <c r="C75" s="45">
        <v>33</v>
      </c>
      <c r="D75" s="45">
        <v>30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>
        <v>0</v>
      </c>
      <c r="AD75" s="45">
        <v>0</v>
      </c>
      <c r="AE75" s="45">
        <v>0</v>
      </c>
      <c r="AF75" s="45">
        <v>0</v>
      </c>
      <c r="AG75" s="75"/>
      <c r="AH75" s="47">
        <f t="shared" ref="AH75:AH118" si="8">MAX(B75:AF75)</f>
        <v>33</v>
      </c>
      <c r="AI75" s="48">
        <f t="shared" ref="AI75:AI118" si="9">MIN(B75:AF75)</f>
        <v>0</v>
      </c>
      <c r="AK75" s="49"/>
    </row>
    <row r="76" spans="1:40" x14ac:dyDescent="0.25">
      <c r="A76" s="53" t="s">
        <v>84</v>
      </c>
      <c r="B76" s="77">
        <v>5</v>
      </c>
      <c r="C76" s="77">
        <v>5</v>
      </c>
      <c r="D76" s="77">
        <v>5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>
        <v>0</v>
      </c>
      <c r="AD76" s="77">
        <v>6</v>
      </c>
      <c r="AE76" s="77">
        <v>0</v>
      </c>
      <c r="AF76" s="77">
        <v>0</v>
      </c>
      <c r="AG76" s="75"/>
      <c r="AH76" s="47">
        <f t="shared" si="8"/>
        <v>6</v>
      </c>
      <c r="AI76" s="48">
        <f t="shared" si="9"/>
        <v>0</v>
      </c>
      <c r="AK76" s="49"/>
    </row>
    <row r="77" spans="1:40" ht="15.75" thickBot="1" x14ac:dyDescent="0.3">
      <c r="A77" s="53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>
        <v>0</v>
      </c>
      <c r="AD77" s="77">
        <v>0</v>
      </c>
      <c r="AE77" s="77">
        <v>0</v>
      </c>
      <c r="AF77" s="77">
        <v>0</v>
      </c>
      <c r="AG77" s="75"/>
      <c r="AH77" s="47">
        <f t="shared" si="8"/>
        <v>0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8"/>
        <v>0</v>
      </c>
      <c r="AI78" s="48">
        <f t="shared" si="9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>
        <v>0</v>
      </c>
      <c r="AD80" s="77">
        <v>0</v>
      </c>
      <c r="AE80" s="77">
        <v>0</v>
      </c>
      <c r="AF80" s="77">
        <v>0</v>
      </c>
      <c r="AG80" s="85"/>
      <c r="AH80" s="47">
        <f t="shared" si="8"/>
        <v>0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>
        <v>0</v>
      </c>
      <c r="AD81" s="77">
        <v>0</v>
      </c>
      <c r="AE81" s="77">
        <v>0</v>
      </c>
      <c r="AF81" s="77">
        <v>0</v>
      </c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f t="shared" ref="B82:AF82" si="10">SUMIF(B71:B81,"&gt;0")</f>
        <v>86.7</v>
      </c>
      <c r="C82" s="60">
        <f t="shared" si="10"/>
        <v>91.9</v>
      </c>
      <c r="D82" s="60">
        <f t="shared" si="10"/>
        <v>156.19999999999999</v>
      </c>
      <c r="E82" s="60">
        <f t="shared" si="10"/>
        <v>106.5</v>
      </c>
      <c r="F82" s="60">
        <f t="shared" si="10"/>
        <v>119</v>
      </c>
      <c r="G82" s="60">
        <f t="shared" si="10"/>
        <v>125</v>
      </c>
      <c r="H82" s="60">
        <f t="shared" si="10"/>
        <v>124</v>
      </c>
      <c r="I82" s="60">
        <f t="shared" si="10"/>
        <v>208</v>
      </c>
      <c r="J82" s="60">
        <f t="shared" si="10"/>
        <v>230</v>
      </c>
      <c r="K82" s="60">
        <f t="shared" si="10"/>
        <v>228</v>
      </c>
      <c r="L82" s="60">
        <f t="shared" si="10"/>
        <v>247</v>
      </c>
      <c r="M82" s="60">
        <f t="shared" si="10"/>
        <v>261</v>
      </c>
      <c r="N82" s="60">
        <f t="shared" si="10"/>
        <v>277.60000000000002</v>
      </c>
      <c r="O82" s="60">
        <f t="shared" si="10"/>
        <v>318.7</v>
      </c>
      <c r="P82" s="60">
        <f t="shared" si="10"/>
        <v>304.10000000000002</v>
      </c>
      <c r="Q82" s="60">
        <f t="shared" si="10"/>
        <v>285.3</v>
      </c>
      <c r="R82" s="60">
        <f t="shared" si="10"/>
        <v>283.2</v>
      </c>
      <c r="S82" s="60">
        <f t="shared" si="10"/>
        <v>261.8</v>
      </c>
      <c r="T82" s="60">
        <f t="shared" si="10"/>
        <v>265.10000000000002</v>
      </c>
      <c r="U82" s="60">
        <f t="shared" si="10"/>
        <v>247.8</v>
      </c>
      <c r="V82" s="60">
        <f t="shared" si="10"/>
        <v>311.2</v>
      </c>
      <c r="W82" s="60">
        <f t="shared" si="10"/>
        <v>326.3</v>
      </c>
      <c r="X82" s="60">
        <f t="shared" si="10"/>
        <v>294.5</v>
      </c>
      <c r="Y82" s="60">
        <f t="shared" si="10"/>
        <v>285</v>
      </c>
      <c r="Z82" s="60">
        <f t="shared" si="10"/>
        <v>279</v>
      </c>
      <c r="AA82" s="60">
        <f t="shared" si="10"/>
        <v>260</v>
      </c>
      <c r="AB82" s="60">
        <f t="shared" si="10"/>
        <v>214.6</v>
      </c>
      <c r="AC82" s="60">
        <f t="shared" si="10"/>
        <v>259</v>
      </c>
      <c r="AD82" s="60">
        <f t="shared" si="10"/>
        <v>81</v>
      </c>
      <c r="AE82" s="60">
        <f t="shared" si="10"/>
        <v>50</v>
      </c>
      <c r="AF82" s="60">
        <f t="shared" si="10"/>
        <v>47</v>
      </c>
      <c r="AG82" s="88">
        <f>SUM(AG71:AG81)</f>
        <v>0</v>
      </c>
      <c r="AH82" s="47">
        <f t="shared" si="8"/>
        <v>326.3</v>
      </c>
      <c r="AI82" s="48">
        <f t="shared" si="9"/>
        <v>47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f t="shared" ref="B87:AG87" si="11">B48+B52+B70+B66+B82+B86</f>
        <v>1266.94</v>
      </c>
      <c r="C87" s="95">
        <f t="shared" si="11"/>
        <v>1272.1400000000001</v>
      </c>
      <c r="D87" s="95">
        <f t="shared" si="11"/>
        <v>1190.44</v>
      </c>
      <c r="E87" s="95">
        <f t="shared" si="11"/>
        <v>1152.24</v>
      </c>
      <c r="F87" s="95">
        <f t="shared" si="11"/>
        <v>1185.24</v>
      </c>
      <c r="G87" s="95">
        <f t="shared" si="11"/>
        <v>1195.3399999999999</v>
      </c>
      <c r="H87" s="95">
        <f t="shared" si="11"/>
        <v>1211.3399999999999</v>
      </c>
      <c r="I87" s="95">
        <f t="shared" si="11"/>
        <v>1262.94</v>
      </c>
      <c r="J87" s="95">
        <f t="shared" si="11"/>
        <v>1266.74</v>
      </c>
      <c r="K87" s="95">
        <f t="shared" si="11"/>
        <v>1289.24</v>
      </c>
      <c r="L87" s="95">
        <f t="shared" si="11"/>
        <v>1308.24</v>
      </c>
      <c r="M87" s="95">
        <f t="shared" si="11"/>
        <v>1323.74</v>
      </c>
      <c r="N87" s="95">
        <f t="shared" si="11"/>
        <v>1300.24</v>
      </c>
      <c r="O87" s="95">
        <f t="shared" si="11"/>
        <v>1373.3400000000001</v>
      </c>
      <c r="P87" s="95">
        <f t="shared" si="11"/>
        <v>1359.2399999999998</v>
      </c>
      <c r="Q87" s="95">
        <f t="shared" si="11"/>
        <v>1360.24</v>
      </c>
      <c r="R87" s="95">
        <f t="shared" si="11"/>
        <v>1394.34</v>
      </c>
      <c r="S87" s="95">
        <f t="shared" si="11"/>
        <v>1428.9399999999998</v>
      </c>
      <c r="T87" s="95">
        <f t="shared" si="11"/>
        <v>1503.2399999999998</v>
      </c>
      <c r="U87" s="95">
        <f t="shared" si="11"/>
        <v>1512.9399999999998</v>
      </c>
      <c r="V87" s="95">
        <f t="shared" si="11"/>
        <v>1564.04</v>
      </c>
      <c r="W87" s="95">
        <f t="shared" si="11"/>
        <v>1433.24</v>
      </c>
      <c r="X87" s="95">
        <f t="shared" si="11"/>
        <v>1420.44</v>
      </c>
      <c r="Y87" s="95">
        <f t="shared" si="11"/>
        <v>1380.94</v>
      </c>
      <c r="Z87" s="95">
        <f t="shared" si="11"/>
        <v>1535.1399999999999</v>
      </c>
      <c r="AA87" s="95">
        <f t="shared" si="11"/>
        <v>1631.6399999999999</v>
      </c>
      <c r="AB87" s="95">
        <f t="shared" si="11"/>
        <v>1613.4399999999998</v>
      </c>
      <c r="AC87" s="95">
        <f t="shared" si="11"/>
        <v>1828.04</v>
      </c>
      <c r="AD87" s="95">
        <f t="shared" si="11"/>
        <v>1570.44</v>
      </c>
      <c r="AE87" s="95">
        <f t="shared" si="11"/>
        <v>1531.44</v>
      </c>
      <c r="AF87" s="95">
        <f t="shared" si="11"/>
        <v>1500.54</v>
      </c>
      <c r="AG87" s="61">
        <f t="shared" si="11"/>
        <v>2065.09</v>
      </c>
      <c r="AH87" s="47">
        <f>MAX(B87:AF87)</f>
        <v>1828.04</v>
      </c>
      <c r="AI87" s="48">
        <f>MIN(B87:AF87)</f>
        <v>1152.24</v>
      </c>
    </row>
    <row r="88" spans="1:40" ht="15.75" thickBot="1" x14ac:dyDescent="0.3">
      <c r="A88" s="96" t="s">
        <v>99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>
        <v>60</v>
      </c>
      <c r="AB88" s="97">
        <v>60</v>
      </c>
      <c r="AC88" s="97">
        <v>40</v>
      </c>
      <c r="AD88" s="97">
        <v>0</v>
      </c>
      <c r="AE88" s="97">
        <v>0</v>
      </c>
      <c r="AF88" s="97">
        <v>0</v>
      </c>
      <c r="AG88" s="88"/>
      <c r="AH88" s="47">
        <f t="shared" si="8"/>
        <v>60</v>
      </c>
      <c r="AI88" s="48">
        <f t="shared" si="9"/>
        <v>0</v>
      </c>
    </row>
    <row r="89" spans="1:40" ht="15.75" thickBot="1" x14ac:dyDescent="0.3">
      <c r="A89" s="74" t="s">
        <v>100</v>
      </c>
      <c r="B89" s="95">
        <f t="shared" ref="B89:AF89" si="12">B87+B88</f>
        <v>1266.94</v>
      </c>
      <c r="C89" s="95">
        <f t="shared" si="12"/>
        <v>1272.1400000000001</v>
      </c>
      <c r="D89" s="95">
        <f t="shared" si="12"/>
        <v>1190.44</v>
      </c>
      <c r="E89" s="95">
        <f t="shared" si="12"/>
        <v>1152.24</v>
      </c>
      <c r="F89" s="95">
        <f t="shared" si="12"/>
        <v>1185.24</v>
      </c>
      <c r="G89" s="95">
        <f t="shared" si="12"/>
        <v>1195.3399999999999</v>
      </c>
      <c r="H89" s="95">
        <f t="shared" si="12"/>
        <v>1211.3399999999999</v>
      </c>
      <c r="I89" s="95">
        <f t="shared" si="12"/>
        <v>1262.94</v>
      </c>
      <c r="J89" s="95">
        <f t="shared" si="12"/>
        <v>1266.74</v>
      </c>
      <c r="K89" s="95">
        <f t="shared" si="12"/>
        <v>1289.24</v>
      </c>
      <c r="L89" s="95">
        <f t="shared" si="12"/>
        <v>1308.24</v>
      </c>
      <c r="M89" s="95">
        <f t="shared" si="12"/>
        <v>1323.74</v>
      </c>
      <c r="N89" s="95">
        <f t="shared" si="12"/>
        <v>1300.24</v>
      </c>
      <c r="O89" s="95">
        <f t="shared" si="12"/>
        <v>1373.3400000000001</v>
      </c>
      <c r="P89" s="95">
        <f t="shared" si="12"/>
        <v>1359.2399999999998</v>
      </c>
      <c r="Q89" s="95">
        <f t="shared" si="12"/>
        <v>1360.24</v>
      </c>
      <c r="R89" s="95">
        <f t="shared" si="12"/>
        <v>1394.34</v>
      </c>
      <c r="S89" s="95">
        <f t="shared" si="12"/>
        <v>1428.9399999999998</v>
      </c>
      <c r="T89" s="95">
        <f t="shared" si="12"/>
        <v>1503.2399999999998</v>
      </c>
      <c r="U89" s="95">
        <f t="shared" si="12"/>
        <v>1512.9399999999998</v>
      </c>
      <c r="V89" s="95">
        <f t="shared" si="12"/>
        <v>1564.04</v>
      </c>
      <c r="W89" s="95">
        <f t="shared" si="12"/>
        <v>1433.24</v>
      </c>
      <c r="X89" s="95">
        <f t="shared" si="12"/>
        <v>1420.44</v>
      </c>
      <c r="Y89" s="95">
        <f t="shared" si="12"/>
        <v>1380.94</v>
      </c>
      <c r="Z89" s="95">
        <f t="shared" si="12"/>
        <v>1535.1399999999999</v>
      </c>
      <c r="AA89" s="95">
        <f t="shared" si="12"/>
        <v>1691.6399999999999</v>
      </c>
      <c r="AB89" s="95">
        <f t="shared" si="12"/>
        <v>1673.4399999999998</v>
      </c>
      <c r="AC89" s="95">
        <f t="shared" si="12"/>
        <v>1868.04</v>
      </c>
      <c r="AD89" s="95">
        <f t="shared" si="12"/>
        <v>1570.44</v>
      </c>
      <c r="AE89" s="95">
        <f t="shared" si="12"/>
        <v>1531.44</v>
      </c>
      <c r="AF89" s="95">
        <f t="shared" si="12"/>
        <v>1500.54</v>
      </c>
      <c r="AG89" s="88">
        <f>AG86+AG82+AG70+AG66+AG48+AG88</f>
        <v>1526.99</v>
      </c>
      <c r="AH89" s="47">
        <f t="shared" si="8"/>
        <v>1868.04</v>
      </c>
      <c r="AI89" s="48">
        <f t="shared" si="9"/>
        <v>1152.24</v>
      </c>
    </row>
    <row r="90" spans="1:40" ht="15.75" thickBot="1" x14ac:dyDescent="0.3">
      <c r="A90" s="74" t="s">
        <v>101</v>
      </c>
      <c r="B90" s="95">
        <f t="shared" ref="B90:AF90" si="13">B89-B97</f>
        <v>1266.94</v>
      </c>
      <c r="C90" s="95">
        <f t="shared" si="13"/>
        <v>1272.1400000000001</v>
      </c>
      <c r="D90" s="95">
        <f t="shared" si="13"/>
        <v>1190.44</v>
      </c>
      <c r="E90" s="95">
        <f t="shared" si="13"/>
        <v>1152.24</v>
      </c>
      <c r="F90" s="95">
        <f t="shared" si="13"/>
        <v>1185.24</v>
      </c>
      <c r="G90" s="95">
        <f t="shared" si="13"/>
        <v>1195.3399999999999</v>
      </c>
      <c r="H90" s="95">
        <f t="shared" si="13"/>
        <v>1211.3399999999999</v>
      </c>
      <c r="I90" s="95">
        <f t="shared" si="13"/>
        <v>1262.94</v>
      </c>
      <c r="J90" s="95">
        <f t="shared" si="13"/>
        <v>1266.74</v>
      </c>
      <c r="K90" s="95">
        <f t="shared" si="13"/>
        <v>1289.24</v>
      </c>
      <c r="L90" s="95">
        <f t="shared" si="13"/>
        <v>1308.24</v>
      </c>
      <c r="M90" s="95">
        <f t="shared" si="13"/>
        <v>1323.74</v>
      </c>
      <c r="N90" s="95">
        <f t="shared" si="13"/>
        <v>1300.24</v>
      </c>
      <c r="O90" s="95">
        <f t="shared" si="13"/>
        <v>1373.3400000000001</v>
      </c>
      <c r="P90" s="95">
        <f t="shared" si="13"/>
        <v>1359.2399999999998</v>
      </c>
      <c r="Q90" s="95">
        <f t="shared" si="13"/>
        <v>1360.24</v>
      </c>
      <c r="R90" s="95">
        <f t="shared" si="13"/>
        <v>1394.34</v>
      </c>
      <c r="S90" s="95">
        <f t="shared" si="13"/>
        <v>1428.9399999999998</v>
      </c>
      <c r="T90" s="95">
        <f t="shared" si="13"/>
        <v>1503.2399999999998</v>
      </c>
      <c r="U90" s="95">
        <f t="shared" si="13"/>
        <v>1512.9399999999998</v>
      </c>
      <c r="V90" s="95">
        <f t="shared" si="13"/>
        <v>1564.04</v>
      </c>
      <c r="W90" s="95">
        <f t="shared" si="13"/>
        <v>1433.24</v>
      </c>
      <c r="X90" s="95">
        <f t="shared" si="13"/>
        <v>1420.44</v>
      </c>
      <c r="Y90" s="95">
        <f t="shared" si="13"/>
        <v>1380.94</v>
      </c>
      <c r="Z90" s="95">
        <f t="shared" si="13"/>
        <v>1535.1399999999999</v>
      </c>
      <c r="AA90" s="95">
        <f t="shared" si="13"/>
        <v>1691.6399999999999</v>
      </c>
      <c r="AB90" s="95">
        <f t="shared" si="13"/>
        <v>1673.4399999999998</v>
      </c>
      <c r="AC90" s="95">
        <f t="shared" si="13"/>
        <v>1868.04</v>
      </c>
      <c r="AD90" s="95">
        <f t="shared" si="13"/>
        <v>1570.44</v>
      </c>
      <c r="AE90" s="95">
        <f t="shared" si="13"/>
        <v>1531.44</v>
      </c>
      <c r="AF90" s="95">
        <f t="shared" si="13"/>
        <v>1500.54</v>
      </c>
      <c r="AG90" s="88"/>
      <c r="AH90" s="47">
        <f t="shared" si="8"/>
        <v>1868.04</v>
      </c>
      <c r="AI90" s="48">
        <f t="shared" si="9"/>
        <v>1152.24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f t="shared" ref="B98:AF98" si="14">B82-B97</f>
        <v>86.7</v>
      </c>
      <c r="C98" s="60">
        <f t="shared" si="14"/>
        <v>91.9</v>
      </c>
      <c r="D98" s="60">
        <f t="shared" si="14"/>
        <v>156.19999999999999</v>
      </c>
      <c r="E98" s="60">
        <f t="shared" si="14"/>
        <v>106.5</v>
      </c>
      <c r="F98" s="60">
        <f t="shared" si="14"/>
        <v>119</v>
      </c>
      <c r="G98" s="60">
        <f t="shared" si="14"/>
        <v>125</v>
      </c>
      <c r="H98" s="60">
        <f t="shared" si="14"/>
        <v>124</v>
      </c>
      <c r="I98" s="60">
        <f t="shared" si="14"/>
        <v>208</v>
      </c>
      <c r="J98" s="60">
        <f t="shared" si="14"/>
        <v>230</v>
      </c>
      <c r="K98" s="60">
        <f t="shared" si="14"/>
        <v>228</v>
      </c>
      <c r="L98" s="60">
        <f t="shared" si="14"/>
        <v>247</v>
      </c>
      <c r="M98" s="60">
        <f t="shared" si="14"/>
        <v>261</v>
      </c>
      <c r="N98" s="60">
        <f t="shared" si="14"/>
        <v>277.60000000000002</v>
      </c>
      <c r="O98" s="60">
        <f t="shared" si="14"/>
        <v>318.7</v>
      </c>
      <c r="P98" s="60">
        <f t="shared" si="14"/>
        <v>304.10000000000002</v>
      </c>
      <c r="Q98" s="60">
        <f t="shared" si="14"/>
        <v>285.3</v>
      </c>
      <c r="R98" s="60">
        <f t="shared" si="14"/>
        <v>283.2</v>
      </c>
      <c r="S98" s="60">
        <f t="shared" si="14"/>
        <v>261.8</v>
      </c>
      <c r="T98" s="60">
        <f t="shared" si="14"/>
        <v>265.10000000000002</v>
      </c>
      <c r="U98" s="60">
        <f t="shared" si="14"/>
        <v>247.8</v>
      </c>
      <c r="V98" s="60">
        <f t="shared" si="14"/>
        <v>311.2</v>
      </c>
      <c r="W98" s="60">
        <f t="shared" si="14"/>
        <v>326.3</v>
      </c>
      <c r="X98" s="60">
        <f t="shared" si="14"/>
        <v>294.5</v>
      </c>
      <c r="Y98" s="60">
        <f t="shared" si="14"/>
        <v>285</v>
      </c>
      <c r="Z98" s="60">
        <f t="shared" si="14"/>
        <v>279</v>
      </c>
      <c r="AA98" s="60">
        <f t="shared" si="14"/>
        <v>260</v>
      </c>
      <c r="AB98" s="60">
        <f t="shared" si="14"/>
        <v>214.6</v>
      </c>
      <c r="AC98" s="60">
        <f t="shared" si="14"/>
        <v>259</v>
      </c>
      <c r="AD98" s="60">
        <f t="shared" si="14"/>
        <v>81</v>
      </c>
      <c r="AE98" s="60">
        <f t="shared" si="14"/>
        <v>50</v>
      </c>
      <c r="AF98" s="60">
        <f t="shared" si="14"/>
        <v>47</v>
      </c>
      <c r="AG98" s="88"/>
      <c r="AH98" s="47">
        <f t="shared" si="8"/>
        <v>326.3</v>
      </c>
      <c r="AI98" s="48">
        <f t="shared" si="9"/>
        <v>47</v>
      </c>
    </row>
    <row r="99" spans="1:37" x14ac:dyDescent="0.25">
      <c r="A99" s="100" t="s">
        <v>107</v>
      </c>
      <c r="B99" s="101">
        <v>50.103999999999999</v>
      </c>
      <c r="C99" s="101">
        <v>50.01</v>
      </c>
      <c r="D99" s="101">
        <v>50.057000000000002</v>
      </c>
      <c r="E99" s="101">
        <v>50.026000000000003</v>
      </c>
      <c r="F99" s="101">
        <v>50.015999999999998</v>
      </c>
      <c r="G99" s="101">
        <v>50.015999999999998</v>
      </c>
      <c r="H99" s="101">
        <v>49.966999999999999</v>
      </c>
      <c r="I99" s="101">
        <v>49.997999999999998</v>
      </c>
      <c r="J99" s="101">
        <v>50.031999999999996</v>
      </c>
      <c r="K99" s="101">
        <v>49.993000000000002</v>
      </c>
      <c r="L99" s="101">
        <v>49.984999999999999</v>
      </c>
      <c r="M99" s="101">
        <v>49.988999999999997</v>
      </c>
      <c r="N99" s="101">
        <v>49.92</v>
      </c>
      <c r="O99" s="101">
        <v>50.201999999999998</v>
      </c>
      <c r="P99" s="101">
        <v>50.115000000000002</v>
      </c>
      <c r="Q99" s="101">
        <v>49.942999999999998</v>
      </c>
      <c r="R99" s="101">
        <v>50.04</v>
      </c>
      <c r="S99" s="101">
        <v>50.005000000000003</v>
      </c>
      <c r="T99" s="101">
        <v>50</v>
      </c>
      <c r="U99" s="101">
        <v>49.8</v>
      </c>
      <c r="V99" s="101">
        <v>50.164000000000001</v>
      </c>
      <c r="W99" s="101">
        <v>50.024000000000001</v>
      </c>
      <c r="X99" s="101">
        <v>50.036999999999999</v>
      </c>
      <c r="Y99" s="101">
        <v>50.1</v>
      </c>
      <c r="Z99" s="101">
        <v>49.991</v>
      </c>
      <c r="AA99" s="101">
        <v>50</v>
      </c>
      <c r="AB99" s="101">
        <v>49.89</v>
      </c>
      <c r="AC99" s="101">
        <v>50.045000000000002</v>
      </c>
      <c r="AD99" s="101">
        <v>50.04</v>
      </c>
      <c r="AE99" s="101">
        <v>50.04</v>
      </c>
      <c r="AF99" s="101">
        <v>50</v>
      </c>
      <c r="AG99" s="102"/>
      <c r="AH99" s="47">
        <f t="shared" si="8"/>
        <v>50.201999999999998</v>
      </c>
      <c r="AI99" s="48">
        <f t="shared" si="9"/>
        <v>49.8</v>
      </c>
    </row>
    <row r="100" spans="1:37" x14ac:dyDescent="0.25">
      <c r="A100" s="103" t="s">
        <v>108</v>
      </c>
      <c r="B100" s="65">
        <v>126.8</v>
      </c>
      <c r="C100" s="65">
        <v>126.5</v>
      </c>
      <c r="D100" s="65">
        <v>126.9</v>
      </c>
      <c r="E100" s="65">
        <v>127.1</v>
      </c>
      <c r="F100" s="65">
        <v>125.8</v>
      </c>
      <c r="G100" s="65">
        <v>125.8</v>
      </c>
      <c r="H100" s="65">
        <v>124.1</v>
      </c>
      <c r="I100" s="65">
        <v>126.8</v>
      </c>
      <c r="J100" s="65">
        <v>127</v>
      </c>
      <c r="K100" s="65">
        <v>122.7</v>
      </c>
      <c r="L100" s="65">
        <v>123.4</v>
      </c>
      <c r="M100" s="65">
        <v>124</v>
      </c>
      <c r="N100" s="65">
        <v>123.9</v>
      </c>
      <c r="O100" s="65">
        <v>123.7</v>
      </c>
      <c r="P100" s="65">
        <v>122.3</v>
      </c>
      <c r="Q100" s="65">
        <v>122.2</v>
      </c>
      <c r="R100" s="65">
        <v>119.9</v>
      </c>
      <c r="S100" s="65">
        <v>120.2</v>
      </c>
      <c r="T100" s="65">
        <v>121.4</v>
      </c>
      <c r="U100" s="65">
        <v>122.6</v>
      </c>
      <c r="V100" s="65">
        <v>124.2</v>
      </c>
      <c r="W100" s="65">
        <v>124.5</v>
      </c>
      <c r="X100" s="65">
        <v>125.7</v>
      </c>
      <c r="Y100" s="65">
        <v>126.6</v>
      </c>
      <c r="Z100" s="65">
        <v>123.9</v>
      </c>
      <c r="AA100" s="65">
        <v>124.6</v>
      </c>
      <c r="AB100" s="65">
        <v>125.6</v>
      </c>
      <c r="AC100" s="65">
        <v>125.6</v>
      </c>
      <c r="AD100" s="65">
        <v>124</v>
      </c>
      <c r="AE100" s="65">
        <v>126</v>
      </c>
      <c r="AF100" s="65">
        <v>126</v>
      </c>
      <c r="AG100" s="104"/>
      <c r="AH100" s="47">
        <f t="shared" si="8"/>
        <v>127.1</v>
      </c>
      <c r="AI100" s="48">
        <f t="shared" si="9"/>
        <v>119.9</v>
      </c>
    </row>
    <row r="101" spans="1:37" x14ac:dyDescent="0.25">
      <c r="A101" s="103" t="s">
        <v>109</v>
      </c>
      <c r="B101" s="65">
        <v>131.19999999999999</v>
      </c>
      <c r="C101" s="65">
        <v>131</v>
      </c>
      <c r="D101" s="65">
        <v>131.30000000000001</v>
      </c>
      <c r="E101" s="65">
        <v>131.30000000000001</v>
      </c>
      <c r="F101" s="65">
        <v>130.1</v>
      </c>
      <c r="G101" s="65">
        <v>130.1</v>
      </c>
      <c r="H101" s="65">
        <v>128.30000000000001</v>
      </c>
      <c r="I101" s="65">
        <v>130.1</v>
      </c>
      <c r="J101" s="65">
        <v>129.80000000000001</v>
      </c>
      <c r="K101" s="65">
        <v>126.3</v>
      </c>
      <c r="L101" s="65">
        <v>126.9</v>
      </c>
      <c r="M101" s="65">
        <v>128.5</v>
      </c>
      <c r="N101" s="65">
        <v>127.9</v>
      </c>
      <c r="O101" s="65">
        <v>127.4</v>
      </c>
      <c r="P101" s="65">
        <v>126.8</v>
      </c>
      <c r="Q101" s="65">
        <v>126.6</v>
      </c>
      <c r="R101" s="65">
        <v>123.9</v>
      </c>
      <c r="S101" s="65">
        <v>125.8</v>
      </c>
      <c r="T101" s="65">
        <v>125.8</v>
      </c>
      <c r="U101" s="65">
        <v>126.4</v>
      </c>
      <c r="V101" s="65">
        <v>128</v>
      </c>
      <c r="W101" s="65">
        <v>128.19999999999999</v>
      </c>
      <c r="X101" s="65">
        <v>129</v>
      </c>
      <c r="Y101" s="65">
        <v>129.69999999999999</v>
      </c>
      <c r="Z101" s="65">
        <v>127</v>
      </c>
      <c r="AA101" s="65">
        <v>127.6</v>
      </c>
      <c r="AB101" s="65">
        <v>128.9</v>
      </c>
      <c r="AC101" s="65">
        <v>128.9</v>
      </c>
      <c r="AD101" s="65">
        <v>128.9</v>
      </c>
      <c r="AE101" s="65">
        <v>130</v>
      </c>
      <c r="AF101" s="65">
        <v>130</v>
      </c>
      <c r="AG101" s="104"/>
      <c r="AH101" s="47">
        <f t="shared" si="8"/>
        <v>131.30000000000001</v>
      </c>
      <c r="AI101" s="48">
        <f t="shared" si="9"/>
        <v>123.9</v>
      </c>
    </row>
    <row r="102" spans="1:37" x14ac:dyDescent="0.25">
      <c r="A102" s="103" t="s">
        <v>110</v>
      </c>
      <c r="B102" s="65">
        <v>130.1</v>
      </c>
      <c r="C102" s="65">
        <v>131.30000000000001</v>
      </c>
      <c r="D102" s="65">
        <v>132.4</v>
      </c>
      <c r="E102" s="65">
        <v>132.30000000000001</v>
      </c>
      <c r="F102" s="65">
        <v>130.6</v>
      </c>
      <c r="G102" s="65">
        <v>130.6</v>
      </c>
      <c r="H102" s="65">
        <v>129.30000000000001</v>
      </c>
      <c r="I102" s="65">
        <v>129.5</v>
      </c>
      <c r="J102" s="65">
        <v>128.4</v>
      </c>
      <c r="K102" s="65">
        <v>127.5</v>
      </c>
      <c r="L102" s="65">
        <v>127.3</v>
      </c>
      <c r="M102" s="65">
        <v>129.80000000000001</v>
      </c>
      <c r="N102" s="65">
        <v>128.5</v>
      </c>
      <c r="O102" s="65">
        <v>126.2</v>
      </c>
      <c r="P102" s="65">
        <v>128.19999999999999</v>
      </c>
      <c r="Q102" s="65">
        <v>130</v>
      </c>
      <c r="R102" s="65">
        <v>128.19999999999999</v>
      </c>
      <c r="S102" s="65">
        <v>128</v>
      </c>
      <c r="T102" s="65">
        <v>126.7</v>
      </c>
      <c r="U102" s="65">
        <v>128</v>
      </c>
      <c r="V102" s="65">
        <v>127.5</v>
      </c>
      <c r="W102" s="65">
        <v>128.69999999999999</v>
      </c>
      <c r="X102" s="65">
        <v>129.19999999999999</v>
      </c>
      <c r="Y102" s="65">
        <v>130.4</v>
      </c>
      <c r="Z102" s="65">
        <v>126.7</v>
      </c>
      <c r="AA102" s="65">
        <v>127.1</v>
      </c>
      <c r="AB102" s="65">
        <v>126</v>
      </c>
      <c r="AC102" s="65">
        <v>126</v>
      </c>
      <c r="AD102" s="65">
        <v>126</v>
      </c>
      <c r="AE102" s="65">
        <v>128</v>
      </c>
      <c r="AF102" s="65">
        <v>128</v>
      </c>
      <c r="AG102" s="104"/>
      <c r="AH102" s="47">
        <f t="shared" si="8"/>
        <v>132.4</v>
      </c>
      <c r="AI102" s="48">
        <f t="shared" si="9"/>
        <v>126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>
        <v>132.30000000000001</v>
      </c>
      <c r="C104" s="106">
        <v>132.80000000000001</v>
      </c>
      <c r="D104" s="106">
        <v>132.4</v>
      </c>
      <c r="E104" s="106">
        <v>132.69999999999999</v>
      </c>
      <c r="F104" s="106">
        <v>132.9</v>
      </c>
      <c r="G104" s="106">
        <v>132.9</v>
      </c>
      <c r="H104" s="106">
        <v>132.9</v>
      </c>
      <c r="I104" s="106">
        <v>133.69999999999999</v>
      </c>
      <c r="J104" s="106">
        <v>134.6</v>
      </c>
      <c r="K104" s="106">
        <v>131.19999999999999</v>
      </c>
      <c r="L104" s="106">
        <v>134.85</v>
      </c>
      <c r="M104" s="106">
        <v>133</v>
      </c>
      <c r="N104" s="106">
        <v>132.6</v>
      </c>
      <c r="O104" s="106">
        <v>133.80000000000001</v>
      </c>
      <c r="P104" s="106">
        <v>131.5</v>
      </c>
      <c r="Q104" s="106">
        <v>131.1</v>
      </c>
      <c r="R104" s="106">
        <v>132</v>
      </c>
      <c r="S104" s="106">
        <v>133.6</v>
      </c>
      <c r="T104" s="106">
        <v>134.19999999999999</v>
      </c>
      <c r="U104" s="106">
        <v>134</v>
      </c>
      <c r="V104" s="106">
        <v>133.69999999999999</v>
      </c>
      <c r="W104" s="106">
        <v>135</v>
      </c>
      <c r="X104" s="106">
        <v>132.80000000000001</v>
      </c>
      <c r="Y104" s="106">
        <v>134.5</v>
      </c>
      <c r="Z104" s="106">
        <v>130</v>
      </c>
      <c r="AA104" s="106">
        <v>130.30000000000001</v>
      </c>
      <c r="AB104" s="106">
        <v>135.30000000000001</v>
      </c>
      <c r="AC104" s="106">
        <v>135.30000000000001</v>
      </c>
      <c r="AD104" s="106">
        <v>135.30000000000001</v>
      </c>
      <c r="AE104" s="106">
        <v>130.5</v>
      </c>
      <c r="AF104" s="106">
        <v>130.5</v>
      </c>
      <c r="AG104" s="107"/>
      <c r="AH104" s="47">
        <f t="shared" si="8"/>
        <v>135.30000000000001</v>
      </c>
      <c r="AI104" s="48">
        <f t="shared" si="9"/>
        <v>130</v>
      </c>
    </row>
    <row r="105" spans="1:37" x14ac:dyDescent="0.25">
      <c r="A105" s="103" t="s">
        <v>113</v>
      </c>
      <c r="B105" s="65">
        <v>128.19999999999999</v>
      </c>
      <c r="C105" s="65">
        <v>130.69999999999999</v>
      </c>
      <c r="D105" s="65">
        <v>130.1</v>
      </c>
      <c r="E105" s="65">
        <v>130.69999999999999</v>
      </c>
      <c r="F105" s="65">
        <v>128.80000000000001</v>
      </c>
      <c r="G105" s="65">
        <v>128.80000000000001</v>
      </c>
      <c r="H105" s="65">
        <v>128.80000000000001</v>
      </c>
      <c r="I105" s="65">
        <v>126.1</v>
      </c>
      <c r="J105" s="65">
        <v>127.1</v>
      </c>
      <c r="K105" s="65">
        <v>122.4</v>
      </c>
      <c r="L105" s="65">
        <v>130.5</v>
      </c>
      <c r="M105" s="65">
        <v>128.4</v>
      </c>
      <c r="N105" s="65">
        <v>134.80000000000001</v>
      </c>
      <c r="O105" s="65">
        <v>137.30000000000001</v>
      </c>
      <c r="P105" s="65">
        <v>137.80000000000001</v>
      </c>
      <c r="Q105" s="65">
        <v>130.9</v>
      </c>
      <c r="R105" s="65">
        <v>130.69999999999999</v>
      </c>
      <c r="S105" s="65"/>
      <c r="T105" s="65">
        <v>130.9</v>
      </c>
      <c r="U105" s="65">
        <v>129</v>
      </c>
      <c r="V105" s="65">
        <v>130</v>
      </c>
      <c r="W105" s="65">
        <v>134.9</v>
      </c>
      <c r="X105" s="65">
        <v>130.80000000000001</v>
      </c>
      <c r="Y105" s="65">
        <v>133.69999999999999</v>
      </c>
      <c r="Z105" s="65">
        <v>132</v>
      </c>
      <c r="AA105" s="65">
        <v>126.6</v>
      </c>
      <c r="AB105" s="65">
        <v>129.5</v>
      </c>
      <c r="AC105" s="65">
        <v>129.5</v>
      </c>
      <c r="AD105" s="65">
        <v>129.5</v>
      </c>
      <c r="AE105" s="65">
        <v>130</v>
      </c>
      <c r="AF105" s="65">
        <v>130</v>
      </c>
      <c r="AG105" s="104"/>
      <c r="AH105" s="47">
        <f t="shared" si="8"/>
        <v>137.80000000000001</v>
      </c>
      <c r="AI105" s="48">
        <f t="shared" si="9"/>
        <v>122.4</v>
      </c>
    </row>
    <row r="106" spans="1:37" ht="15.75" thickBot="1" x14ac:dyDescent="0.3">
      <c r="A106" s="103" t="s">
        <v>114</v>
      </c>
      <c r="B106" s="92">
        <v>65.599999999999994</v>
      </c>
      <c r="C106" s="92">
        <v>65.8</v>
      </c>
      <c r="D106" s="92">
        <v>65.8</v>
      </c>
      <c r="E106" s="92">
        <v>65.8</v>
      </c>
      <c r="F106" s="92">
        <v>65.2</v>
      </c>
      <c r="G106" s="92">
        <v>65.2</v>
      </c>
      <c r="H106" s="92">
        <v>65.2</v>
      </c>
      <c r="I106" s="92">
        <v>64.900000000000006</v>
      </c>
      <c r="J106" s="92">
        <v>64.8</v>
      </c>
      <c r="K106" s="92">
        <v>63</v>
      </c>
      <c r="L106" s="92">
        <v>63.2</v>
      </c>
      <c r="M106" s="92">
        <v>64</v>
      </c>
      <c r="N106" s="92">
        <v>63.7</v>
      </c>
      <c r="O106" s="92">
        <v>63.7</v>
      </c>
      <c r="P106" s="92">
        <v>63.1</v>
      </c>
      <c r="Q106" s="92">
        <v>63</v>
      </c>
      <c r="R106" s="92">
        <v>61.2</v>
      </c>
      <c r="S106" s="92">
        <v>62.6</v>
      </c>
      <c r="T106" s="92">
        <v>62.5</v>
      </c>
      <c r="U106" s="92">
        <v>63.3</v>
      </c>
      <c r="V106" s="92">
        <v>63.8</v>
      </c>
      <c r="W106" s="92">
        <v>64</v>
      </c>
      <c r="X106" s="92">
        <v>64.599999999999994</v>
      </c>
      <c r="Y106" s="92">
        <v>64.599999999999994</v>
      </c>
      <c r="Z106" s="92">
        <v>63.6</v>
      </c>
      <c r="AA106" s="92">
        <v>63.9</v>
      </c>
      <c r="AB106" s="92">
        <v>64.5</v>
      </c>
      <c r="AC106" s="92">
        <v>64.5</v>
      </c>
      <c r="AD106" s="92">
        <v>64.5</v>
      </c>
      <c r="AE106" s="92">
        <v>65.099999999999994</v>
      </c>
      <c r="AF106" s="92">
        <v>65.099999999999994</v>
      </c>
      <c r="AG106" s="108"/>
      <c r="AH106" s="47">
        <f t="shared" si="8"/>
        <v>65.8</v>
      </c>
      <c r="AI106" s="48">
        <f t="shared" si="9"/>
        <v>61.2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f t="shared" ref="B108:AF108" si="15">SUM(B18,B24,B27:B28,B56,B58:B59,B61,B63,B109:B113,B136,B142,B148,B157,B159,B171,B178,B181:B182,B189,B191,B193,B197:B199,B201:B203,B208,B214:B215,B217:B219,B227,B232)</f>
        <v>86.200000000000017</v>
      </c>
      <c r="C108" s="111">
        <f t="shared" si="15"/>
        <v>83.639999999999986</v>
      </c>
      <c r="D108" s="111">
        <f t="shared" si="15"/>
        <v>83.039999999999992</v>
      </c>
      <c r="E108" s="111">
        <f t="shared" si="15"/>
        <v>82.639999999999986</v>
      </c>
      <c r="F108" s="111">
        <f t="shared" si="15"/>
        <v>81.039999999999992</v>
      </c>
      <c r="G108" s="111">
        <f t="shared" si="15"/>
        <v>81.039999999999992</v>
      </c>
      <c r="H108" s="111">
        <f t="shared" si="15"/>
        <v>133.24</v>
      </c>
      <c r="I108" s="111">
        <f t="shared" si="15"/>
        <v>154.53999999999996</v>
      </c>
      <c r="J108" s="111">
        <f t="shared" si="15"/>
        <v>211.74</v>
      </c>
      <c r="K108" s="111">
        <f t="shared" si="15"/>
        <v>235.54000000000002</v>
      </c>
      <c r="L108" s="111">
        <f t="shared" si="15"/>
        <v>256.04000000000002</v>
      </c>
      <c r="M108" s="111">
        <f t="shared" si="15"/>
        <v>242.14</v>
      </c>
      <c r="N108" s="111">
        <f t="shared" si="15"/>
        <v>244.84</v>
      </c>
      <c r="O108" s="111">
        <f t="shared" si="15"/>
        <v>241.34000000000003</v>
      </c>
      <c r="P108" s="111">
        <v>42</v>
      </c>
      <c r="Q108" s="111">
        <f>SUM(Q18,Q24,Q27:Q28,Q56,Q58:Q59,Q61,Q63,Q109:Q113,Q136,Q142,Q148,Q157,Q159,Q171,Q178,Q181:Q182,Q189,Q191,Q193,Q197:Q199,Q201:Q203,Q208,Q214:Q215,Q217:Q219,Q227,Q232)</f>
        <v>226.70000000000005</v>
      </c>
      <c r="R108" s="111">
        <f>SUM(R18,R24,R27:R28,R56,R58:R59,R61,R63,R109:R113,R136,R142,R148,R157,R159,R171,R178,R181:R182,R189,R191,R193,R197:R199,R201:R203,R208,R214:R215,R217:R219,R227,R232)</f>
        <v>231.2</v>
      </c>
      <c r="S108" s="111">
        <f t="shared" si="15"/>
        <v>239.79999999999995</v>
      </c>
      <c r="T108" s="111">
        <f t="shared" si="15"/>
        <v>252.6</v>
      </c>
      <c r="U108" s="111">
        <f t="shared" si="15"/>
        <v>259.70000000000005</v>
      </c>
      <c r="V108" s="111">
        <f t="shared" si="15"/>
        <v>253.6</v>
      </c>
      <c r="W108" s="111">
        <f t="shared" si="15"/>
        <v>238.40000000000003</v>
      </c>
      <c r="X108" s="111">
        <f t="shared" si="15"/>
        <v>234.3</v>
      </c>
      <c r="Y108" s="111">
        <f t="shared" si="15"/>
        <v>247.88900000000001</v>
      </c>
      <c r="Z108" s="111">
        <f t="shared" si="15"/>
        <v>280.10000000000002</v>
      </c>
      <c r="AA108" s="111">
        <f t="shared" si="15"/>
        <v>308.89999999999998</v>
      </c>
      <c r="AB108" s="111">
        <f t="shared" si="15"/>
        <v>275.10000000000002</v>
      </c>
      <c r="AC108" s="111">
        <f t="shared" si="15"/>
        <v>497.4</v>
      </c>
      <c r="AD108" s="111">
        <f t="shared" si="15"/>
        <v>275.8</v>
      </c>
      <c r="AE108" s="111">
        <f t="shared" si="15"/>
        <v>164.8</v>
      </c>
      <c r="AF108" s="111">
        <f t="shared" si="15"/>
        <v>121.9</v>
      </c>
      <c r="AG108" s="112"/>
      <c r="AH108" s="47">
        <f t="shared" si="8"/>
        <v>497.4</v>
      </c>
      <c r="AI108" s="48">
        <f t="shared" si="9"/>
        <v>42</v>
      </c>
    </row>
    <row r="109" spans="1:37" x14ac:dyDescent="0.25">
      <c r="A109" s="100" t="s">
        <v>117</v>
      </c>
      <c r="B109" s="113">
        <v>10.3</v>
      </c>
      <c r="C109" s="113">
        <v>11.4</v>
      </c>
      <c r="D109" s="113">
        <v>13.8</v>
      </c>
      <c r="E109" s="113">
        <v>19.2</v>
      </c>
      <c r="F109" s="113">
        <v>22</v>
      </c>
      <c r="G109" s="113">
        <v>22</v>
      </c>
      <c r="H109" s="113">
        <v>36.1</v>
      </c>
      <c r="I109" s="113">
        <v>43.7</v>
      </c>
      <c r="J109" s="113">
        <v>49.9</v>
      </c>
      <c r="K109" s="113">
        <v>49.3</v>
      </c>
      <c r="L109" s="113">
        <v>52.3</v>
      </c>
      <c r="M109" s="113">
        <v>46.9</v>
      </c>
      <c r="N109" s="113">
        <v>48.9</v>
      </c>
      <c r="O109" s="113">
        <v>43.1</v>
      </c>
      <c r="P109" s="113">
        <v>41.9</v>
      </c>
      <c r="Q109" s="113">
        <v>55.8</v>
      </c>
      <c r="R109" s="113">
        <v>56.2</v>
      </c>
      <c r="S109" s="113">
        <v>48.7</v>
      </c>
      <c r="T109" s="113">
        <v>45</v>
      </c>
      <c r="U109" s="113">
        <v>41.8</v>
      </c>
      <c r="V109" s="113">
        <v>40.6</v>
      </c>
      <c r="W109" s="113">
        <v>42.9</v>
      </c>
      <c r="X109" s="113">
        <v>46.9</v>
      </c>
      <c r="Y109" s="113">
        <v>50.088999999999999</v>
      </c>
      <c r="Z109" s="113">
        <v>53.5</v>
      </c>
      <c r="AA109" s="113">
        <v>48.6</v>
      </c>
      <c r="AB109" s="113">
        <v>35.799999999999997</v>
      </c>
      <c r="AC109" s="113">
        <v>56</v>
      </c>
      <c r="AD109" s="113">
        <v>64</v>
      </c>
      <c r="AE109" s="113">
        <v>48</v>
      </c>
      <c r="AF109" s="113">
        <v>37</v>
      </c>
      <c r="AG109" s="114">
        <v>75</v>
      </c>
      <c r="AH109" s="47">
        <f t="shared" si="8"/>
        <v>64</v>
      </c>
      <c r="AI109" s="48">
        <f t="shared" si="9"/>
        <v>10.3</v>
      </c>
    </row>
    <row r="110" spans="1:37" x14ac:dyDescent="0.25">
      <c r="A110" s="103" t="s">
        <v>118</v>
      </c>
      <c r="B110" s="115">
        <v>22.8</v>
      </c>
      <c r="C110" s="115">
        <v>25</v>
      </c>
      <c r="D110" s="115">
        <v>29.5</v>
      </c>
      <c r="E110" s="115">
        <v>38</v>
      </c>
      <c r="F110" s="115">
        <v>40.4</v>
      </c>
      <c r="G110" s="115">
        <v>40.4</v>
      </c>
      <c r="H110" s="115">
        <v>59.3</v>
      </c>
      <c r="I110" s="115">
        <v>63.7</v>
      </c>
      <c r="J110" s="115">
        <v>71.900000000000006</v>
      </c>
      <c r="K110" s="115">
        <v>89.1</v>
      </c>
      <c r="L110" s="115">
        <v>74.8</v>
      </c>
      <c r="M110" s="115">
        <v>68</v>
      </c>
      <c r="N110" s="115">
        <v>70.5</v>
      </c>
      <c r="O110" s="115">
        <v>67.900000000000006</v>
      </c>
      <c r="P110" s="115">
        <v>66.3</v>
      </c>
      <c r="Q110" s="115">
        <v>87.4</v>
      </c>
      <c r="R110" s="115">
        <v>86</v>
      </c>
      <c r="S110" s="115">
        <v>75.099999999999994</v>
      </c>
      <c r="T110" s="115">
        <v>68.599999999999994</v>
      </c>
      <c r="U110" s="115">
        <v>65.5</v>
      </c>
      <c r="V110" s="115">
        <v>62</v>
      </c>
      <c r="W110" s="115">
        <v>64.7</v>
      </c>
      <c r="X110" s="115">
        <v>71.599999999999994</v>
      </c>
      <c r="Y110" s="115">
        <v>70</v>
      </c>
      <c r="Z110" s="115">
        <v>76.099999999999994</v>
      </c>
      <c r="AA110" s="115">
        <v>69.5</v>
      </c>
      <c r="AB110" s="115">
        <v>50</v>
      </c>
      <c r="AC110" s="115">
        <v>35</v>
      </c>
      <c r="AD110" s="115">
        <v>35</v>
      </c>
      <c r="AE110" s="115">
        <v>29</v>
      </c>
      <c r="AF110" s="115">
        <v>19</v>
      </c>
      <c r="AG110" s="114">
        <v>240</v>
      </c>
      <c r="AH110" s="47">
        <f t="shared" si="8"/>
        <v>89.1</v>
      </c>
      <c r="AI110" s="48">
        <f t="shared" si="9"/>
        <v>19</v>
      </c>
    </row>
    <row r="111" spans="1:37" x14ac:dyDescent="0.25">
      <c r="A111" s="103" t="s">
        <v>119</v>
      </c>
      <c r="B111" s="115">
        <v>-96</v>
      </c>
      <c r="C111" s="115">
        <v>-98</v>
      </c>
      <c r="D111" s="115">
        <v>-93</v>
      </c>
      <c r="E111" s="115">
        <v>-103.3</v>
      </c>
      <c r="F111" s="115">
        <v>-89.5</v>
      </c>
      <c r="G111" s="115">
        <v>-89.5</v>
      </c>
      <c r="H111" s="115">
        <v>-74.2</v>
      </c>
      <c r="I111" s="115">
        <v>-68</v>
      </c>
      <c r="J111" s="115">
        <v>-59.3</v>
      </c>
      <c r="K111" s="115">
        <v>-57.1</v>
      </c>
      <c r="L111" s="115">
        <v>-50.6</v>
      </c>
      <c r="M111" s="115">
        <v>-58</v>
      </c>
      <c r="N111" s="115">
        <v>-57</v>
      </c>
      <c r="O111" s="115">
        <v>-58</v>
      </c>
      <c r="P111" s="115">
        <v>-72</v>
      </c>
      <c r="Q111" s="115">
        <v>-79</v>
      </c>
      <c r="R111" s="115">
        <v>-52</v>
      </c>
      <c r="S111" s="115">
        <v>-72</v>
      </c>
      <c r="T111" s="115">
        <v>-67</v>
      </c>
      <c r="U111" s="115">
        <v>-58</v>
      </c>
      <c r="V111" s="115">
        <v>-55</v>
      </c>
      <c r="W111" s="115">
        <v>-53</v>
      </c>
      <c r="X111" s="115">
        <v>-56</v>
      </c>
      <c r="Y111" s="115">
        <v>-50</v>
      </c>
      <c r="Z111" s="115">
        <v>-47</v>
      </c>
      <c r="AA111" s="115">
        <v>-38</v>
      </c>
      <c r="AB111" s="115">
        <f>-23.5-17.7</f>
        <v>-41.2</v>
      </c>
      <c r="AC111" s="115">
        <v>-44</v>
      </c>
      <c r="AD111" s="115">
        <v>-44</v>
      </c>
      <c r="AE111" s="115">
        <v>-90</v>
      </c>
      <c r="AF111" s="115">
        <v>-100</v>
      </c>
      <c r="AG111" s="114">
        <v>240</v>
      </c>
      <c r="AH111" s="47">
        <f t="shared" si="8"/>
        <v>-38</v>
      </c>
      <c r="AI111" s="48">
        <f t="shared" si="9"/>
        <v>-103.3</v>
      </c>
    </row>
    <row r="112" spans="1:37" x14ac:dyDescent="0.25">
      <c r="A112" s="103" t="s">
        <v>120</v>
      </c>
      <c r="B112" s="115">
        <v>-14</v>
      </c>
      <c r="C112" s="115">
        <v>-14</v>
      </c>
      <c r="D112" s="115">
        <v>-15.1</v>
      </c>
      <c r="E112" s="115">
        <v>-16.5</v>
      </c>
      <c r="F112" s="115">
        <v>-12.4</v>
      </c>
      <c r="G112" s="115">
        <v>-12.4</v>
      </c>
      <c r="H112" s="115">
        <v>-8.5</v>
      </c>
      <c r="I112" s="115">
        <v>-5.5</v>
      </c>
      <c r="J112" s="115">
        <v>-4.5</v>
      </c>
      <c r="K112" s="115">
        <v>1.5</v>
      </c>
      <c r="L112" s="115">
        <v>0.9</v>
      </c>
      <c r="M112" s="115">
        <v>-0.3</v>
      </c>
      <c r="N112" s="115">
        <v>-0.5</v>
      </c>
      <c r="O112" s="115">
        <v>-2.6</v>
      </c>
      <c r="P112" s="115">
        <v>-3.3</v>
      </c>
      <c r="Q112" s="115">
        <v>0</v>
      </c>
      <c r="R112" s="115">
        <v>1</v>
      </c>
      <c r="S112" s="115">
        <v>-2</v>
      </c>
      <c r="T112" s="115">
        <v>-4</v>
      </c>
      <c r="U112" s="115">
        <v>-4.5</v>
      </c>
      <c r="V112" s="115">
        <v>-2</v>
      </c>
      <c r="W112" s="115">
        <v>-2</v>
      </c>
      <c r="X112" s="115">
        <v>0</v>
      </c>
      <c r="Y112" s="115">
        <v>2</v>
      </c>
      <c r="Z112" s="115">
        <v>5.4</v>
      </c>
      <c r="AA112" s="115">
        <v>23</v>
      </c>
      <c r="AB112" s="115">
        <v>4.7</v>
      </c>
      <c r="AC112" s="115">
        <v>5</v>
      </c>
      <c r="AD112" s="115">
        <v>5</v>
      </c>
      <c r="AE112" s="115">
        <v>-8</v>
      </c>
      <c r="AF112" s="115">
        <v>-16</v>
      </c>
      <c r="AG112" s="114">
        <v>60</v>
      </c>
      <c r="AH112" s="47">
        <f t="shared" si="8"/>
        <v>23</v>
      </c>
      <c r="AI112" s="48">
        <f t="shared" si="9"/>
        <v>-16.5</v>
      </c>
    </row>
    <row r="113" spans="1:37" x14ac:dyDescent="0.25">
      <c r="A113" s="116" t="s">
        <v>121</v>
      </c>
      <c r="B113" s="117">
        <v>43.4</v>
      </c>
      <c r="C113" s="117">
        <v>38.6</v>
      </c>
      <c r="D113" s="117">
        <v>27.2</v>
      </c>
      <c r="E113" s="117">
        <v>24.7</v>
      </c>
      <c r="F113" s="117">
        <v>0</v>
      </c>
      <c r="G113" s="117">
        <v>0</v>
      </c>
      <c r="H113" s="117">
        <v>0</v>
      </c>
      <c r="I113" s="117">
        <v>0</v>
      </c>
      <c r="J113" s="117">
        <v>27.7</v>
      </c>
      <c r="K113" s="117">
        <v>26.1</v>
      </c>
      <c r="L113" s="117">
        <v>52</v>
      </c>
      <c r="M113" s="117">
        <v>58.9</v>
      </c>
      <c r="N113" s="117">
        <v>58</v>
      </c>
      <c r="O113" s="117">
        <v>63.2</v>
      </c>
      <c r="P113" s="117">
        <v>55.5</v>
      </c>
      <c r="Q113" s="117">
        <v>27.5</v>
      </c>
      <c r="R113" s="117">
        <v>0</v>
      </c>
      <c r="S113" s="117">
        <v>50</v>
      </c>
      <c r="T113" s="117">
        <v>70</v>
      </c>
      <c r="U113" s="117">
        <v>74.900000000000006</v>
      </c>
      <c r="V113" s="117">
        <v>68</v>
      </c>
      <c r="W113" s="117">
        <v>63</v>
      </c>
      <c r="X113" s="117">
        <v>50</v>
      </c>
      <c r="Y113" s="117">
        <v>54</v>
      </c>
      <c r="Z113" s="117">
        <v>70.3</v>
      </c>
      <c r="AA113" s="117">
        <v>84</v>
      </c>
      <c r="AB113" s="117">
        <v>104</v>
      </c>
      <c r="AC113" s="117">
        <v>94</v>
      </c>
      <c r="AD113" s="117">
        <v>94</v>
      </c>
      <c r="AE113" s="117">
        <v>64</v>
      </c>
      <c r="AF113" s="117">
        <v>62</v>
      </c>
      <c r="AG113" s="118">
        <v>120</v>
      </c>
      <c r="AH113" s="47">
        <f t="shared" si="8"/>
        <v>104</v>
      </c>
      <c r="AI113" s="48">
        <f t="shared" si="9"/>
        <v>0</v>
      </c>
    </row>
    <row r="114" spans="1:37" x14ac:dyDescent="0.25">
      <c r="A114" s="116" t="s">
        <v>122</v>
      </c>
      <c r="B114" s="117">
        <v>60.4</v>
      </c>
      <c r="C114" s="117">
        <v>56.2</v>
      </c>
      <c r="D114" s="117">
        <v>55.6</v>
      </c>
      <c r="E114" s="117">
        <v>62</v>
      </c>
      <c r="F114" s="117">
        <v>70</v>
      </c>
      <c r="G114" s="117">
        <v>70</v>
      </c>
      <c r="H114" s="117">
        <v>66.3</v>
      </c>
      <c r="I114" s="117">
        <v>85</v>
      </c>
      <c r="J114" s="117">
        <v>41.1</v>
      </c>
      <c r="K114" s="117">
        <v>41.9</v>
      </c>
      <c r="L114" s="117">
        <v>59.2</v>
      </c>
      <c r="M114" s="117">
        <v>68</v>
      </c>
      <c r="N114" s="117">
        <v>69</v>
      </c>
      <c r="O114" s="117">
        <v>75</v>
      </c>
      <c r="P114" s="117">
        <v>74.3</v>
      </c>
      <c r="Q114" s="117">
        <v>59.2</v>
      </c>
      <c r="R114" s="117">
        <v>93.2</v>
      </c>
      <c r="S114" s="117">
        <v>76</v>
      </c>
      <c r="T114" s="117">
        <v>86</v>
      </c>
      <c r="U114" s="117">
        <v>89</v>
      </c>
      <c r="V114" s="117">
        <v>83</v>
      </c>
      <c r="W114" s="117">
        <v>74</v>
      </c>
      <c r="X114" s="117">
        <v>58</v>
      </c>
      <c r="Y114" s="117">
        <v>65</v>
      </c>
      <c r="Z114" s="117">
        <v>67</v>
      </c>
      <c r="AA114" s="117">
        <v>75</v>
      </c>
      <c r="AB114" s="117">
        <v>86</v>
      </c>
      <c r="AC114" s="117">
        <v>85</v>
      </c>
      <c r="AD114" s="117">
        <v>85</v>
      </c>
      <c r="AE114" s="117">
        <v>69</v>
      </c>
      <c r="AF114" s="117">
        <v>73</v>
      </c>
      <c r="AG114" s="118"/>
      <c r="AH114" s="47">
        <f t="shared" si="8"/>
        <v>93.2</v>
      </c>
      <c r="AI114" s="48">
        <f t="shared" si="9"/>
        <v>41.1</v>
      </c>
    </row>
    <row r="115" spans="1:37" x14ac:dyDescent="0.25">
      <c r="A115" s="116" t="s">
        <v>123</v>
      </c>
      <c r="B115" s="117">
        <v>52.3</v>
      </c>
      <c r="C115" s="117">
        <v>53.2</v>
      </c>
      <c r="D115" s="117"/>
      <c r="E115" s="117">
        <v>37.6</v>
      </c>
      <c r="F115" s="117">
        <v>30.2</v>
      </c>
      <c r="G115" s="117">
        <v>30.2</v>
      </c>
      <c r="H115" s="117">
        <v>14.9</v>
      </c>
      <c r="I115" s="117">
        <v>3.4</v>
      </c>
      <c r="J115" s="117">
        <v>-15.3</v>
      </c>
      <c r="K115" s="117">
        <v>-21.6</v>
      </c>
      <c r="L115" s="117">
        <v>-0.08</v>
      </c>
      <c r="M115" s="117">
        <v>-34</v>
      </c>
      <c r="N115" s="117">
        <v>11.4</v>
      </c>
      <c r="O115" s="117">
        <v>8.8000000000000007</v>
      </c>
      <c r="P115" s="117">
        <v>30.3</v>
      </c>
      <c r="Q115" s="117">
        <v>-5.4</v>
      </c>
      <c r="R115" s="117">
        <v>-10.199999999999999</v>
      </c>
      <c r="S115" s="117">
        <v>6</v>
      </c>
      <c r="T115" s="117">
        <v>12</v>
      </c>
      <c r="U115" s="117">
        <v>14.2</v>
      </c>
      <c r="V115" s="117">
        <v>2</v>
      </c>
      <c r="W115" s="117">
        <v>-5.6</v>
      </c>
      <c r="X115" s="117">
        <v>1</v>
      </c>
      <c r="Y115" s="117">
        <v>3.5</v>
      </c>
      <c r="Z115" s="117">
        <v>6.7</v>
      </c>
      <c r="AA115" s="117">
        <v>14</v>
      </c>
      <c r="AB115" s="117">
        <v>24</v>
      </c>
      <c r="AC115" s="117">
        <v>30</v>
      </c>
      <c r="AD115" s="117">
        <v>30</v>
      </c>
      <c r="AE115" s="117">
        <v>45</v>
      </c>
      <c r="AF115" s="117">
        <v>71</v>
      </c>
      <c r="AG115" s="119"/>
      <c r="AH115" s="47">
        <f t="shared" si="8"/>
        <v>71</v>
      </c>
      <c r="AI115" s="48">
        <f t="shared" si="9"/>
        <v>-34</v>
      </c>
    </row>
    <row r="116" spans="1:37" x14ac:dyDescent="0.25">
      <c r="A116" s="120" t="s">
        <v>124</v>
      </c>
      <c r="B116" s="106">
        <v>47.2</v>
      </c>
      <c r="C116" s="106">
        <v>43.6</v>
      </c>
      <c r="D116" s="106"/>
      <c r="E116" s="106">
        <v>41.7</v>
      </c>
      <c r="F116" s="106">
        <v>38.6</v>
      </c>
      <c r="G116" s="106">
        <v>38.6</v>
      </c>
      <c r="H116" s="106">
        <v>26.5</v>
      </c>
      <c r="I116" s="106">
        <v>23.2</v>
      </c>
      <c r="J116" s="106">
        <v>18.7</v>
      </c>
      <c r="K116" s="106">
        <v>11.8</v>
      </c>
      <c r="L116" s="106">
        <v>11.6</v>
      </c>
      <c r="M116" s="106">
        <v>7.9</v>
      </c>
      <c r="N116" s="106">
        <v>8.6999999999999993</v>
      </c>
      <c r="O116" s="106">
        <v>2.6</v>
      </c>
      <c r="P116" s="106">
        <v>2.1</v>
      </c>
      <c r="Q116" s="106">
        <v>1.4</v>
      </c>
      <c r="R116" s="106">
        <v>4.4000000000000004</v>
      </c>
      <c r="S116" s="106">
        <v>6</v>
      </c>
      <c r="T116" s="106">
        <v>-2.7</v>
      </c>
      <c r="U116" s="106">
        <v>1.8</v>
      </c>
      <c r="V116" s="106">
        <v>-6</v>
      </c>
      <c r="W116" s="106">
        <v>-5</v>
      </c>
      <c r="X116" s="106">
        <v>-2</v>
      </c>
      <c r="Y116" s="106">
        <v>-8.9</v>
      </c>
      <c r="Z116" s="106">
        <v>-19</v>
      </c>
      <c r="AA116" s="106">
        <v>-20</v>
      </c>
      <c r="AB116" s="106">
        <v>-14.7</v>
      </c>
      <c r="AC116" s="106">
        <v>-16</v>
      </c>
      <c r="AD116" s="106">
        <v>-16</v>
      </c>
      <c r="AE116" s="106">
        <v>-6.5</v>
      </c>
      <c r="AF116" s="106">
        <v>-1</v>
      </c>
      <c r="AG116" s="119"/>
      <c r="AH116" s="47">
        <f t="shared" si="8"/>
        <v>47.2</v>
      </c>
      <c r="AI116" s="48">
        <f t="shared" si="9"/>
        <v>-20</v>
      </c>
    </row>
    <row r="117" spans="1:37" x14ac:dyDescent="0.25">
      <c r="A117" s="120" t="s">
        <v>125</v>
      </c>
      <c r="B117" s="106">
        <v>44.8</v>
      </c>
      <c r="C117" s="106">
        <v>42.4</v>
      </c>
      <c r="D117" s="106"/>
      <c r="E117" s="106">
        <v>41</v>
      </c>
      <c r="F117" s="106">
        <v>47.4</v>
      </c>
      <c r="G117" s="106">
        <v>47.4</v>
      </c>
      <c r="H117" s="106">
        <v>45.6</v>
      </c>
      <c r="I117" s="106">
        <v>62.8</v>
      </c>
      <c r="J117" s="106">
        <v>67</v>
      </c>
      <c r="K117" s="106">
        <v>75</v>
      </c>
      <c r="L117" s="106">
        <v>75</v>
      </c>
      <c r="M117" s="106">
        <v>70.5</v>
      </c>
      <c r="N117" s="106">
        <v>72.5</v>
      </c>
      <c r="O117" s="106">
        <v>75.900000000000006</v>
      </c>
      <c r="P117" s="106">
        <v>71.3</v>
      </c>
      <c r="Q117" s="106">
        <v>70</v>
      </c>
      <c r="R117" s="106">
        <v>65.7</v>
      </c>
      <c r="S117" s="106">
        <v>65</v>
      </c>
      <c r="T117" s="106">
        <v>80</v>
      </c>
      <c r="U117" s="106">
        <v>69.3</v>
      </c>
      <c r="V117" s="106">
        <v>80</v>
      </c>
      <c r="W117" s="106">
        <v>75</v>
      </c>
      <c r="X117" s="106">
        <v>73</v>
      </c>
      <c r="Y117" s="106">
        <v>75</v>
      </c>
      <c r="Z117" s="106">
        <v>99</v>
      </c>
      <c r="AA117" s="106">
        <v>108</v>
      </c>
      <c r="AB117" s="106">
        <v>105.3</v>
      </c>
      <c r="AC117" s="106">
        <v>106</v>
      </c>
      <c r="AD117" s="106">
        <v>106</v>
      </c>
      <c r="AE117" s="106">
        <v>70</v>
      </c>
      <c r="AF117" s="106">
        <v>107</v>
      </c>
      <c r="AG117" s="119"/>
      <c r="AH117" s="47">
        <f t="shared" si="8"/>
        <v>108</v>
      </c>
      <c r="AI117" s="48">
        <f t="shared" si="9"/>
        <v>41</v>
      </c>
    </row>
    <row r="118" spans="1:37" ht="15.75" thickBot="1" x14ac:dyDescent="0.3">
      <c r="A118" s="120" t="s">
        <v>265</v>
      </c>
      <c r="B118" s="106"/>
      <c r="C118" s="106"/>
      <c r="D118" s="106"/>
      <c r="E118" s="106"/>
      <c r="F118" s="106"/>
      <c r="G118" s="106"/>
      <c r="H118" s="106">
        <v>98</v>
      </c>
      <c r="I118" s="106">
        <v>95</v>
      </c>
      <c r="J118" s="106">
        <v>85</v>
      </c>
      <c r="K118" s="106">
        <v>86</v>
      </c>
      <c r="L118" s="106">
        <v>59.2</v>
      </c>
      <c r="M118" s="106">
        <v>98</v>
      </c>
      <c r="N118" s="106">
        <v>58.9</v>
      </c>
      <c r="O118" s="106">
        <v>59.3</v>
      </c>
      <c r="P118" s="106">
        <v>67.3</v>
      </c>
      <c r="Q118" s="106">
        <v>98.1</v>
      </c>
      <c r="R118" s="106">
        <v>64.599999999999994</v>
      </c>
      <c r="S118" s="106">
        <v>81</v>
      </c>
      <c r="T118" s="106">
        <v>71</v>
      </c>
      <c r="U118" s="106">
        <v>57</v>
      </c>
      <c r="V118" s="106">
        <v>59</v>
      </c>
      <c r="W118" s="106">
        <v>63.2</v>
      </c>
      <c r="X118" s="106">
        <v>63</v>
      </c>
      <c r="Y118" s="106">
        <v>49</v>
      </c>
      <c r="Z118" s="106">
        <v>51.1</v>
      </c>
      <c r="AA118" s="106">
        <v>37</v>
      </c>
      <c r="AB118" s="106">
        <v>34.299999999999997</v>
      </c>
      <c r="AC118" s="106">
        <v>41</v>
      </c>
      <c r="AD118" s="106">
        <v>41</v>
      </c>
      <c r="AE118" s="106">
        <v>86</v>
      </c>
      <c r="AF118" s="106">
        <v>91</v>
      </c>
      <c r="AG118" s="119"/>
      <c r="AH118" s="47">
        <f t="shared" si="8"/>
        <v>98.1</v>
      </c>
      <c r="AI118" s="48">
        <f t="shared" si="9"/>
        <v>34.299999999999997</v>
      </c>
    </row>
    <row r="119" spans="1:37" ht="15.75" thickBot="1" x14ac:dyDescent="0.3">
      <c r="A119" s="121" t="s">
        <v>126</v>
      </c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47"/>
      <c r="AI119" s="48"/>
      <c r="AK119" s="49"/>
    </row>
    <row r="120" spans="1:37" x14ac:dyDescent="0.25">
      <c r="A120" s="124" t="s">
        <v>127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>
        <v>9.94</v>
      </c>
      <c r="AH120" s="47"/>
      <c r="AI120" s="48"/>
      <c r="AK120" s="49"/>
    </row>
    <row r="121" spans="1:37" x14ac:dyDescent="0.25">
      <c r="A121" s="103" t="s">
        <v>128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129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130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131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132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133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134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135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136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137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138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139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140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141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142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143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0">
        <v>9.9</v>
      </c>
      <c r="AH136" s="47"/>
      <c r="AI136" s="48"/>
      <c r="AK136" s="49"/>
    </row>
    <row r="137" spans="1:37" x14ac:dyDescent="0.25">
      <c r="A137" s="116" t="s">
        <v>144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9.6579999999999995</v>
      </c>
      <c r="AH137" s="47"/>
      <c r="AI137" s="48"/>
      <c r="AK137" s="49"/>
    </row>
    <row r="138" spans="1:37" x14ac:dyDescent="0.25">
      <c r="A138" s="116" t="s">
        <v>145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9.6</v>
      </c>
      <c r="AH138" s="47"/>
      <c r="AI138" s="48"/>
      <c r="AK138" s="49"/>
    </row>
    <row r="139" spans="1:37" x14ac:dyDescent="0.25">
      <c r="A139" s="116" t="s">
        <v>146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9.51</v>
      </c>
      <c r="AH139" s="47"/>
      <c r="AI139" s="48"/>
      <c r="AK139" s="49"/>
    </row>
    <row r="140" spans="1:37" x14ac:dyDescent="0.25">
      <c r="A140" s="116" t="s">
        <v>147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9.4</v>
      </c>
      <c r="AH140" s="47"/>
      <c r="AI140" s="48"/>
      <c r="AK140" s="49"/>
    </row>
    <row r="141" spans="1:37" x14ac:dyDescent="0.25">
      <c r="A141" s="116" t="s">
        <v>148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8.8000000000000007</v>
      </c>
      <c r="AH141" s="47"/>
      <c r="AI141" s="48"/>
      <c r="AK141" s="49"/>
    </row>
    <row r="142" spans="1:37" x14ac:dyDescent="0.25">
      <c r="A142" s="116" t="s">
        <v>149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150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8.5</v>
      </c>
      <c r="AH143" s="47"/>
      <c r="AI143" s="48"/>
      <c r="AK143" s="49"/>
    </row>
    <row r="144" spans="1:37" x14ac:dyDescent="0.25">
      <c r="A144" s="116" t="s">
        <v>151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8.4</v>
      </c>
      <c r="AH144" s="47"/>
      <c r="AI144" s="48"/>
      <c r="AK144" s="49"/>
    </row>
    <row r="145" spans="1:37" ht="13.5" customHeight="1" x14ac:dyDescent="0.25">
      <c r="A145" s="116" t="s">
        <v>152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153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154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155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7.8</v>
      </c>
      <c r="AH148" s="47"/>
      <c r="AI148" s="48"/>
      <c r="AK148" s="49"/>
    </row>
    <row r="149" spans="1:37" x14ac:dyDescent="0.25">
      <c r="A149" s="116" t="s">
        <v>156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7.6</v>
      </c>
      <c r="AH149" s="47"/>
      <c r="AI149" s="48"/>
      <c r="AK149" s="49"/>
    </row>
    <row r="150" spans="1:37" x14ac:dyDescent="0.25">
      <c r="A150" s="116" t="s">
        <v>157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158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7.5</v>
      </c>
      <c r="AH151" s="47"/>
      <c r="AI151" s="48"/>
      <c r="AK151" s="49"/>
    </row>
    <row r="152" spans="1:37" x14ac:dyDescent="0.25">
      <c r="A152" s="116" t="s">
        <v>159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160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161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162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163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164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6.6</v>
      </c>
      <c r="AH157" s="47"/>
      <c r="AI157" s="48"/>
      <c r="AK157" s="49"/>
    </row>
    <row r="158" spans="1:37" x14ac:dyDescent="0.25">
      <c r="A158" s="116" t="s">
        <v>165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6.4</v>
      </c>
      <c r="AH158" s="47"/>
      <c r="AI158" s="48"/>
      <c r="AK158" s="49"/>
    </row>
    <row r="159" spans="1:37" x14ac:dyDescent="0.25">
      <c r="A159" s="116" t="s">
        <v>166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</v>
      </c>
      <c r="AH159" s="47"/>
      <c r="AI159" s="48"/>
      <c r="AK159" s="49"/>
    </row>
    <row r="160" spans="1:37" x14ac:dyDescent="0.25">
      <c r="A160" s="116" t="s">
        <v>167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5.0999999999999996</v>
      </c>
      <c r="AH160" s="47"/>
      <c r="AI160" s="48"/>
      <c r="AK160" s="49"/>
    </row>
    <row r="161" spans="1:37" x14ac:dyDescent="0.25">
      <c r="A161" s="116" t="s">
        <v>168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03" t="s">
        <v>169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0">
        <v>5</v>
      </c>
      <c r="AH162" s="47"/>
      <c r="AI162" s="48"/>
      <c r="AK162" s="49"/>
    </row>
    <row r="163" spans="1:37" x14ac:dyDescent="0.25">
      <c r="A163" s="116" t="s">
        <v>170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171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172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173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174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175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4.9930000000000003</v>
      </c>
      <c r="AH168" s="47"/>
      <c r="AI168" s="48"/>
      <c r="AK168" s="49"/>
    </row>
    <row r="169" spans="1:37" x14ac:dyDescent="0.25">
      <c r="A169" s="116" t="s">
        <v>176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4.9800000000000004</v>
      </c>
      <c r="AH169" s="47"/>
      <c r="AI169" s="48"/>
      <c r="AK169" s="49"/>
    </row>
    <row r="170" spans="1:37" x14ac:dyDescent="0.25">
      <c r="A170" s="116" t="s">
        <v>177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178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4.95</v>
      </c>
      <c r="AH171" s="47"/>
      <c r="AI171" s="48"/>
      <c r="AK171" s="49"/>
    </row>
    <row r="172" spans="1:37" x14ac:dyDescent="0.25">
      <c r="A172" s="116" t="s">
        <v>179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180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181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182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183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4.5</v>
      </c>
      <c r="AH176" s="47"/>
      <c r="AI176" s="48"/>
      <c r="AK176" s="49"/>
    </row>
    <row r="177" spans="1:37" x14ac:dyDescent="0.25">
      <c r="A177" s="116" t="s">
        <v>184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4.4550000000000001</v>
      </c>
      <c r="AH177" s="47"/>
      <c r="AI177" s="48"/>
      <c r="AK177" s="49"/>
    </row>
    <row r="178" spans="1:37" x14ac:dyDescent="0.25">
      <c r="A178" s="116" t="s">
        <v>185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4.41</v>
      </c>
      <c r="AH178" s="47"/>
      <c r="AI178" s="48"/>
      <c r="AK178" s="49"/>
    </row>
    <row r="179" spans="1:37" x14ac:dyDescent="0.25">
      <c r="A179" s="116" t="s">
        <v>186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4.4000000000000004</v>
      </c>
      <c r="AH179" s="47"/>
      <c r="AI179" s="48"/>
      <c r="AK179" s="49"/>
    </row>
    <row r="180" spans="1:37" x14ac:dyDescent="0.25">
      <c r="A180" s="116" t="s">
        <v>187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4.3600000000000003</v>
      </c>
      <c r="AH180" s="47"/>
      <c r="AI180" s="48"/>
      <c r="AK180" s="49"/>
    </row>
    <row r="181" spans="1:37" x14ac:dyDescent="0.25">
      <c r="A181" s="116" t="s">
        <v>188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4.2</v>
      </c>
      <c r="AH181" s="47"/>
      <c r="AI181" s="48"/>
      <c r="AK181" s="49"/>
    </row>
    <row r="182" spans="1:37" x14ac:dyDescent="0.25">
      <c r="A182" s="116" t="s">
        <v>189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190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191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192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193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194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195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196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197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3.75</v>
      </c>
      <c r="AH190" s="47"/>
      <c r="AI190" s="48"/>
      <c r="AK190" s="49"/>
    </row>
    <row r="191" spans="1:37" x14ac:dyDescent="0.25">
      <c r="A191" s="116" t="s">
        <v>198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3.52</v>
      </c>
      <c r="AH191" s="47"/>
      <c r="AI191" s="48"/>
      <c r="AK191" s="49"/>
    </row>
    <row r="192" spans="1:37" x14ac:dyDescent="0.25">
      <c r="A192" s="116" t="s">
        <v>199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3.33</v>
      </c>
      <c r="AH192" s="47"/>
      <c r="AI192" s="48"/>
      <c r="AK192" s="49"/>
    </row>
    <row r="193" spans="1:37" x14ac:dyDescent="0.25">
      <c r="A193" s="116" t="s">
        <v>200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3.2</v>
      </c>
      <c r="AH193" s="47"/>
      <c r="AI193" s="48"/>
      <c r="AK193" s="49"/>
    </row>
    <row r="194" spans="1:37" x14ac:dyDescent="0.25">
      <c r="A194" s="116" t="s">
        <v>201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202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203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204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205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206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207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208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209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2.83</v>
      </c>
      <c r="AH202" s="47"/>
      <c r="AI202" s="48"/>
      <c r="AK202" s="49"/>
    </row>
    <row r="203" spans="1:37" x14ac:dyDescent="0.25">
      <c r="A203" s="116" t="s">
        <v>210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211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2.5</v>
      </c>
      <c r="AH204" s="47"/>
      <c r="AI204" s="48"/>
      <c r="AK204" s="49"/>
    </row>
    <row r="205" spans="1:37" x14ac:dyDescent="0.25">
      <c r="A205" s="116" t="s">
        <v>212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213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2.4</v>
      </c>
      <c r="AH206" s="47"/>
      <c r="AI206" s="48"/>
      <c r="AK206" s="49"/>
    </row>
    <row r="207" spans="1:37" x14ac:dyDescent="0.25">
      <c r="A207" s="116" t="s">
        <v>214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2.2000000000000002</v>
      </c>
      <c r="AH207" s="47"/>
      <c r="AI207" s="48"/>
      <c r="AK207" s="49"/>
    </row>
    <row r="208" spans="1:37" x14ac:dyDescent="0.25">
      <c r="A208" s="116" t="s">
        <v>215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216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217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218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219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1.8</v>
      </c>
      <c r="AH212" s="47"/>
      <c r="AI212" s="48"/>
      <c r="AK212" s="49"/>
    </row>
    <row r="213" spans="1:37" x14ac:dyDescent="0.25">
      <c r="A213" s="116" t="s">
        <v>220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1.65</v>
      </c>
      <c r="AH213" s="47"/>
      <c r="AI213" s="48"/>
      <c r="AK213" s="49"/>
    </row>
    <row r="214" spans="1:37" x14ac:dyDescent="0.25">
      <c r="A214" s="116" t="s">
        <v>221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1.5</v>
      </c>
      <c r="AH214" s="47"/>
      <c r="AI214" s="48"/>
      <c r="AK214" s="49"/>
    </row>
    <row r="215" spans="1:37" x14ac:dyDescent="0.25">
      <c r="A215" s="116" t="s">
        <v>222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0.998</v>
      </c>
      <c r="AH215" s="47"/>
      <c r="AI215" s="48"/>
      <c r="AK215" s="49"/>
    </row>
    <row r="216" spans="1:37" x14ac:dyDescent="0.25">
      <c r="A216" s="116" t="s">
        <v>223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224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0.997</v>
      </c>
      <c r="AH217" s="47"/>
      <c r="AI217" s="48"/>
      <c r="AK217" s="49"/>
    </row>
    <row r="218" spans="1:37" x14ac:dyDescent="0.25">
      <c r="A218" s="116" t="s">
        <v>225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226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227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228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0.995</v>
      </c>
      <c r="AH221" s="47"/>
      <c r="AI221" s="48"/>
      <c r="AK221" s="49"/>
    </row>
    <row r="222" spans="1:37" x14ac:dyDescent="0.25">
      <c r="A222" s="116" t="s">
        <v>229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0.99299999999999999</v>
      </c>
      <c r="AH222" s="47"/>
      <c r="AI222" s="48"/>
      <c r="AK222" s="49"/>
    </row>
    <row r="223" spans="1:37" x14ac:dyDescent="0.25">
      <c r="A223" s="116" t="s">
        <v>230</v>
      </c>
      <c r="B223" s="128"/>
      <c r="C223" s="126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</v>
      </c>
      <c r="AH223" s="47"/>
      <c r="AI223" s="48"/>
      <c r="AK223" s="49"/>
    </row>
    <row r="224" spans="1:37" ht="15.75" thickBot="1" x14ac:dyDescent="0.3">
      <c r="A224" s="116" t="s">
        <v>231</v>
      </c>
      <c r="B224" s="132"/>
      <c r="C224" s="133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1">
        <v>0.97899999999999998</v>
      </c>
      <c r="AH224" s="47"/>
      <c r="AI224" s="48"/>
      <c r="AK224" s="49"/>
    </row>
    <row r="225" spans="1:37" ht="15.75" thickBot="1" x14ac:dyDescent="0.3">
      <c r="A225" s="134" t="s">
        <v>232</v>
      </c>
      <c r="B225" s="135">
        <f t="shared" ref="B225:AG225" si="16">SUM(B120:B224)</f>
        <v>0</v>
      </c>
      <c r="C225" s="136">
        <f t="shared" si="16"/>
        <v>0</v>
      </c>
      <c r="D225" s="136">
        <f t="shared" si="16"/>
        <v>0</v>
      </c>
      <c r="E225" s="136">
        <f t="shared" si="16"/>
        <v>0</v>
      </c>
      <c r="F225" s="136">
        <f t="shared" si="16"/>
        <v>0</v>
      </c>
      <c r="G225" s="136">
        <f t="shared" si="16"/>
        <v>0</v>
      </c>
      <c r="H225" s="136">
        <f t="shared" si="16"/>
        <v>0</v>
      </c>
      <c r="I225" s="136">
        <f t="shared" si="16"/>
        <v>0</v>
      </c>
      <c r="J225" s="136">
        <f t="shared" si="16"/>
        <v>0</v>
      </c>
      <c r="K225" s="136">
        <f t="shared" si="16"/>
        <v>0</v>
      </c>
      <c r="L225" s="136">
        <f t="shared" si="16"/>
        <v>0</v>
      </c>
      <c r="M225" s="136">
        <f t="shared" si="16"/>
        <v>0</v>
      </c>
      <c r="N225" s="136">
        <f t="shared" si="16"/>
        <v>0</v>
      </c>
      <c r="O225" s="136">
        <f t="shared" si="16"/>
        <v>0</v>
      </c>
      <c r="P225" s="136">
        <f t="shared" si="16"/>
        <v>0</v>
      </c>
      <c r="Q225" s="136">
        <f t="shared" si="16"/>
        <v>0</v>
      </c>
      <c r="R225" s="136">
        <f t="shared" si="16"/>
        <v>0</v>
      </c>
      <c r="S225" s="136">
        <f t="shared" si="16"/>
        <v>0</v>
      </c>
      <c r="T225" s="136">
        <f t="shared" si="16"/>
        <v>0</v>
      </c>
      <c r="U225" s="136">
        <f t="shared" si="16"/>
        <v>0</v>
      </c>
      <c r="V225" s="136">
        <f t="shared" si="16"/>
        <v>0</v>
      </c>
      <c r="W225" s="136">
        <f t="shared" si="16"/>
        <v>0</v>
      </c>
      <c r="X225" s="136">
        <f t="shared" si="16"/>
        <v>0</v>
      </c>
      <c r="Y225" s="136">
        <f t="shared" si="16"/>
        <v>0</v>
      </c>
      <c r="Z225" s="136">
        <f t="shared" si="16"/>
        <v>0</v>
      </c>
      <c r="AA225" s="136">
        <f t="shared" si="16"/>
        <v>0</v>
      </c>
      <c r="AB225" s="136">
        <f t="shared" si="16"/>
        <v>0</v>
      </c>
      <c r="AC225" s="136">
        <f t="shared" si="16"/>
        <v>0</v>
      </c>
      <c r="AD225" s="136">
        <f t="shared" si="16"/>
        <v>0</v>
      </c>
      <c r="AE225" s="136">
        <f t="shared" si="16"/>
        <v>0</v>
      </c>
      <c r="AF225" s="137">
        <f t="shared" si="16"/>
        <v>0</v>
      </c>
      <c r="AG225" s="138">
        <f t="shared" si="16"/>
        <v>412.72299999999984</v>
      </c>
      <c r="AH225" s="47"/>
      <c r="AI225" s="48"/>
      <c r="AK225" s="49"/>
    </row>
    <row r="226" spans="1:37" ht="15.75" thickBot="1" x14ac:dyDescent="0.3">
      <c r="A226" s="26" t="s">
        <v>73</v>
      </c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  <c r="AF226" s="139"/>
      <c r="AG226" s="119"/>
      <c r="AH226" s="47"/>
      <c r="AI226" s="48"/>
      <c r="AK226" s="49"/>
    </row>
    <row r="227" spans="1:37" x14ac:dyDescent="0.25">
      <c r="A227" s="100" t="s">
        <v>233</v>
      </c>
      <c r="B227" s="140">
        <f t="shared" ref="B227:B232" si="17">AF227</f>
        <v>0</v>
      </c>
      <c r="C227" s="140">
        <v>0.3</v>
      </c>
      <c r="D227" s="140">
        <f t="shared" ref="D227:P232" si="18">C227</f>
        <v>0.3</v>
      </c>
      <c r="E227" s="140">
        <f t="shared" si="18"/>
        <v>0.3</v>
      </c>
      <c r="F227" s="140">
        <f t="shared" si="18"/>
        <v>0.3</v>
      </c>
      <c r="G227" s="140">
        <f t="shared" si="18"/>
        <v>0.3</v>
      </c>
      <c r="H227" s="140">
        <f t="shared" si="18"/>
        <v>0.3</v>
      </c>
      <c r="I227" s="140">
        <f t="shared" si="18"/>
        <v>0.3</v>
      </c>
      <c r="J227" s="140">
        <f t="shared" si="18"/>
        <v>0.3</v>
      </c>
      <c r="K227" s="140">
        <f t="shared" si="18"/>
        <v>0.3</v>
      </c>
      <c r="L227" s="140">
        <f t="shared" si="18"/>
        <v>0.3</v>
      </c>
      <c r="M227" s="140">
        <f t="shared" si="18"/>
        <v>0.3</v>
      </c>
      <c r="N227" s="140">
        <f t="shared" si="18"/>
        <v>0.3</v>
      </c>
      <c r="O227" s="140">
        <f t="shared" si="18"/>
        <v>0.3</v>
      </c>
      <c r="P227" s="140">
        <f t="shared" si="18"/>
        <v>0.3</v>
      </c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1">
        <v>2.4</v>
      </c>
      <c r="AH227" s="47"/>
      <c r="AI227" s="48"/>
      <c r="AK227" s="49"/>
    </row>
    <row r="228" spans="1:37" ht="15.75" thickBot="1" x14ac:dyDescent="0.3">
      <c r="A228" s="103" t="s">
        <v>234</v>
      </c>
      <c r="B228" s="128">
        <f t="shared" si="17"/>
        <v>0</v>
      </c>
      <c r="C228" s="128">
        <v>0.4</v>
      </c>
      <c r="D228" s="128">
        <f t="shared" si="18"/>
        <v>0.4</v>
      </c>
      <c r="E228" s="128">
        <f t="shared" si="18"/>
        <v>0.4</v>
      </c>
      <c r="F228" s="128">
        <f t="shared" si="18"/>
        <v>0.4</v>
      </c>
      <c r="G228" s="128">
        <f t="shared" si="18"/>
        <v>0.4</v>
      </c>
      <c r="H228" s="128">
        <f t="shared" si="18"/>
        <v>0.4</v>
      </c>
      <c r="I228" s="128">
        <f t="shared" si="18"/>
        <v>0.4</v>
      </c>
      <c r="J228" s="128">
        <f t="shared" si="18"/>
        <v>0.4</v>
      </c>
      <c r="K228" s="128">
        <f t="shared" si="18"/>
        <v>0.4</v>
      </c>
      <c r="L228" s="128">
        <f t="shared" si="18"/>
        <v>0.4</v>
      </c>
      <c r="M228" s="128">
        <f t="shared" si="18"/>
        <v>0.4</v>
      </c>
      <c r="N228" s="128">
        <f t="shared" si="18"/>
        <v>0.4</v>
      </c>
      <c r="O228" s="128">
        <f t="shared" si="18"/>
        <v>0.4</v>
      </c>
      <c r="P228" s="128">
        <f t="shared" si="18"/>
        <v>0.4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2</v>
      </c>
      <c r="AH228" s="47"/>
      <c r="AI228" s="48"/>
      <c r="AK228" s="49"/>
    </row>
    <row r="229" spans="1:37" x14ac:dyDescent="0.25">
      <c r="A229" s="103" t="s">
        <v>235</v>
      </c>
      <c r="B229" s="128">
        <f t="shared" si="17"/>
        <v>0</v>
      </c>
      <c r="C229" s="128">
        <v>1.5</v>
      </c>
      <c r="D229" s="128">
        <f t="shared" si="18"/>
        <v>1.5</v>
      </c>
      <c r="E229" s="128">
        <f t="shared" si="18"/>
        <v>1.5</v>
      </c>
      <c r="F229" s="128">
        <f t="shared" si="18"/>
        <v>1.5</v>
      </c>
      <c r="G229" s="128">
        <f t="shared" si="18"/>
        <v>1.5</v>
      </c>
      <c r="H229" s="128">
        <f t="shared" si="18"/>
        <v>1.5</v>
      </c>
      <c r="I229" s="111">
        <f ca="1">SUM(I141,I147,I150:I151,I177,I179:I180,I182,I184,I230:I234,I256,I262,I268,I277,I279,I291,I298,I301:I302,I309,I311,I313,I317:I319,I321:I323,I328,I334:I335,I337:I339,I347,I352)</f>
        <v>123.21900000000009</v>
      </c>
      <c r="J229" s="128">
        <f t="shared" ca="1" si="18"/>
        <v>123.21900000000009</v>
      </c>
      <c r="K229" s="128">
        <f t="shared" ca="1" si="18"/>
        <v>123.21900000000009</v>
      </c>
      <c r="L229" s="128">
        <f t="shared" ca="1" si="18"/>
        <v>123.21900000000009</v>
      </c>
      <c r="M229" s="128">
        <f t="shared" ca="1" si="18"/>
        <v>119.19900000000008</v>
      </c>
      <c r="N229" s="128">
        <f t="shared" ca="1" si="18"/>
        <v>119.19900000000008</v>
      </c>
      <c r="O229" s="128">
        <f t="shared" ca="1" si="18"/>
        <v>115.17900000000007</v>
      </c>
      <c r="P229" s="128">
        <f t="shared" ca="1" si="18"/>
        <v>115.17900000000007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1.5</v>
      </c>
      <c r="AH229" s="47"/>
      <c r="AI229" s="48"/>
      <c r="AK229" s="49"/>
    </row>
    <row r="230" spans="1:37" x14ac:dyDescent="0.25">
      <c r="A230" s="103" t="s">
        <v>236</v>
      </c>
      <c r="B230" s="128">
        <f t="shared" si="17"/>
        <v>0</v>
      </c>
      <c r="C230" s="128">
        <v>0.3</v>
      </c>
      <c r="D230" s="128">
        <f t="shared" si="18"/>
        <v>0.3</v>
      </c>
      <c r="E230" s="128">
        <f t="shared" si="18"/>
        <v>0.3</v>
      </c>
      <c r="F230" s="128">
        <f t="shared" si="18"/>
        <v>0.3</v>
      </c>
      <c r="G230" s="128">
        <f t="shared" si="18"/>
        <v>0.3</v>
      </c>
      <c r="H230" s="128">
        <f t="shared" si="18"/>
        <v>0.3</v>
      </c>
      <c r="I230" s="128">
        <f t="shared" si="18"/>
        <v>0.3</v>
      </c>
      <c r="J230" s="128">
        <f t="shared" si="18"/>
        <v>0.3</v>
      </c>
      <c r="K230" s="128">
        <f t="shared" si="18"/>
        <v>0.3</v>
      </c>
      <c r="L230" s="128">
        <f t="shared" si="18"/>
        <v>0.3</v>
      </c>
      <c r="M230" s="128">
        <f t="shared" si="18"/>
        <v>0.3</v>
      </c>
      <c r="N230" s="128">
        <f t="shared" si="18"/>
        <v>0.3</v>
      </c>
      <c r="O230" s="128">
        <f t="shared" si="18"/>
        <v>0.3</v>
      </c>
      <c r="P230" s="128">
        <f t="shared" si="18"/>
        <v>0.3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x14ac:dyDescent="0.25">
      <c r="A231" s="103" t="s">
        <v>237</v>
      </c>
      <c r="B231" s="128">
        <f t="shared" si="17"/>
        <v>0</v>
      </c>
      <c r="C231" s="128">
        <v>0.4</v>
      </c>
      <c r="D231" s="128">
        <f t="shared" si="18"/>
        <v>0.4</v>
      </c>
      <c r="E231" s="128">
        <f t="shared" si="18"/>
        <v>0.4</v>
      </c>
      <c r="F231" s="128">
        <f t="shared" si="18"/>
        <v>0.4</v>
      </c>
      <c r="G231" s="128">
        <f t="shared" si="18"/>
        <v>0.4</v>
      </c>
      <c r="H231" s="128">
        <f t="shared" si="18"/>
        <v>0.4</v>
      </c>
      <c r="I231" s="128">
        <f t="shared" si="18"/>
        <v>0.4</v>
      </c>
      <c r="J231" s="128">
        <f t="shared" si="18"/>
        <v>0.4</v>
      </c>
      <c r="K231" s="128">
        <f t="shared" si="18"/>
        <v>0.4</v>
      </c>
      <c r="L231" s="128">
        <f t="shared" si="18"/>
        <v>0.4</v>
      </c>
      <c r="M231" s="128">
        <f t="shared" si="18"/>
        <v>0.4</v>
      </c>
      <c r="N231" s="128">
        <f t="shared" si="18"/>
        <v>0.4</v>
      </c>
      <c r="O231" s="128">
        <f t="shared" si="18"/>
        <v>0.4</v>
      </c>
      <c r="P231" s="128">
        <f t="shared" si="18"/>
        <v>0.4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</v>
      </c>
      <c r="AH231" s="47"/>
      <c r="AI231" s="48"/>
      <c r="AK231" s="49"/>
    </row>
    <row r="232" spans="1:37" ht="15.75" thickBot="1" x14ac:dyDescent="0.3">
      <c r="A232" s="116" t="s">
        <v>238</v>
      </c>
      <c r="B232" s="132">
        <f t="shared" si="17"/>
        <v>0</v>
      </c>
      <c r="C232" s="132">
        <v>0.64</v>
      </c>
      <c r="D232" s="132">
        <f t="shared" si="18"/>
        <v>0.64</v>
      </c>
      <c r="E232" s="132">
        <f t="shared" si="18"/>
        <v>0.64</v>
      </c>
      <c r="F232" s="132">
        <f t="shared" si="18"/>
        <v>0.64</v>
      </c>
      <c r="G232" s="132">
        <f t="shared" si="18"/>
        <v>0.64</v>
      </c>
      <c r="H232" s="132">
        <f t="shared" si="18"/>
        <v>0.64</v>
      </c>
      <c r="I232" s="132">
        <f t="shared" si="18"/>
        <v>0.64</v>
      </c>
      <c r="J232" s="132">
        <f t="shared" si="18"/>
        <v>0.64</v>
      </c>
      <c r="K232" s="132">
        <f t="shared" si="18"/>
        <v>0.64</v>
      </c>
      <c r="L232" s="132">
        <f t="shared" si="18"/>
        <v>0.64</v>
      </c>
      <c r="M232" s="132">
        <f t="shared" si="18"/>
        <v>0.64</v>
      </c>
      <c r="N232" s="132">
        <f t="shared" si="18"/>
        <v>0.64</v>
      </c>
      <c r="O232" s="132">
        <f t="shared" si="18"/>
        <v>0.64</v>
      </c>
      <c r="P232" s="132">
        <f t="shared" si="18"/>
        <v>0.64</v>
      </c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43">
        <v>0.66</v>
      </c>
      <c r="AH232" s="47"/>
      <c r="AI232" s="48"/>
    </row>
    <row r="233" spans="1:37" ht="15.75" thickBot="1" x14ac:dyDescent="0.3">
      <c r="A233" s="144" t="s">
        <v>73</v>
      </c>
      <c r="B233" s="136">
        <f t="shared" ref="B233:AG233" si="19">SUM(B227:B232)</f>
        <v>0</v>
      </c>
      <c r="C233" s="136">
        <f t="shared" si="19"/>
        <v>3.54</v>
      </c>
      <c r="D233" s="136">
        <f t="shared" si="19"/>
        <v>3.54</v>
      </c>
      <c r="E233" s="136">
        <f t="shared" si="19"/>
        <v>3.54</v>
      </c>
      <c r="F233" s="136">
        <f t="shared" si="19"/>
        <v>3.54</v>
      </c>
      <c r="G233" s="136">
        <f t="shared" si="19"/>
        <v>3.54</v>
      </c>
      <c r="H233" s="136">
        <f t="shared" si="19"/>
        <v>3.54</v>
      </c>
      <c r="I233" s="136">
        <f t="shared" ca="1" si="19"/>
        <v>121.23900000000009</v>
      </c>
      <c r="J233" s="136">
        <f t="shared" ca="1" si="19"/>
        <v>121.23900000000009</v>
      </c>
      <c r="K233" s="136">
        <f t="shared" ca="1" si="19"/>
        <v>121.23900000000009</v>
      </c>
      <c r="L233" s="136">
        <f t="shared" ca="1" si="19"/>
        <v>125.2590000000001</v>
      </c>
      <c r="M233" s="136">
        <f t="shared" ca="1" si="19"/>
        <v>117.21900000000008</v>
      </c>
      <c r="N233" s="136">
        <f t="shared" ca="1" si="19"/>
        <v>121.23900000000009</v>
      </c>
      <c r="O233" s="136">
        <f t="shared" ca="1" si="19"/>
        <v>117.21900000000008</v>
      </c>
      <c r="P233" s="136">
        <f t="shared" ca="1" si="19"/>
        <v>109.17900000000006</v>
      </c>
      <c r="Q233" s="136">
        <f t="shared" si="19"/>
        <v>0</v>
      </c>
      <c r="R233" s="136">
        <f t="shared" si="19"/>
        <v>0</v>
      </c>
      <c r="S233" s="136">
        <f t="shared" si="19"/>
        <v>0</v>
      </c>
      <c r="T233" s="136">
        <f t="shared" si="19"/>
        <v>0</v>
      </c>
      <c r="U233" s="136">
        <f t="shared" si="19"/>
        <v>0</v>
      </c>
      <c r="V233" s="136">
        <f t="shared" si="19"/>
        <v>0</v>
      </c>
      <c r="W233" s="136">
        <f t="shared" si="19"/>
        <v>0</v>
      </c>
      <c r="X233" s="136">
        <f t="shared" si="19"/>
        <v>0</v>
      </c>
      <c r="Y233" s="136">
        <f t="shared" si="19"/>
        <v>0</v>
      </c>
      <c r="Z233" s="136">
        <f t="shared" si="19"/>
        <v>0</v>
      </c>
      <c r="AA233" s="136">
        <f t="shared" si="19"/>
        <v>0</v>
      </c>
      <c r="AB233" s="136">
        <f t="shared" si="19"/>
        <v>0</v>
      </c>
      <c r="AC233" s="136">
        <f t="shared" si="19"/>
        <v>0</v>
      </c>
      <c r="AD233" s="136">
        <f t="shared" si="19"/>
        <v>0</v>
      </c>
      <c r="AE233" s="136">
        <f t="shared" si="19"/>
        <v>0</v>
      </c>
      <c r="AF233" s="136">
        <f t="shared" si="19"/>
        <v>0</v>
      </c>
      <c r="AG233" s="145">
        <f t="shared" si="19"/>
        <v>8.56</v>
      </c>
      <c r="AH233" s="47"/>
      <c r="AI233" s="48"/>
    </row>
    <row r="234" spans="1:37" ht="15.75" thickBot="1" x14ac:dyDescent="0.3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139"/>
      <c r="AH234" s="43"/>
    </row>
    <row r="235" spans="1:37" x14ac:dyDescent="0.25">
      <c r="A235" s="146" t="s">
        <v>239</v>
      </c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8"/>
      <c r="AG235" s="43"/>
      <c r="AH235" s="47"/>
      <c r="AI235" s="48"/>
    </row>
    <row r="236" spans="1:37" x14ac:dyDescent="0.25">
      <c r="A236" s="149" t="s">
        <v>240</v>
      </c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1"/>
      <c r="AG236" s="152"/>
      <c r="AH236" s="47"/>
      <c r="AI236" s="48"/>
    </row>
    <row r="237" spans="1:37" x14ac:dyDescent="0.25">
      <c r="A237" s="153" t="s">
        <v>241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x14ac:dyDescent="0.25">
      <c r="A238" s="153" t="s">
        <v>242</v>
      </c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5"/>
      <c r="AG238" s="152"/>
      <c r="AH238" s="47"/>
      <c r="AI238" s="48"/>
    </row>
    <row r="239" spans="1:37" ht="15.75" thickBot="1" x14ac:dyDescent="0.3">
      <c r="A239" s="156" t="s">
        <v>243</v>
      </c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8"/>
      <c r="AG239" s="152"/>
      <c r="AH239" s="47"/>
      <c r="AI239" s="48"/>
    </row>
    <row r="240" spans="1:37" x14ac:dyDescent="0.25"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A242" s="159" t="s">
        <v>244</v>
      </c>
      <c r="B242" s="160">
        <f>MAX(G89:N89)</f>
        <v>1323.74</v>
      </c>
      <c r="C242" s="161">
        <f>INDEX(G9:N9,1,MATCH(MAX(G89:N89),G89:N89,0))</f>
        <v>0.33333333333333331</v>
      </c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MID(CELL("filename",C7),FIND("]",CELL("filename",C7))+1,600)</f>
        <v>10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78" t="s">
        <v>245</v>
      </c>
      <c r="B244" s="178"/>
      <c r="C244" s="43"/>
      <c r="D244" s="162" t="str">
        <f ca="1">"Pie Chart of Daily Peak Demand(Inclusive of Export) of Nepal ("&amp;A4&amp;" "&amp;B4&amp;")"</f>
        <v>Pie Chart of Daily Peak Demand(Inclusive of Export) of Nepal (Nepali Date: 2080/02/10)</v>
      </c>
      <c r="E244" s="43"/>
      <c r="F244" s="43"/>
      <c r="G244" s="162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162" t="str">
        <f ca="1">"Daily Load Curve(Excluding of Export) of Nepal ("&amp;A4&amp;" "&amp;B4&amp;")"</f>
        <v>Daily Load Curve(Excluding of Export) of Nepal (Nepali Date: 2080/02/10)</v>
      </c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2.75" customHeight="1" thickBot="1" x14ac:dyDescent="0.3">
      <c r="A245" s="163" t="s">
        <v>7</v>
      </c>
      <c r="B245" s="164"/>
      <c r="C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ht="15.75" thickTop="1" x14ac:dyDescent="0.25">
      <c r="A246" s="163" t="s">
        <v>246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5" t="s">
        <v>247</v>
      </c>
      <c r="T246" s="166">
        <v>0</v>
      </c>
      <c r="U246" s="167">
        <v>4.1666666666666664E-2</v>
      </c>
      <c r="V246" s="168">
        <v>8.3333333333333301E-2</v>
      </c>
      <c r="W246" s="168">
        <v>0.125</v>
      </c>
      <c r="X246" s="168">
        <v>0.16666666666666699</v>
      </c>
      <c r="Y246" s="168">
        <v>0.20833333333333301</v>
      </c>
      <c r="Z246" s="168">
        <v>0.22916666666666666</v>
      </c>
      <c r="AA246" s="168">
        <v>0.25</v>
      </c>
      <c r="AB246" s="168">
        <v>0.27083333333333331</v>
      </c>
      <c r="AC246" s="168">
        <v>0.29166666666666669</v>
      </c>
      <c r="AD246" s="168">
        <v>0.3125</v>
      </c>
      <c r="AE246" s="169">
        <v>0.33333333333333331</v>
      </c>
      <c r="AF246" s="169">
        <v>0.375</v>
      </c>
      <c r="AG246" s="169">
        <v>0.41666666666666702</v>
      </c>
      <c r="AH246" s="169">
        <v>0.45833333333333298</v>
      </c>
      <c r="AI246" s="169">
        <v>0.5</v>
      </c>
      <c r="AJ246" s="169">
        <v>0.54166666666666696</v>
      </c>
      <c r="AK246" s="169">
        <v>0.58333333333333304</v>
      </c>
      <c r="AL246" s="169">
        <v>0.625</v>
      </c>
      <c r="AM246" s="169">
        <v>0.66666666666666696</v>
      </c>
      <c r="AN246" s="169">
        <v>0.70833333333333304</v>
      </c>
      <c r="AO246" s="169">
        <v>0.72916666666666663</v>
      </c>
      <c r="AP246" s="169">
        <v>0.75</v>
      </c>
      <c r="AQ246" s="169">
        <v>0.77083333333333337</v>
      </c>
      <c r="AR246" s="169">
        <v>0.79166666666666663</v>
      </c>
      <c r="AS246" s="169">
        <v>0.8125</v>
      </c>
      <c r="AT246" s="168">
        <v>0.83333333333333337</v>
      </c>
      <c r="AU246" s="168">
        <v>0.85416666666666663</v>
      </c>
      <c r="AV246" s="168">
        <v>0.875</v>
      </c>
      <c r="AW246" s="168">
        <v>0.91666666666666696</v>
      </c>
      <c r="AX246" s="168">
        <v>0.95833333333333304</v>
      </c>
    </row>
    <row r="247" spans="1:50" x14ac:dyDescent="0.25">
      <c r="A247" s="163" t="s">
        <v>248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 t="s">
        <v>249</v>
      </c>
      <c r="T247" s="170">
        <f t="shared" ref="T247:AX247" si="20">B89</f>
        <v>1266.94</v>
      </c>
      <c r="U247" s="170">
        <f t="shared" si="20"/>
        <v>1272.1400000000001</v>
      </c>
      <c r="V247" s="170">
        <f t="shared" si="20"/>
        <v>1190.44</v>
      </c>
      <c r="W247" s="170">
        <f t="shared" si="20"/>
        <v>1152.24</v>
      </c>
      <c r="X247" s="170">
        <f t="shared" si="20"/>
        <v>1185.24</v>
      </c>
      <c r="Y247" s="170">
        <f t="shared" si="20"/>
        <v>1195.3399999999999</v>
      </c>
      <c r="Z247" s="170">
        <f t="shared" si="20"/>
        <v>1211.3399999999999</v>
      </c>
      <c r="AA247" s="170">
        <f t="shared" si="20"/>
        <v>1262.94</v>
      </c>
      <c r="AB247" s="170">
        <f t="shared" si="20"/>
        <v>1266.74</v>
      </c>
      <c r="AC247" s="170">
        <f t="shared" si="20"/>
        <v>1289.24</v>
      </c>
      <c r="AD247" s="170">
        <f t="shared" si="20"/>
        <v>1308.24</v>
      </c>
      <c r="AE247" s="170">
        <f t="shared" si="20"/>
        <v>1323.74</v>
      </c>
      <c r="AF247" s="170">
        <f t="shared" si="20"/>
        <v>1300.24</v>
      </c>
      <c r="AG247" s="170">
        <f t="shared" si="20"/>
        <v>1373.3400000000001</v>
      </c>
      <c r="AH247" s="170">
        <f t="shared" si="20"/>
        <v>1359.2399999999998</v>
      </c>
      <c r="AI247" s="170">
        <f t="shared" si="20"/>
        <v>1360.24</v>
      </c>
      <c r="AJ247" s="170">
        <f t="shared" si="20"/>
        <v>1394.34</v>
      </c>
      <c r="AK247" s="170">
        <f t="shared" si="20"/>
        <v>1428.9399999999998</v>
      </c>
      <c r="AL247" s="170">
        <f t="shared" si="20"/>
        <v>1503.2399999999998</v>
      </c>
      <c r="AM247" s="170">
        <f t="shared" si="20"/>
        <v>1512.9399999999998</v>
      </c>
      <c r="AN247" s="170">
        <f t="shared" si="20"/>
        <v>1564.04</v>
      </c>
      <c r="AO247" s="170">
        <f t="shared" si="20"/>
        <v>1433.24</v>
      </c>
      <c r="AP247" s="170">
        <f t="shared" si="20"/>
        <v>1420.44</v>
      </c>
      <c r="AQ247" s="170">
        <f t="shared" si="20"/>
        <v>1380.94</v>
      </c>
      <c r="AR247" s="170">
        <f t="shared" si="20"/>
        <v>1535.1399999999999</v>
      </c>
      <c r="AS247" s="170">
        <f t="shared" si="20"/>
        <v>1691.6399999999999</v>
      </c>
      <c r="AT247" s="170">
        <f t="shared" si="20"/>
        <v>1673.4399999999998</v>
      </c>
      <c r="AU247" s="170">
        <f t="shared" si="20"/>
        <v>1868.04</v>
      </c>
      <c r="AV247" s="170">
        <f t="shared" si="20"/>
        <v>1570.44</v>
      </c>
      <c r="AW247" s="170">
        <f t="shared" si="20"/>
        <v>1531.44</v>
      </c>
      <c r="AX247" s="170">
        <f t="shared" si="20"/>
        <v>1500.54</v>
      </c>
    </row>
    <row r="248" spans="1:50" x14ac:dyDescent="0.25">
      <c r="A248" s="163" t="s">
        <v>250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252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253</v>
      </c>
      <c r="B251" s="171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254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A268" s="172" t="s">
        <v>239</v>
      </c>
      <c r="B268" s="173">
        <f t="shared" ref="B268:AE268" si="21">C232</f>
        <v>0.64</v>
      </c>
      <c r="C268" s="173">
        <f t="shared" si="21"/>
        <v>0.64</v>
      </c>
      <c r="D268" s="173">
        <f t="shared" si="21"/>
        <v>0.64</v>
      </c>
      <c r="E268" s="173">
        <f t="shared" si="21"/>
        <v>0.64</v>
      </c>
      <c r="F268" s="173">
        <f t="shared" si="21"/>
        <v>0.64</v>
      </c>
      <c r="G268" s="173">
        <f t="shared" si="21"/>
        <v>0.64</v>
      </c>
      <c r="H268" s="173">
        <f t="shared" si="21"/>
        <v>0.64</v>
      </c>
      <c r="I268" s="173">
        <f t="shared" si="21"/>
        <v>0.64</v>
      </c>
      <c r="J268" s="173">
        <f t="shared" si="21"/>
        <v>0.64</v>
      </c>
      <c r="K268" s="173">
        <f t="shared" si="21"/>
        <v>0.64</v>
      </c>
      <c r="L268" s="173">
        <f t="shared" si="21"/>
        <v>0.64</v>
      </c>
      <c r="M268" s="173">
        <f t="shared" si="21"/>
        <v>0.64</v>
      </c>
      <c r="N268" s="173">
        <f t="shared" si="21"/>
        <v>0.64</v>
      </c>
      <c r="O268" s="173">
        <f t="shared" si="21"/>
        <v>0.64</v>
      </c>
      <c r="P268" s="173">
        <f t="shared" si="21"/>
        <v>0</v>
      </c>
      <c r="Q268" s="173">
        <f t="shared" si="21"/>
        <v>0</v>
      </c>
      <c r="R268" s="173">
        <f t="shared" si="21"/>
        <v>0</v>
      </c>
      <c r="S268" s="173">
        <f t="shared" si="21"/>
        <v>0</v>
      </c>
      <c r="T268" s="173">
        <f t="shared" si="21"/>
        <v>0</v>
      </c>
      <c r="U268" s="173">
        <f t="shared" si="21"/>
        <v>0</v>
      </c>
      <c r="V268" s="173">
        <f t="shared" si="21"/>
        <v>0</v>
      </c>
      <c r="W268" s="173">
        <f t="shared" si="21"/>
        <v>0</v>
      </c>
      <c r="X268" s="173">
        <f t="shared" si="21"/>
        <v>0</v>
      </c>
      <c r="Y268" s="173">
        <f t="shared" si="21"/>
        <v>0</v>
      </c>
      <c r="Z268" s="173">
        <f t="shared" si="21"/>
        <v>0</v>
      </c>
      <c r="AA268" s="173">
        <f t="shared" si="21"/>
        <v>0</v>
      </c>
      <c r="AB268" s="173">
        <f t="shared" si="21"/>
        <v>0</v>
      </c>
      <c r="AC268" s="173">
        <f t="shared" si="21"/>
        <v>0</v>
      </c>
      <c r="AD268" s="173">
        <f t="shared" si="21"/>
        <v>0</v>
      </c>
      <c r="AE268" s="173">
        <f t="shared" si="21"/>
        <v>0</v>
      </c>
      <c r="AF268" s="173">
        <f>B232</f>
        <v>0</v>
      </c>
      <c r="AG268" s="43"/>
      <c r="AH268" s="43"/>
    </row>
    <row r="269" spans="1:34" x14ac:dyDescent="0.25">
      <c r="A269" s="174" t="str">
        <f>A236</f>
        <v>KGA</v>
      </c>
      <c r="B269" s="174" t="str">
        <f t="shared" ref="B269:AF269" si="22">IF(B236&lt;100,"",B236-520)</f>
        <v/>
      </c>
      <c r="C269" s="174" t="str">
        <f t="shared" si="22"/>
        <v/>
      </c>
      <c r="D269" s="174" t="str">
        <f t="shared" si="22"/>
        <v/>
      </c>
      <c r="E269" s="174" t="str">
        <f t="shared" si="22"/>
        <v/>
      </c>
      <c r="F269" s="174" t="str">
        <f t="shared" si="22"/>
        <v/>
      </c>
      <c r="G269" s="174" t="str">
        <f t="shared" si="22"/>
        <v/>
      </c>
      <c r="H269" s="174" t="str">
        <f t="shared" si="22"/>
        <v/>
      </c>
      <c r="I269" s="174" t="str">
        <f t="shared" si="22"/>
        <v/>
      </c>
      <c r="J269" s="174" t="str">
        <f t="shared" si="22"/>
        <v/>
      </c>
      <c r="K269" s="174" t="str">
        <f t="shared" si="22"/>
        <v/>
      </c>
      <c r="L269" s="174" t="str">
        <f t="shared" si="22"/>
        <v/>
      </c>
      <c r="M269" s="174" t="str">
        <f t="shared" si="22"/>
        <v/>
      </c>
      <c r="N269" s="174" t="str">
        <f t="shared" si="22"/>
        <v/>
      </c>
      <c r="O269" s="174" t="str">
        <f t="shared" si="22"/>
        <v/>
      </c>
      <c r="P269" s="174" t="str">
        <f t="shared" si="22"/>
        <v/>
      </c>
      <c r="Q269" s="174" t="str">
        <f t="shared" si="22"/>
        <v/>
      </c>
      <c r="R269" s="174" t="str">
        <f t="shared" si="22"/>
        <v/>
      </c>
      <c r="S269" s="174" t="str">
        <f t="shared" si="22"/>
        <v/>
      </c>
      <c r="T269" s="174" t="str">
        <f t="shared" si="22"/>
        <v/>
      </c>
      <c r="U269" s="174" t="str">
        <f t="shared" si="22"/>
        <v/>
      </c>
      <c r="V269" s="174" t="str">
        <f t="shared" si="22"/>
        <v/>
      </c>
      <c r="W269" s="174" t="str">
        <f t="shared" si="22"/>
        <v/>
      </c>
      <c r="X269" s="174" t="str">
        <f t="shared" si="22"/>
        <v/>
      </c>
      <c r="Y269" s="174" t="str">
        <f t="shared" si="22"/>
        <v/>
      </c>
      <c r="Z269" s="174" t="str">
        <f t="shared" si="22"/>
        <v/>
      </c>
      <c r="AA269" s="174" t="str">
        <f t="shared" si="22"/>
        <v/>
      </c>
      <c r="AB269" s="174" t="str">
        <f t="shared" si="22"/>
        <v/>
      </c>
      <c r="AC269" s="174" t="str">
        <f t="shared" si="22"/>
        <v/>
      </c>
      <c r="AD269" s="174" t="str">
        <f t="shared" si="22"/>
        <v/>
      </c>
      <c r="AE269" s="174" t="str">
        <f t="shared" si="22"/>
        <v/>
      </c>
      <c r="AF269" s="174" t="str">
        <f t="shared" si="22"/>
        <v/>
      </c>
      <c r="AG269" s="43"/>
      <c r="AH269" s="43"/>
    </row>
    <row r="270" spans="1:34" x14ac:dyDescent="0.25">
      <c r="A270" s="174" t="str">
        <f>A237</f>
        <v>MMRS</v>
      </c>
      <c r="B270" s="174" t="str">
        <f t="shared" ref="B270:AF270" si="23">IF(B237&lt;100,"",B237-620)</f>
        <v/>
      </c>
      <c r="C270" s="174" t="str">
        <f t="shared" si="23"/>
        <v/>
      </c>
      <c r="D270" s="174" t="str">
        <f t="shared" si="23"/>
        <v/>
      </c>
      <c r="E270" s="174" t="str">
        <f t="shared" si="23"/>
        <v/>
      </c>
      <c r="F270" s="174" t="str">
        <f t="shared" si="23"/>
        <v/>
      </c>
      <c r="G270" s="174" t="str">
        <f t="shared" si="23"/>
        <v/>
      </c>
      <c r="H270" s="174" t="str">
        <f t="shared" si="23"/>
        <v/>
      </c>
      <c r="I270" s="174" t="str">
        <f t="shared" si="23"/>
        <v/>
      </c>
      <c r="J270" s="174" t="str">
        <f t="shared" si="23"/>
        <v/>
      </c>
      <c r="K270" s="174" t="str">
        <f t="shared" si="23"/>
        <v/>
      </c>
      <c r="L270" s="174" t="str">
        <f t="shared" si="23"/>
        <v/>
      </c>
      <c r="M270" s="174" t="str">
        <f t="shared" si="23"/>
        <v/>
      </c>
      <c r="N270" s="174" t="str">
        <f t="shared" si="23"/>
        <v/>
      </c>
      <c r="O270" s="174" t="str">
        <f t="shared" si="23"/>
        <v/>
      </c>
      <c r="P270" s="174" t="str">
        <f t="shared" si="23"/>
        <v/>
      </c>
      <c r="Q270" s="174" t="str">
        <f t="shared" si="23"/>
        <v/>
      </c>
      <c r="R270" s="174" t="str">
        <f t="shared" si="23"/>
        <v/>
      </c>
      <c r="S270" s="174" t="str">
        <f t="shared" si="23"/>
        <v/>
      </c>
      <c r="T270" s="174" t="str">
        <f t="shared" si="23"/>
        <v/>
      </c>
      <c r="U270" s="174" t="str">
        <f t="shared" si="23"/>
        <v/>
      </c>
      <c r="V270" s="174" t="str">
        <f t="shared" si="23"/>
        <v/>
      </c>
      <c r="W270" s="174" t="str">
        <f t="shared" si="23"/>
        <v/>
      </c>
      <c r="X270" s="174" t="str">
        <f t="shared" si="23"/>
        <v/>
      </c>
      <c r="Y270" s="174" t="str">
        <f t="shared" si="23"/>
        <v/>
      </c>
      <c r="Z270" s="174" t="str">
        <f t="shared" si="23"/>
        <v/>
      </c>
      <c r="AA270" s="174" t="str">
        <f t="shared" si="23"/>
        <v/>
      </c>
      <c r="AB270" s="174" t="str">
        <f t="shared" si="23"/>
        <v/>
      </c>
      <c r="AC270" s="174" t="str">
        <f t="shared" si="23"/>
        <v/>
      </c>
      <c r="AD270" s="174" t="str">
        <f t="shared" si="23"/>
        <v/>
      </c>
      <c r="AE270" s="174" t="str">
        <f t="shared" si="23"/>
        <v/>
      </c>
      <c r="AF270" s="174" t="str">
        <f t="shared" si="23"/>
        <v/>
      </c>
      <c r="AG270" s="43"/>
      <c r="AH270" s="43"/>
    </row>
    <row r="271" spans="1:34" x14ac:dyDescent="0.25">
      <c r="A271" s="174" t="str">
        <f>A238</f>
        <v>MRS</v>
      </c>
      <c r="B271" s="174" t="str">
        <f t="shared" ref="B271:AF271" si="24">IF(B238&lt;100,"",B238-330)</f>
        <v/>
      </c>
      <c r="C271" s="174" t="str">
        <f t="shared" si="24"/>
        <v/>
      </c>
      <c r="D271" s="174" t="str">
        <f t="shared" si="24"/>
        <v/>
      </c>
      <c r="E271" s="174" t="str">
        <f t="shared" si="24"/>
        <v/>
      </c>
      <c r="F271" s="174" t="str">
        <f t="shared" si="24"/>
        <v/>
      </c>
      <c r="G271" s="174" t="str">
        <f t="shared" si="24"/>
        <v/>
      </c>
      <c r="H271" s="174" t="str">
        <f t="shared" si="24"/>
        <v/>
      </c>
      <c r="I271" s="174" t="str">
        <f t="shared" si="24"/>
        <v/>
      </c>
      <c r="J271" s="174" t="str">
        <f t="shared" si="24"/>
        <v/>
      </c>
      <c r="K271" s="174" t="str">
        <f t="shared" si="24"/>
        <v/>
      </c>
      <c r="L271" s="174" t="str">
        <f t="shared" si="24"/>
        <v/>
      </c>
      <c r="M271" s="174" t="str">
        <f t="shared" si="24"/>
        <v/>
      </c>
      <c r="N271" s="174" t="str">
        <f t="shared" si="24"/>
        <v/>
      </c>
      <c r="O271" s="174" t="str">
        <f t="shared" si="24"/>
        <v/>
      </c>
      <c r="P271" s="174" t="str">
        <f t="shared" si="24"/>
        <v/>
      </c>
      <c r="Q271" s="174" t="str">
        <f t="shared" si="24"/>
        <v/>
      </c>
      <c r="R271" s="174" t="str">
        <f t="shared" si="24"/>
        <v/>
      </c>
      <c r="S271" s="174" t="str">
        <f t="shared" si="24"/>
        <v/>
      </c>
      <c r="T271" s="174" t="str">
        <f t="shared" si="24"/>
        <v/>
      </c>
      <c r="U271" s="174" t="str">
        <f t="shared" si="24"/>
        <v/>
      </c>
      <c r="V271" s="174" t="str">
        <f t="shared" si="24"/>
        <v/>
      </c>
      <c r="W271" s="174" t="str">
        <f t="shared" si="24"/>
        <v/>
      </c>
      <c r="X271" s="174" t="str">
        <f t="shared" si="24"/>
        <v/>
      </c>
      <c r="Y271" s="174" t="str">
        <f t="shared" si="24"/>
        <v/>
      </c>
      <c r="Z271" s="174" t="str">
        <f t="shared" si="24"/>
        <v/>
      </c>
      <c r="AA271" s="174" t="str">
        <f t="shared" si="24"/>
        <v/>
      </c>
      <c r="AB271" s="174" t="str">
        <f t="shared" si="24"/>
        <v/>
      </c>
      <c r="AC271" s="174" t="str">
        <f t="shared" si="24"/>
        <v/>
      </c>
      <c r="AD271" s="174" t="str">
        <f t="shared" si="24"/>
        <v/>
      </c>
      <c r="AE271" s="174" t="str">
        <f t="shared" si="24"/>
        <v/>
      </c>
      <c r="AF271" s="174" t="str">
        <f t="shared" si="24"/>
        <v/>
      </c>
      <c r="AG271" s="43"/>
      <c r="AH271" s="43"/>
    </row>
    <row r="272" spans="1:34" x14ac:dyDescent="0.25">
      <c r="A272" s="174" t="str">
        <f>A239</f>
        <v>KL 1</v>
      </c>
      <c r="B272" s="174" t="str">
        <f t="shared" ref="B272:AF272" si="25">IF(B239&lt;100,"",B239-1500)</f>
        <v/>
      </c>
      <c r="C272" s="174" t="str">
        <f t="shared" si="25"/>
        <v/>
      </c>
      <c r="D272" s="174" t="str">
        <f t="shared" si="25"/>
        <v/>
      </c>
      <c r="E272" s="174" t="str">
        <f t="shared" si="25"/>
        <v/>
      </c>
      <c r="F272" s="174" t="str">
        <f t="shared" si="25"/>
        <v/>
      </c>
      <c r="G272" s="174" t="str">
        <f t="shared" si="25"/>
        <v/>
      </c>
      <c r="H272" s="174" t="str">
        <f t="shared" si="25"/>
        <v/>
      </c>
      <c r="I272" s="174" t="str">
        <f t="shared" si="25"/>
        <v/>
      </c>
      <c r="J272" s="174" t="str">
        <f t="shared" si="25"/>
        <v/>
      </c>
      <c r="K272" s="174" t="str">
        <f t="shared" si="25"/>
        <v/>
      </c>
      <c r="L272" s="174" t="str">
        <f t="shared" si="25"/>
        <v/>
      </c>
      <c r="M272" s="174" t="str">
        <f t="shared" si="25"/>
        <v/>
      </c>
      <c r="N272" s="174" t="str">
        <f t="shared" si="25"/>
        <v/>
      </c>
      <c r="O272" s="174" t="str">
        <f t="shared" si="25"/>
        <v/>
      </c>
      <c r="P272" s="174" t="str">
        <f t="shared" si="25"/>
        <v/>
      </c>
      <c r="Q272" s="174" t="str">
        <f t="shared" si="25"/>
        <v/>
      </c>
      <c r="R272" s="174" t="str">
        <f t="shared" si="25"/>
        <v/>
      </c>
      <c r="S272" s="174" t="str">
        <f t="shared" si="25"/>
        <v/>
      </c>
      <c r="T272" s="174" t="str">
        <f t="shared" si="25"/>
        <v/>
      </c>
      <c r="U272" s="174" t="str">
        <f t="shared" si="25"/>
        <v/>
      </c>
      <c r="V272" s="174" t="str">
        <f t="shared" si="25"/>
        <v/>
      </c>
      <c r="W272" s="174" t="str">
        <f t="shared" si="25"/>
        <v/>
      </c>
      <c r="X272" s="174" t="str">
        <f t="shared" si="25"/>
        <v/>
      </c>
      <c r="Y272" s="174" t="str">
        <f t="shared" si="25"/>
        <v/>
      </c>
      <c r="Z272" s="174" t="str">
        <f t="shared" si="25"/>
        <v/>
      </c>
      <c r="AA272" s="174" t="str">
        <f t="shared" si="25"/>
        <v/>
      </c>
      <c r="AB272" s="174" t="str">
        <f t="shared" si="25"/>
        <v/>
      </c>
      <c r="AC272" s="174" t="str">
        <f t="shared" si="25"/>
        <v/>
      </c>
      <c r="AD272" s="174" t="str">
        <f t="shared" si="25"/>
        <v/>
      </c>
      <c r="AE272" s="174" t="str">
        <f t="shared" si="25"/>
        <v/>
      </c>
      <c r="AF272" s="174" t="str">
        <f t="shared" si="25"/>
        <v/>
      </c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4:B244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5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D227:AF228 B227:B233 B225:AF225 U246:AF246 B9:AF10 D230:AF233 D229:H229 J229:AF229 D109:AF109 D111:AC116 I117:AC117 AD111:AF117">
    <cfRule type="expression" dxfId="10271" priority="352">
      <formula>B$9&gt;=20/24</formula>
    </cfRule>
    <cfRule type="expression" dxfId="10270" priority="353">
      <formula>AND(B$9&gt;=14/24,B$9&lt;20/24)</formula>
    </cfRule>
    <cfRule type="expression" dxfId="10269" priority="354">
      <formula>AND(B$9&gt;=8/24,B$9&lt;14/24)</formula>
    </cfRule>
    <cfRule type="expression" dxfId="10268" priority="355">
      <formula>B$9&lt;8/24</formula>
    </cfRule>
  </conditionalFormatting>
  <conditionalFormatting sqref="AL4:AL6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0267" priority="350">
      <formula>AG65&gt;$AG65</formula>
    </cfRule>
  </conditionalFormatting>
  <conditionalFormatting sqref="A99:A109 A59:A86 A95:A97 A203:A233 A46:A57 A119:A190 A41:A42 A91:A93 A88:A89 A111:A113 A38:A39 A19:A20 A12:A15 A22:A32 A17 A34:A36">
    <cfRule type="expression" dxfId="10266" priority="349">
      <formula>$AH12=0</formula>
    </cfRule>
  </conditionalFormatting>
  <conditionalFormatting sqref="A114">
    <cfRule type="expression" dxfId="10265" priority="348">
      <formula>$AH114=0</formula>
    </cfRule>
  </conditionalFormatting>
  <conditionalFormatting sqref="AL42">
    <cfRule type="iconSet" priority="347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0264" priority="346">
      <formula>$AH45=0</formula>
    </cfRule>
  </conditionalFormatting>
  <conditionalFormatting sqref="A98">
    <cfRule type="expression" dxfId="10263" priority="345">
      <formula>$AH98=0</formula>
    </cfRule>
  </conditionalFormatting>
  <conditionalFormatting sqref="A18">
    <cfRule type="expression" dxfId="10262" priority="344">
      <formula>$AH18=0</formula>
    </cfRule>
  </conditionalFormatting>
  <conditionalFormatting sqref="A197:A202">
    <cfRule type="expression" dxfId="10261" priority="343">
      <formula>$AH197=0</formula>
    </cfRule>
  </conditionalFormatting>
  <conditionalFormatting sqref="A191:A196">
    <cfRule type="expression" dxfId="10260" priority="342">
      <formula>$AH191=0</formula>
    </cfRule>
  </conditionalFormatting>
  <conditionalFormatting sqref="A58">
    <cfRule type="expression" dxfId="10259" priority="341">
      <formula>$AH58=0</formula>
    </cfRule>
  </conditionalFormatting>
  <conditionalFormatting sqref="A94">
    <cfRule type="expression" dxfId="10258" priority="340">
      <formula>$AH94=0</formula>
    </cfRule>
  </conditionalFormatting>
  <conditionalFormatting sqref="AD99:AF99 E99:X99">
    <cfRule type="expression" dxfId="10257" priority="336">
      <formula>E$9&gt;=20/24</formula>
    </cfRule>
    <cfRule type="expression" dxfId="10256" priority="337">
      <formula>AND(E$9&gt;=14/24,E$9&lt;20/24)</formula>
    </cfRule>
    <cfRule type="expression" dxfId="10255" priority="338">
      <formula>AND(E$9&gt;=8/24,E$9&lt;14/24)</formula>
    </cfRule>
    <cfRule type="expression" dxfId="10254" priority="339">
      <formula>E$9&lt;8/24</formula>
    </cfRule>
  </conditionalFormatting>
  <conditionalFormatting sqref="AL43">
    <cfRule type="iconSet" priority="33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253" priority="358">
      <formula>C$9&gt;=20/24</formula>
    </cfRule>
    <cfRule type="expression" dxfId="10252" priority="359">
      <formula>AND(C$9&gt;=14/24,C$9&lt;20/24)</formula>
    </cfRule>
    <cfRule type="expression" dxfId="10251" priority="360">
      <formula>AND(C$9&gt;=8/24,C$9&lt;14/24)</formula>
    </cfRule>
    <cfRule type="expression" dxfId="10250" priority="361">
      <formula>C$9&lt;8/24</formula>
    </cfRule>
  </conditionalFormatting>
  <conditionalFormatting sqref="A234">
    <cfRule type="expression" dxfId="10249" priority="362">
      <formula>$AH234=0</formula>
    </cfRule>
  </conditionalFormatting>
  <conditionalFormatting sqref="AG246">
    <cfRule type="expression" dxfId="10248" priority="363">
      <formula>B$9&gt;=20/24</formula>
    </cfRule>
    <cfRule type="expression" dxfId="10247" priority="364">
      <formula>AND(B$9&gt;=14/24,B$9&lt;20/24)</formula>
    </cfRule>
    <cfRule type="expression" dxfId="10246" priority="365">
      <formula>AND(B$9&gt;=8/24,B$9&lt;14/24)</formula>
    </cfRule>
    <cfRule type="expression" dxfId="10245" priority="366">
      <formula>B$9&lt;8/24</formula>
    </cfRule>
  </conditionalFormatting>
  <conditionalFormatting sqref="S8">
    <cfRule type="expression" dxfId="10244" priority="331">
      <formula>U$9&gt;=20/24</formula>
    </cfRule>
    <cfRule type="expression" dxfId="10243" priority="332">
      <formula>AND(U$9&gt;=14/24,U$9&lt;20/24)</formula>
    </cfRule>
    <cfRule type="expression" dxfId="10242" priority="333">
      <formula>AND(U$9&gt;=8/24,U$9&lt;14/24)</formula>
    </cfRule>
    <cfRule type="expression" dxfId="10241" priority="334">
      <formula>U$9&lt;8/24</formula>
    </cfRule>
  </conditionalFormatting>
  <conditionalFormatting sqref="AB8">
    <cfRule type="expression" dxfId="10240" priority="327">
      <formula>AD$9&gt;=20/24</formula>
    </cfRule>
    <cfRule type="expression" dxfId="10239" priority="328">
      <formula>AND(AD$9&gt;=14/24,AD$9&lt;20/24)</formula>
    </cfRule>
    <cfRule type="expression" dxfId="10238" priority="329">
      <formula>AND(AD$9&gt;=8/24,AD$9&lt;14/24)</formula>
    </cfRule>
    <cfRule type="expression" dxfId="10237" priority="330">
      <formula>AD$9&lt;8/24</formula>
    </cfRule>
  </conditionalFormatting>
  <conditionalFormatting sqref="AH246:AX246">
    <cfRule type="expression" dxfId="10236" priority="367">
      <formula>AG$9&gt;=20/24</formula>
    </cfRule>
    <cfRule type="expression" dxfId="10235" priority="368">
      <formula>AND(AG$9&gt;=14/24,AG$9&lt;20/24)</formula>
    </cfRule>
    <cfRule type="expression" dxfId="10234" priority="369">
      <formula>AND(AG$9&gt;=8/24,AG$9&lt;14/24)</formula>
    </cfRule>
    <cfRule type="expression" dxfId="10233" priority="370">
      <formula>AG$9&lt;8/24</formula>
    </cfRule>
  </conditionalFormatting>
  <conditionalFormatting sqref="T246">
    <cfRule type="expression" dxfId="10232" priority="371">
      <formula>AX$9&gt;=20/24</formula>
    </cfRule>
    <cfRule type="expression" dxfId="10231" priority="372">
      <formula>AND(AX$9&gt;=14/24,AX$9&lt;20/24)</formula>
    </cfRule>
    <cfRule type="expression" dxfId="10230" priority="373">
      <formula>AND(AX$9&gt;=8/24,AX$9&lt;14/24)</formula>
    </cfRule>
    <cfRule type="expression" dxfId="10229" priority="374">
      <formula>AX$9&lt;8/24</formula>
    </cfRule>
  </conditionalFormatting>
  <conditionalFormatting sqref="A115:A116">
    <cfRule type="expression" dxfId="10228" priority="326">
      <formula>$AH115=0</formula>
    </cfRule>
  </conditionalFormatting>
  <conditionalFormatting sqref="AC54:AF57 N54:R58 E71:AF71 S54:T56 S58:Z58">
    <cfRule type="expression" dxfId="10227" priority="322">
      <formula>E$9&gt;=20/24</formula>
    </cfRule>
    <cfRule type="expression" dxfId="10226" priority="323">
      <formula>AND(E$9&gt;=14/24,E$9&lt;20/24)</formula>
    </cfRule>
    <cfRule type="expression" dxfId="10225" priority="324">
      <formula>AND(E$9&gt;=8/24,E$9&lt;14/24)</formula>
    </cfRule>
    <cfRule type="expression" dxfId="10224" priority="325">
      <formula>E$9&lt;8/24</formula>
    </cfRule>
  </conditionalFormatting>
  <conditionalFormatting sqref="AC53:AF53 N53:T53">
    <cfRule type="expression" dxfId="10223" priority="318">
      <formula>N$9&gt;=20/24</formula>
    </cfRule>
    <cfRule type="expression" dxfId="10222" priority="319">
      <formula>AND(N$9&gt;=14/24,N$9&lt;20/24)</formula>
    </cfRule>
    <cfRule type="expression" dxfId="10221" priority="320">
      <formula>AND(N$9&gt;=8/24,N$9&lt;14/24)</formula>
    </cfRule>
    <cfRule type="expression" dxfId="10220" priority="321">
      <formula>N$9&lt;8/24</formula>
    </cfRule>
  </conditionalFormatting>
  <conditionalFormatting sqref="AC53:AF57 N53:R58 S53:T56 S58:Z58">
    <cfRule type="expression" dxfId="10219" priority="317">
      <formula>N53&gt;$AG53</formula>
    </cfRule>
  </conditionalFormatting>
  <conditionalFormatting sqref="D86:AF86 M100:X106 X96:AF96 AD100:AE100 X47:AF47 E72:X73 AE101:AE106 X67:AF69 Y72:AF74 AF100:AF106">
    <cfRule type="expression" dxfId="10218" priority="313">
      <formula>D$9&gt;=20/24</formula>
    </cfRule>
    <cfRule type="expression" dxfId="10217" priority="314">
      <formula>AND(D$9&gt;=14/24,D$9&lt;20/24)</formula>
    </cfRule>
    <cfRule type="expression" dxfId="10216" priority="315">
      <formula>AND(D$9&gt;=8/24,D$9&lt;14/24)</formula>
    </cfRule>
    <cfRule type="expression" dxfId="10215" priority="316">
      <formula>D$9&lt;8/24</formula>
    </cfRule>
  </conditionalFormatting>
  <conditionalFormatting sqref="X47:AF47 X67:AF69">
    <cfRule type="expression" dxfId="10214" priority="312">
      <formula>X47&gt;$AG47</formula>
    </cfRule>
  </conditionalFormatting>
  <conditionalFormatting sqref="U53:U56 S57:U57 V53:Z57 AA53:AB58">
    <cfRule type="expression" dxfId="10213" priority="308">
      <formula>S$9&gt;=20/24</formula>
    </cfRule>
    <cfRule type="expression" dxfId="10212" priority="309">
      <formula>AND(S$9&gt;=14/24,S$9&lt;20/24)</formula>
    </cfRule>
    <cfRule type="expression" dxfId="10211" priority="310">
      <formula>AND(S$9&gt;=8/24,S$9&lt;14/24)</formula>
    </cfRule>
    <cfRule type="expression" dxfId="10210" priority="311">
      <formula>S$9&lt;8/24</formula>
    </cfRule>
  </conditionalFormatting>
  <conditionalFormatting sqref="U53:U56 S57:U57 V53:Z57 AA53:AB58">
    <cfRule type="expression" dxfId="10209" priority="307">
      <formula>S53&gt;$AG53</formula>
    </cfRule>
  </conditionalFormatting>
  <conditionalFormatting sqref="C97:AF97 D88:AF88">
    <cfRule type="expression" dxfId="10208" priority="303">
      <formula>C$9&gt;=20/24</formula>
    </cfRule>
    <cfRule type="expression" dxfId="10207" priority="304">
      <formula>AND(C$9&gt;=14/24,C$9&lt;20/24)</formula>
    </cfRule>
    <cfRule type="expression" dxfId="10206" priority="305">
      <formula>AND(C$9&gt;=8/24,C$9&lt;14/24)</formula>
    </cfRule>
    <cfRule type="expression" dxfId="10205" priority="306">
      <formula>C$9&lt;8/24</formula>
    </cfRule>
  </conditionalFormatting>
  <conditionalFormatting sqref="T47:W47">
    <cfRule type="expression" dxfId="10204" priority="299">
      <formula>T$9&gt;=20/24</formula>
    </cfRule>
    <cfRule type="expression" dxfId="10203" priority="300">
      <formula>AND(T$9&gt;=14/24,T$9&lt;20/24)</formula>
    </cfRule>
    <cfRule type="expression" dxfId="10202" priority="301">
      <formula>AND(T$9&gt;=8/24,T$9&lt;14/24)</formula>
    </cfRule>
    <cfRule type="expression" dxfId="10201" priority="302">
      <formula>T$9&lt;8/24</formula>
    </cfRule>
  </conditionalFormatting>
  <conditionalFormatting sqref="T47:W47">
    <cfRule type="expression" dxfId="10200" priority="298">
      <formula>T47&gt;$AG47</formula>
    </cfRule>
  </conditionalFormatting>
  <conditionalFormatting sqref="E54:M55">
    <cfRule type="expression" dxfId="10199" priority="294">
      <formula>E$9&gt;=20/24</formula>
    </cfRule>
    <cfRule type="expression" dxfId="10198" priority="295">
      <formula>AND(E$9&gt;=14/24,E$9&lt;20/24)</formula>
    </cfRule>
    <cfRule type="expression" dxfId="10197" priority="296">
      <formula>AND(E$9&gt;=8/24,E$9&lt;14/24)</formula>
    </cfRule>
    <cfRule type="expression" dxfId="10196" priority="297">
      <formula>E$9&lt;8/24</formula>
    </cfRule>
  </conditionalFormatting>
  <conditionalFormatting sqref="E53:M53">
    <cfRule type="expression" dxfId="10195" priority="290">
      <formula>E$9&gt;=20/24</formula>
    </cfRule>
    <cfRule type="expression" dxfId="10194" priority="291">
      <formula>AND(E$9&gt;=14/24,E$9&lt;20/24)</formula>
    </cfRule>
    <cfRule type="expression" dxfId="10193" priority="292">
      <formula>AND(E$9&gt;=8/24,E$9&lt;14/24)</formula>
    </cfRule>
    <cfRule type="expression" dxfId="10192" priority="293">
      <formula>E$9&lt;8/24</formula>
    </cfRule>
  </conditionalFormatting>
  <conditionalFormatting sqref="E53:M55">
    <cfRule type="expression" dxfId="10191" priority="289">
      <formula>E53&gt;$AG53</formula>
    </cfRule>
  </conditionalFormatting>
  <conditionalFormatting sqref="AG70 AG87 E100:L106 Q67:W69">
    <cfRule type="expression" dxfId="10190" priority="285">
      <formula>E$9&gt;=20/24</formula>
    </cfRule>
    <cfRule type="expression" dxfId="10189" priority="286">
      <formula>AND(E$9&gt;=14/24,E$9&lt;20/24)</formula>
    </cfRule>
    <cfRule type="expression" dxfId="10188" priority="287">
      <formula>AND(E$9&gt;=8/24,E$9&lt;14/24)</formula>
    </cfRule>
    <cfRule type="expression" dxfId="10187" priority="288">
      <formula>E$9&lt;8/24</formula>
    </cfRule>
  </conditionalFormatting>
  <conditionalFormatting sqref="AG48 AG66 AG70 Q67:W69">
    <cfRule type="expression" dxfId="10186" priority="284">
      <formula>Q48&gt;$AG48</formula>
    </cfRule>
  </conditionalFormatting>
  <conditionalFormatting sqref="AC58:AF58">
    <cfRule type="expression" dxfId="10185" priority="280">
      <formula>AC$9&gt;=20/24</formula>
    </cfRule>
    <cfRule type="expression" dxfId="10184" priority="281">
      <formula>AND(AC$9&gt;=14/24,AC$9&lt;20/24)</formula>
    </cfRule>
    <cfRule type="expression" dxfId="10183" priority="282">
      <formula>AND(AC$9&gt;=8/24,AC$9&lt;14/24)</formula>
    </cfRule>
    <cfRule type="expression" dxfId="10182" priority="283">
      <formula>AC$9&lt;8/24</formula>
    </cfRule>
  </conditionalFormatting>
  <conditionalFormatting sqref="AC58:AF58">
    <cfRule type="expression" dxfId="10181" priority="279">
      <formula>AC58&gt;$AG58</formula>
    </cfRule>
  </conditionalFormatting>
  <conditionalFormatting sqref="A43">
    <cfRule type="expression" dxfId="10180" priority="278">
      <formula>$AH43=0</formula>
    </cfRule>
  </conditionalFormatting>
  <conditionalFormatting sqref="X91:AF95">
    <cfRule type="expression" dxfId="10179" priority="274">
      <formula>X$9&gt;=20/24</formula>
    </cfRule>
    <cfRule type="expression" dxfId="10178" priority="275">
      <formula>AND(X$9&gt;=14/24,X$9&lt;20/24)</formula>
    </cfRule>
    <cfRule type="expression" dxfId="10177" priority="276">
      <formula>AND(X$9&gt;=8/24,X$9&lt;14/24)</formula>
    </cfRule>
    <cfRule type="expression" dxfId="10176" priority="277">
      <formula>X$9&lt;8/24</formula>
    </cfRule>
  </conditionalFormatting>
  <conditionalFormatting sqref="AL45 AL41 AL22:AL32 AL38:AL39 AL7:AL15 AL17:AL20 AL34:AL36">
    <cfRule type="iconSet" priority="375">
      <iconSet iconSet="3TrafficLights2" reverse="1">
        <cfvo type="percent" val="0"/>
        <cfvo type="num" val="1"/>
        <cfvo type="num" val="1"/>
      </iconSet>
    </cfRule>
  </conditionalFormatting>
  <conditionalFormatting sqref="F49:AF51">
    <cfRule type="expression" dxfId="10175" priority="270">
      <formula>F$9&gt;=20/24</formula>
    </cfRule>
    <cfRule type="expression" dxfId="10174" priority="271">
      <formula>AND(F$9&gt;=14/24,F$9&lt;20/24)</formula>
    </cfRule>
    <cfRule type="expression" dxfId="10173" priority="272">
      <formula>AND(F$9&gt;=8/24,F$9&lt;14/24)</formula>
    </cfRule>
    <cfRule type="expression" dxfId="10172" priority="273">
      <formula>F$9&lt;8/24</formula>
    </cfRule>
  </conditionalFormatting>
  <conditionalFormatting sqref="F49:AF51">
    <cfRule type="expression" dxfId="10171" priority="269">
      <formula>F49&gt;$AG49</formula>
    </cfRule>
  </conditionalFormatting>
  <conditionalFormatting sqref="AG52">
    <cfRule type="expression" dxfId="10170" priority="265">
      <formula>AG$9&gt;=20/24</formula>
    </cfRule>
    <cfRule type="expression" dxfId="10169" priority="266">
      <formula>AND(AG$9&gt;=14/24,AG$9&lt;20/24)</formula>
    </cfRule>
    <cfRule type="expression" dxfId="10168" priority="267">
      <formula>AND(AG$9&gt;=8/24,AG$9&lt;14/24)</formula>
    </cfRule>
    <cfRule type="expression" dxfId="10167" priority="268">
      <formula>AG$9&lt;8/24</formula>
    </cfRule>
  </conditionalFormatting>
  <conditionalFormatting sqref="AG52">
    <cfRule type="expression" dxfId="10166" priority="264">
      <formula>AG52&gt;$AG52</formula>
    </cfRule>
  </conditionalFormatting>
  <conditionalFormatting sqref="C107:AF107">
    <cfRule type="expression" dxfId="10165" priority="260">
      <formula>C$9&gt;=20/24</formula>
    </cfRule>
    <cfRule type="expression" dxfId="10164" priority="261">
      <formula>AND(C$9&gt;=14/24,C$9&lt;20/24)</formula>
    </cfRule>
    <cfRule type="expression" dxfId="10163" priority="262">
      <formula>AND(C$9&gt;=8/24,C$9&lt;14/24)</formula>
    </cfRule>
    <cfRule type="expression" dxfId="10162" priority="263">
      <formula>C$9&lt;8/24</formula>
    </cfRule>
  </conditionalFormatting>
  <conditionalFormatting sqref="AL40">
    <cfRule type="iconSet" priority="259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0161" priority="258">
      <formula>$AH40=0</formula>
    </cfRule>
  </conditionalFormatting>
  <conditionalFormatting sqref="A90">
    <cfRule type="expression" dxfId="10160" priority="256">
      <formula>$AH90=0</formula>
    </cfRule>
  </conditionalFormatting>
  <conditionalFormatting sqref="A87">
    <cfRule type="expression" dxfId="10159" priority="257">
      <formula>$AH87=0</formula>
    </cfRule>
  </conditionalFormatting>
  <conditionalFormatting sqref="D110:AF110">
    <cfRule type="expression" dxfId="10158" priority="252">
      <formula>D$9&gt;=20/24</formula>
    </cfRule>
    <cfRule type="expression" dxfId="10157" priority="253">
      <formula>AND(D$9&gt;=14/24,D$9&lt;20/24)</formula>
    </cfRule>
    <cfRule type="expression" dxfId="10156" priority="254">
      <formula>AND(D$9&gt;=8/24,D$9&lt;14/24)</formula>
    </cfRule>
    <cfRule type="expression" dxfId="10155" priority="255">
      <formula>D$9&lt;8/24</formula>
    </cfRule>
  </conditionalFormatting>
  <conditionalFormatting sqref="A110">
    <cfRule type="expression" dxfId="10154" priority="251">
      <formula>$AH110=0</formula>
    </cfRule>
  </conditionalFormatting>
  <conditionalFormatting sqref="A21">
    <cfRule type="expression" dxfId="10153" priority="249">
      <formula>$AH21=0</formula>
    </cfRule>
  </conditionalFormatting>
  <conditionalFormatting sqref="AL21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0152" priority="247">
      <formula>$AH37=0</formula>
    </cfRule>
  </conditionalFormatting>
  <conditionalFormatting sqref="AL37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0151" priority="243">
      <formula>Y$9&gt;=20/24</formula>
    </cfRule>
    <cfRule type="expression" dxfId="10150" priority="244">
      <formula>AND(Y$9&gt;=14/24,Y$9&lt;20/24)</formula>
    </cfRule>
    <cfRule type="expression" dxfId="10149" priority="245">
      <formula>AND(Y$9&gt;=8/24,Y$9&lt;14/24)</formula>
    </cfRule>
    <cfRule type="expression" dxfId="10148" priority="246">
      <formula>Y$9&lt;8/24</formula>
    </cfRule>
  </conditionalFormatting>
  <conditionalFormatting sqref="Y100:AC106 AD101:AD106">
    <cfRule type="expression" dxfId="10147" priority="239">
      <formula>Y$9&gt;=20/24</formula>
    </cfRule>
    <cfRule type="expression" dxfId="10146" priority="240">
      <formula>AND(Y$9&gt;=14/24,Y$9&lt;20/24)</formula>
    </cfRule>
    <cfRule type="expression" dxfId="10145" priority="241">
      <formula>AND(Y$9&gt;=8/24,Y$9&lt;14/24)</formula>
    </cfRule>
    <cfRule type="expression" dxfId="10144" priority="242">
      <formula>Y$9&lt;8/24</formula>
    </cfRule>
  </conditionalFormatting>
  <conditionalFormatting sqref="C109 C111:C116 AA34:AF43 AA17:AF32">
    <cfRule type="expression" dxfId="10143" priority="235">
      <formula>C$9&gt;=20/24</formula>
    </cfRule>
    <cfRule type="expression" dxfId="10142" priority="236">
      <formula>AND(C$9&gt;=14/24,C$9&lt;20/24)</formula>
    </cfRule>
    <cfRule type="expression" dxfId="10141" priority="237">
      <formula>AND(C$9&gt;=8/24,C$9&lt;14/24)</formula>
    </cfRule>
    <cfRule type="expression" dxfId="10140" priority="238">
      <formula>C$9&lt;8/24</formula>
    </cfRule>
  </conditionalFormatting>
  <conditionalFormatting sqref="C47:S47">
    <cfRule type="expression" dxfId="10139" priority="231">
      <formula>C$9&gt;=20/24</formula>
    </cfRule>
    <cfRule type="expression" dxfId="10138" priority="232">
      <formula>AND(C$9&gt;=14/24,C$9&lt;20/24)</formula>
    </cfRule>
    <cfRule type="expression" dxfId="10137" priority="233">
      <formula>AND(C$9&gt;=8/24,C$9&lt;14/24)</formula>
    </cfRule>
    <cfRule type="expression" dxfId="10136" priority="234">
      <formula>C$9&lt;8/24</formula>
    </cfRule>
  </conditionalFormatting>
  <conditionalFormatting sqref="C47:S47 AA34:AF43 AA17:AF32">
    <cfRule type="expression" dxfId="10135" priority="230">
      <formula>C17&gt;$AG17</formula>
    </cfRule>
  </conditionalFormatting>
  <conditionalFormatting sqref="C99:D99">
    <cfRule type="expression" dxfId="10134" priority="226">
      <formula>C$9&gt;=20/24</formula>
    </cfRule>
    <cfRule type="expression" dxfId="10133" priority="227">
      <formula>AND(C$9&gt;=14/24,C$9&lt;20/24)</formula>
    </cfRule>
    <cfRule type="expression" dxfId="10132" priority="228">
      <formula>AND(C$9&gt;=8/24,C$9&lt;14/24)</formula>
    </cfRule>
    <cfRule type="expression" dxfId="10131" priority="229">
      <formula>C$9&lt;8/24</formula>
    </cfRule>
  </conditionalFormatting>
  <conditionalFormatting sqref="C86 C96:W96 C83:AF85 D100:D106 E67:P69 E74:X76 Y75:AF76">
    <cfRule type="expression" dxfId="10130" priority="222">
      <formula>C$9&gt;=20/24</formula>
    </cfRule>
    <cfRule type="expression" dxfId="10129" priority="223">
      <formula>AND(C$9&gt;=14/24,C$9&lt;20/24)</formula>
    </cfRule>
    <cfRule type="expression" dxfId="10128" priority="224">
      <formula>AND(C$9&gt;=8/24,C$9&lt;14/24)</formula>
    </cfRule>
    <cfRule type="expression" dxfId="10127" priority="225">
      <formula>C$9&lt;8/24</formula>
    </cfRule>
  </conditionalFormatting>
  <conditionalFormatting sqref="E67:P69 E56:M57">
    <cfRule type="expression" dxfId="10126" priority="221">
      <formula>E56&gt;$AG56</formula>
    </cfRule>
  </conditionalFormatting>
  <conditionalFormatting sqref="E58:M58">
    <cfRule type="expression" dxfId="10125" priority="217">
      <formula>E$9&gt;=20/24</formula>
    </cfRule>
    <cfRule type="expression" dxfId="10124" priority="218">
      <formula>AND(E$9&gt;=14/24,E$9&lt;20/24)</formula>
    </cfRule>
    <cfRule type="expression" dxfId="10123" priority="219">
      <formula>AND(E$9&gt;=8/24,E$9&lt;14/24)</formula>
    </cfRule>
    <cfRule type="expression" dxfId="10122" priority="220">
      <formula>E$9&lt;8/24</formula>
    </cfRule>
  </conditionalFormatting>
  <conditionalFormatting sqref="E58:M58">
    <cfRule type="expression" dxfId="10121" priority="216">
      <formula>E58&gt;$AG58</formula>
    </cfRule>
  </conditionalFormatting>
  <conditionalFormatting sqref="B54:D57 B71:D71">
    <cfRule type="expression" dxfId="10120" priority="145">
      <formula>B$9&gt;=20/24</formula>
    </cfRule>
    <cfRule type="expression" dxfId="10119" priority="146">
      <formula>AND(B$9&gt;=14/24,B$9&lt;20/24)</formula>
    </cfRule>
    <cfRule type="expression" dxfId="10118" priority="147">
      <formula>AND(B$9&gt;=8/24,B$9&lt;14/24)</formula>
    </cfRule>
    <cfRule type="expression" dxfId="10117" priority="148">
      <formula>B$9&lt;8/24</formula>
    </cfRule>
  </conditionalFormatting>
  <conditionalFormatting sqref="C87:AF87 C89:AF89 C98:AF98 C70:AF70">
    <cfRule type="expression" dxfId="10116" priority="212">
      <formula>C$9&gt;=20/24</formula>
    </cfRule>
    <cfRule type="expression" dxfId="10115" priority="213">
      <formula>AND(C$9&gt;=14/24,C$9&lt;20/24)</formula>
    </cfRule>
    <cfRule type="expression" dxfId="10114" priority="214">
      <formula>AND(C$9&gt;=8/24,C$9&lt;14/24)</formula>
    </cfRule>
    <cfRule type="expression" dxfId="10113" priority="215">
      <formula>C$9&lt;8/24</formula>
    </cfRule>
  </conditionalFormatting>
  <conditionalFormatting sqref="C70:AF70 C65:AF66">
    <cfRule type="expression" dxfId="10112" priority="211">
      <formula>C65&gt;$AG65</formula>
    </cfRule>
  </conditionalFormatting>
  <conditionalFormatting sqref="C82:AF82">
    <cfRule type="expression" dxfId="10111" priority="207">
      <formula>C$9&gt;=20/24</formula>
    </cfRule>
    <cfRule type="expression" dxfId="10110" priority="208">
      <formula>AND(C$9&gt;=14/24,C$9&lt;20/24)</formula>
    </cfRule>
    <cfRule type="expression" dxfId="10109" priority="209">
      <formula>AND(C$9&gt;=8/24,C$9&lt;14/24)</formula>
    </cfRule>
    <cfRule type="expression" dxfId="10108" priority="210">
      <formula>C$9&lt;8/24</formula>
    </cfRule>
  </conditionalFormatting>
  <conditionalFormatting sqref="C91:W95">
    <cfRule type="expression" dxfId="10107" priority="203">
      <formula>C$9&gt;=20/24</formula>
    </cfRule>
    <cfRule type="expression" dxfId="10106" priority="204">
      <formula>AND(C$9&gt;=14/24,C$9&lt;20/24)</formula>
    </cfRule>
    <cfRule type="expression" dxfId="10105" priority="205">
      <formula>AND(C$9&gt;=8/24,C$9&lt;14/24)</formula>
    </cfRule>
    <cfRule type="expression" dxfId="10104" priority="206">
      <formula>C$9&lt;8/24</formula>
    </cfRule>
  </conditionalFormatting>
  <conditionalFormatting sqref="C52:AF52">
    <cfRule type="expression" dxfId="10103" priority="199">
      <formula>C$9&gt;=20/24</formula>
    </cfRule>
    <cfRule type="expression" dxfId="10102" priority="200">
      <formula>AND(C$9&gt;=14/24,C$9&lt;20/24)</formula>
    </cfRule>
    <cfRule type="expression" dxfId="10101" priority="201">
      <formula>AND(C$9&gt;=8/24,C$9&lt;14/24)</formula>
    </cfRule>
    <cfRule type="expression" dxfId="10100" priority="202">
      <formula>C$9&lt;8/24</formula>
    </cfRule>
  </conditionalFormatting>
  <conditionalFormatting sqref="C52:AF52">
    <cfRule type="expression" dxfId="10099" priority="198">
      <formula>C52&gt;$AG52</formula>
    </cfRule>
  </conditionalFormatting>
  <conditionalFormatting sqref="B49:E51">
    <cfRule type="expression" dxfId="10098" priority="113">
      <formula>B$9&gt;=20/24</formula>
    </cfRule>
    <cfRule type="expression" dxfId="10097" priority="114">
      <formula>AND(B$9&gt;=14/24,B$9&lt;20/24)</formula>
    </cfRule>
    <cfRule type="expression" dxfId="10096" priority="115">
      <formula>AND(B$9&gt;=8/24,B$9&lt;14/24)</formula>
    </cfRule>
    <cfRule type="expression" dxfId="10095" priority="116">
      <formula>B$9&lt;8/24</formula>
    </cfRule>
  </conditionalFormatting>
  <conditionalFormatting sqref="C110">
    <cfRule type="expression" dxfId="10094" priority="190">
      <formula>C$9&gt;=20/24</formula>
    </cfRule>
    <cfRule type="expression" dxfId="10093" priority="191">
      <formula>AND(C$9&gt;=14/24,C$9&lt;20/24)</formula>
    </cfRule>
    <cfRule type="expression" dxfId="10092" priority="192">
      <formula>AND(C$9&gt;=8/24,C$9&lt;14/24)</formula>
    </cfRule>
    <cfRule type="expression" dxfId="10091" priority="193">
      <formula>C$9&lt;8/24</formula>
    </cfRule>
  </conditionalFormatting>
  <conditionalFormatting sqref="E59:AF64">
    <cfRule type="expression" dxfId="10090" priority="186">
      <formula>E$9&gt;=20/24</formula>
    </cfRule>
    <cfRule type="expression" dxfId="10089" priority="187">
      <formula>AND(E$9&gt;=14/24,E$9&lt;20/24)</formula>
    </cfRule>
    <cfRule type="expression" dxfId="10088" priority="188">
      <formula>AND(E$9&gt;=8/24,E$9&lt;14/24)</formula>
    </cfRule>
    <cfRule type="expression" dxfId="10087" priority="189">
      <formula>E$9&lt;8/24</formula>
    </cfRule>
  </conditionalFormatting>
  <conditionalFormatting sqref="E59:AF64">
    <cfRule type="expression" dxfId="10086" priority="185">
      <formula>E59&gt;$AG59</formula>
    </cfRule>
  </conditionalFormatting>
  <conditionalFormatting sqref="AA45:AF45 AA13:AF15">
    <cfRule type="expression" dxfId="10085" priority="184">
      <formula>AA13&gt;$AG13</formula>
    </cfRule>
  </conditionalFormatting>
  <conditionalFormatting sqref="AA12:AF12">
    <cfRule type="expression" dxfId="10084" priority="180">
      <formula>AA$9&gt;=20/24</formula>
    </cfRule>
    <cfRule type="expression" dxfId="10083" priority="181">
      <formula>AND(AA$9&gt;=14/24,AA$9&lt;20/24)</formula>
    </cfRule>
    <cfRule type="expression" dxfId="10082" priority="182">
      <formula>AND(AA$9&gt;=8/24,AA$9&lt;14/24)</formula>
    </cfRule>
    <cfRule type="expression" dxfId="10081" priority="183">
      <formula>AA$9&lt;8/24</formula>
    </cfRule>
  </conditionalFormatting>
  <conditionalFormatting sqref="AA12:AF12">
    <cfRule type="expression" dxfId="10080" priority="179">
      <formula>AA12&gt;$AG12</formula>
    </cfRule>
  </conditionalFormatting>
  <conditionalFormatting sqref="AA13:AF15">
    <cfRule type="expression" dxfId="10079" priority="175">
      <formula>AA$9&gt;=20/24</formula>
    </cfRule>
    <cfRule type="expression" dxfId="10078" priority="176">
      <formula>AND(AA$9&gt;=14/24,AA$9&lt;20/24)</formula>
    </cfRule>
    <cfRule type="expression" dxfId="10077" priority="177">
      <formula>AND(AA$9&gt;=8/24,AA$9&lt;14/24)</formula>
    </cfRule>
    <cfRule type="expression" dxfId="10076" priority="178">
      <formula>AA$9&lt;8/24</formula>
    </cfRule>
  </conditionalFormatting>
  <conditionalFormatting sqref="AA45:AF45">
    <cfRule type="expression" dxfId="10075" priority="171">
      <formula>AA$9&gt;=20/24</formula>
    </cfRule>
    <cfRule type="expression" dxfId="10074" priority="172">
      <formula>AND(AA$9&gt;=14/24,AA$9&lt;20/24)</formula>
    </cfRule>
    <cfRule type="expression" dxfId="10073" priority="173">
      <formula>AND(AA$9&gt;=8/24,AA$9&lt;14/24)</formula>
    </cfRule>
    <cfRule type="expression" dxfId="10072" priority="174">
      <formula>AA$9&lt;8/24</formula>
    </cfRule>
  </conditionalFormatting>
  <conditionalFormatting sqref="E77:AF81">
    <cfRule type="expression" dxfId="10071" priority="167">
      <formula>E$9&gt;=20/24</formula>
    </cfRule>
    <cfRule type="expression" dxfId="10070" priority="168">
      <formula>AND(E$9&gt;=14/24,E$9&lt;20/24)</formula>
    </cfRule>
    <cfRule type="expression" dxfId="10069" priority="169">
      <formula>AND(E$9&gt;=8/24,E$9&lt;14/24)</formula>
    </cfRule>
    <cfRule type="expression" dxfId="10068" priority="170">
      <formula>E$9&lt;8/24</formula>
    </cfRule>
  </conditionalFormatting>
  <conditionalFormatting sqref="AL78:AN78 AL84:AN84 AN79:AN80">
    <cfRule type="expression" dxfId="10067" priority="163">
      <formula>AL$9&gt;=20/24</formula>
    </cfRule>
    <cfRule type="expression" dxfId="10066" priority="164">
      <formula>AND(AL$9&gt;=14/24,AL$9&lt;20/24)</formula>
    </cfRule>
    <cfRule type="expression" dxfId="10065" priority="165">
      <formula>AND(AL$9&gt;=8/24,AL$9&lt;14/24)</formula>
    </cfRule>
    <cfRule type="expression" dxfId="10064" priority="166">
      <formula>AL$9&lt;8/24</formula>
    </cfRule>
  </conditionalFormatting>
  <conditionalFormatting sqref="AN81:AN82">
    <cfRule type="expression" dxfId="10063" priority="159">
      <formula>AN$9&gt;=20/24</formula>
    </cfRule>
    <cfRule type="expression" dxfId="10062" priority="160">
      <formula>AND(AN$9&gt;=14/24,AN$9&lt;20/24)</formula>
    </cfRule>
    <cfRule type="expression" dxfId="10061" priority="161">
      <formula>AND(AN$9&gt;=8/24,AN$9&lt;14/24)</formula>
    </cfRule>
    <cfRule type="expression" dxfId="10060" priority="162">
      <formula>AN$9&lt;8/24</formula>
    </cfRule>
  </conditionalFormatting>
  <conditionalFormatting sqref="AL79:AM83">
    <cfRule type="expression" dxfId="10059" priority="376">
      <formula>AJ$9&gt;=20/24</formula>
    </cfRule>
    <cfRule type="expression" dxfId="10058" priority="377">
      <formula>AND(AJ$9&gt;=14/24,AJ$9&lt;20/24)</formula>
    </cfRule>
    <cfRule type="expression" dxfId="10057" priority="378">
      <formula>AND(AJ$9&gt;=8/24,AJ$9&lt;14/24)</formula>
    </cfRule>
    <cfRule type="expression" dxfId="10056" priority="379">
      <formula>AJ$9&lt;8/24</formula>
    </cfRule>
  </conditionalFormatting>
  <conditionalFormatting sqref="A118">
    <cfRule type="expression" dxfId="10055" priority="158">
      <formula>$AH118=0</formula>
    </cfRule>
  </conditionalFormatting>
  <conditionalFormatting sqref="B109 B111:B116 B12:Z15 B34:Z43 B45:Z45 B17:Z32">
    <cfRule type="expression" dxfId="10054" priority="154">
      <formula>B$9&gt;=20/24</formula>
    </cfRule>
    <cfRule type="expression" dxfId="10053" priority="155">
      <formula>AND(B$9&gt;=14/24,B$9&lt;20/24)</formula>
    </cfRule>
    <cfRule type="expression" dxfId="10052" priority="156">
      <formula>AND(B$9&gt;=8/24,B$9&lt;14/24)</formula>
    </cfRule>
    <cfRule type="expression" dxfId="10051" priority="157">
      <formula>B$9&lt;8/24</formula>
    </cfRule>
  </conditionalFormatting>
  <conditionalFormatting sqref="B12:Z15 B34:Z43 B45:Z45 B17:Z32">
    <cfRule type="expression" dxfId="10050" priority="153">
      <formula>B12&gt;$AG12</formula>
    </cfRule>
  </conditionalFormatting>
  <conditionalFormatting sqref="B99">
    <cfRule type="expression" dxfId="10049" priority="149">
      <formula>B$9&gt;=20/24</formula>
    </cfRule>
    <cfRule type="expression" dxfId="10048" priority="150">
      <formula>AND(B$9&gt;=14/24,B$9&lt;20/24)</formula>
    </cfRule>
    <cfRule type="expression" dxfId="10047" priority="151">
      <formula>AND(B$9&gt;=8/24,B$9&lt;14/24)</formula>
    </cfRule>
    <cfRule type="expression" dxfId="10046" priority="152">
      <formula>B$9&lt;8/24</formula>
    </cfRule>
  </conditionalFormatting>
  <conditionalFormatting sqref="B53:D53">
    <cfRule type="expression" dxfId="10045" priority="141">
      <formula>B$9&gt;=20/24</formula>
    </cfRule>
    <cfRule type="expression" dxfId="10044" priority="142">
      <formula>AND(B$9&gt;=14/24,B$9&lt;20/24)</formula>
    </cfRule>
    <cfRule type="expression" dxfId="10043" priority="143">
      <formula>AND(B$9&gt;=8/24,B$9&lt;14/24)</formula>
    </cfRule>
    <cfRule type="expression" dxfId="10042" priority="144">
      <formula>B$9&lt;8/24</formula>
    </cfRule>
  </conditionalFormatting>
  <conditionalFormatting sqref="B53:D57">
    <cfRule type="expression" dxfId="10041" priority="140">
      <formula>B53&gt;$AG53</formula>
    </cfRule>
  </conditionalFormatting>
  <conditionalFormatting sqref="B96 B86 B47 B100:C106 B67:D69 B72:D74">
    <cfRule type="expression" dxfId="10040" priority="136">
      <formula>B$9&gt;=20/24</formula>
    </cfRule>
    <cfRule type="expression" dxfId="10039" priority="137">
      <formula>AND(B$9&gt;=14/24,B$9&lt;20/24)</formula>
    </cfRule>
    <cfRule type="expression" dxfId="10038" priority="138">
      <formula>AND(B$9&gt;=8/24,B$9&lt;14/24)</formula>
    </cfRule>
    <cfRule type="expression" dxfId="10037" priority="139">
      <formula>B$9&lt;8/24</formula>
    </cfRule>
  </conditionalFormatting>
  <conditionalFormatting sqref="B47 B67:D69">
    <cfRule type="expression" dxfId="10036" priority="135">
      <formula>B47&gt;$AG47</formula>
    </cfRule>
  </conditionalFormatting>
  <conditionalFormatting sqref="B97 B88:C88">
    <cfRule type="expression" dxfId="10035" priority="131">
      <formula>B$9&gt;=20/24</formula>
    </cfRule>
    <cfRule type="expression" dxfId="10034" priority="132">
      <formula>AND(B$9&gt;=14/24,B$9&lt;20/24)</formula>
    </cfRule>
    <cfRule type="expression" dxfId="10033" priority="133">
      <formula>AND(B$9&gt;=8/24,B$9&lt;14/24)</formula>
    </cfRule>
    <cfRule type="expression" dxfId="10032" priority="134">
      <formula>B$9&lt;8/24</formula>
    </cfRule>
  </conditionalFormatting>
  <conditionalFormatting sqref="B46:AF46">
    <cfRule type="expression" dxfId="10031" priority="127">
      <formula>B$9&gt;=20/24</formula>
    </cfRule>
    <cfRule type="expression" dxfId="10030" priority="128">
      <formula>AND(B$9&gt;=14/24,B$9&lt;20/24)</formula>
    </cfRule>
    <cfRule type="expression" dxfId="10029" priority="129">
      <formula>AND(B$9&gt;=8/24,B$9&lt;14/24)</formula>
    </cfRule>
    <cfRule type="expression" dxfId="10028" priority="130">
      <formula>B$9&lt;8/24</formula>
    </cfRule>
  </conditionalFormatting>
  <conditionalFormatting sqref="B46:AF46">
    <cfRule type="expression" dxfId="10027" priority="126">
      <formula>B46&gt;$AG46</formula>
    </cfRule>
  </conditionalFormatting>
  <conditionalFormatting sqref="B58:D58">
    <cfRule type="expression" dxfId="10026" priority="122">
      <formula>B$9&gt;=20/24</formula>
    </cfRule>
    <cfRule type="expression" dxfId="10025" priority="123">
      <formula>AND(B$9&gt;=14/24,B$9&lt;20/24)</formula>
    </cfRule>
    <cfRule type="expression" dxfId="10024" priority="124">
      <formula>AND(B$9&gt;=8/24,B$9&lt;14/24)</formula>
    </cfRule>
    <cfRule type="expression" dxfId="10023" priority="125">
      <formula>B$9&lt;8/24</formula>
    </cfRule>
  </conditionalFormatting>
  <conditionalFormatting sqref="B58:D58">
    <cfRule type="expression" dxfId="10022" priority="121">
      <formula>B58&gt;$AG58</formula>
    </cfRule>
  </conditionalFormatting>
  <conditionalFormatting sqref="B91:B95">
    <cfRule type="expression" dxfId="10021" priority="117">
      <formula>B$9&gt;=20/24</formula>
    </cfRule>
    <cfRule type="expression" dxfId="10020" priority="118">
      <formula>AND(B$9&gt;=14/24,B$9&lt;20/24)</formula>
    </cfRule>
    <cfRule type="expression" dxfId="10019" priority="119">
      <formula>AND(B$9&gt;=8/24,B$9&lt;14/24)</formula>
    </cfRule>
    <cfRule type="expression" dxfId="10018" priority="120">
      <formula>B$9&lt;8/24</formula>
    </cfRule>
  </conditionalFormatting>
  <conditionalFormatting sqref="B49:E51">
    <cfRule type="expression" dxfId="10017" priority="112">
      <formula>B49&gt;$AG49</formula>
    </cfRule>
  </conditionalFormatting>
  <conditionalFormatting sqref="B107">
    <cfRule type="expression" dxfId="10016" priority="108">
      <formula>B$9&gt;=20/24</formula>
    </cfRule>
    <cfRule type="expression" dxfId="10015" priority="109">
      <formula>AND(B$9&gt;=14/24,B$9&lt;20/24)</formula>
    </cfRule>
    <cfRule type="expression" dxfId="10014" priority="110">
      <formula>AND(B$9&gt;=8/24,B$9&lt;14/24)</formula>
    </cfRule>
    <cfRule type="expression" dxfId="10013" priority="111">
      <formula>B$9&lt;8/24</formula>
    </cfRule>
  </conditionalFormatting>
  <conditionalFormatting sqref="B110">
    <cfRule type="expression" dxfId="10012" priority="104">
      <formula>B$9&gt;=20/24</formula>
    </cfRule>
    <cfRule type="expression" dxfId="10011" priority="105">
      <formula>AND(B$9&gt;=14/24,B$9&lt;20/24)</formula>
    </cfRule>
    <cfRule type="expression" dxfId="10010" priority="106">
      <formula>AND(B$9&gt;=8/24,B$9&lt;14/24)</formula>
    </cfRule>
    <cfRule type="expression" dxfId="10009" priority="107">
      <formula>B$9&lt;8/24</formula>
    </cfRule>
  </conditionalFormatting>
  <conditionalFormatting sqref="B83:B85 B75:D76">
    <cfRule type="expression" dxfId="10008" priority="100">
      <formula>B$9&gt;=20/24</formula>
    </cfRule>
    <cfRule type="expression" dxfId="10007" priority="101">
      <formula>AND(B$9&gt;=14/24,B$9&lt;20/24)</formula>
    </cfRule>
    <cfRule type="expression" dxfId="10006" priority="102">
      <formula>AND(B$9&gt;=8/24,B$9&lt;14/24)</formula>
    </cfRule>
    <cfRule type="expression" dxfId="10005" priority="103">
      <formula>B$9&lt;8/24</formula>
    </cfRule>
  </conditionalFormatting>
  <conditionalFormatting sqref="B89 B98 B70 B87">
    <cfRule type="expression" dxfId="10004" priority="96">
      <formula>B$9&gt;=20/24</formula>
    </cfRule>
    <cfRule type="expression" dxfId="10003" priority="97">
      <formula>AND(B$9&gt;=14/24,B$9&lt;20/24)</formula>
    </cfRule>
    <cfRule type="expression" dxfId="10002" priority="98">
      <formula>AND(B$9&gt;=8/24,B$9&lt;14/24)</formula>
    </cfRule>
    <cfRule type="expression" dxfId="10001" priority="99">
      <formula>B$9&lt;8/24</formula>
    </cfRule>
  </conditionalFormatting>
  <conditionalFormatting sqref="B65:B66 B70 B48:AF48">
    <cfRule type="expression" dxfId="10000" priority="95">
      <formula>B48&gt;$AG48</formula>
    </cfRule>
  </conditionalFormatting>
  <conditionalFormatting sqref="B82">
    <cfRule type="expression" dxfId="9999" priority="91">
      <formula>B$9&gt;=20/24</formula>
    </cfRule>
    <cfRule type="expression" dxfId="9998" priority="92">
      <formula>AND(B$9&gt;=14/24,B$9&lt;20/24)</formula>
    </cfRule>
    <cfRule type="expression" dxfId="9997" priority="93">
      <formula>AND(B$9&gt;=8/24,B$9&lt;14/24)</formula>
    </cfRule>
    <cfRule type="expression" dxfId="9996" priority="94">
      <formula>B$9&lt;8/24</formula>
    </cfRule>
  </conditionalFormatting>
  <conditionalFormatting sqref="B52">
    <cfRule type="expression" dxfId="9995" priority="87">
      <formula>B$9&gt;=20/24</formula>
    </cfRule>
    <cfRule type="expression" dxfId="9994" priority="88">
      <formula>AND(B$9&gt;=14/24,B$9&lt;20/24)</formula>
    </cfRule>
    <cfRule type="expression" dxfId="9993" priority="89">
      <formula>AND(B$9&gt;=8/24,B$9&lt;14/24)</formula>
    </cfRule>
    <cfRule type="expression" dxfId="9992" priority="90">
      <formula>B$9&lt;8/24</formula>
    </cfRule>
  </conditionalFormatting>
  <conditionalFormatting sqref="B52">
    <cfRule type="expression" dxfId="9991" priority="86">
      <formula>B52&gt;$AG52</formula>
    </cfRule>
  </conditionalFormatting>
  <conditionalFormatting sqref="B59:D64">
    <cfRule type="expression" dxfId="9990" priority="78">
      <formula>B$9&gt;=20/24</formula>
    </cfRule>
    <cfRule type="expression" dxfId="9989" priority="79">
      <formula>AND(B$9&gt;=14/24,B$9&lt;20/24)</formula>
    </cfRule>
    <cfRule type="expression" dxfId="9988" priority="80">
      <formula>AND(B$9&gt;=8/24,B$9&lt;14/24)</formula>
    </cfRule>
    <cfRule type="expression" dxfId="9987" priority="81">
      <formula>B$9&lt;8/24</formula>
    </cfRule>
  </conditionalFormatting>
  <conditionalFormatting sqref="B59:D64">
    <cfRule type="expression" dxfId="9986" priority="77">
      <formula>B59&gt;$AG59</formula>
    </cfRule>
  </conditionalFormatting>
  <conditionalFormatting sqref="B77:D81">
    <cfRule type="expression" dxfId="9985" priority="73">
      <formula>B$9&gt;=20/24</formula>
    </cfRule>
    <cfRule type="expression" dxfId="9984" priority="74">
      <formula>AND(B$9&gt;=14/24,B$9&lt;20/24)</formula>
    </cfRule>
    <cfRule type="expression" dxfId="9983" priority="75">
      <formula>AND(B$9&gt;=8/24,B$9&lt;14/24)</formula>
    </cfRule>
    <cfRule type="expression" dxfId="9982" priority="76">
      <formula>B$9&lt;8/24</formula>
    </cfRule>
  </conditionalFormatting>
  <conditionalFormatting sqref="A11">
    <cfRule type="expression" dxfId="9981" priority="72">
      <formula>$AH11=0</formula>
    </cfRule>
  </conditionalFormatting>
  <conditionalFormatting sqref="U11:AF11">
    <cfRule type="expression" dxfId="9980" priority="68">
      <formula>U$9&gt;=20/24</formula>
    </cfRule>
    <cfRule type="expression" dxfId="9979" priority="69">
      <formula>AND(U$9&gt;=14/24,U$9&lt;20/24)</formula>
    </cfRule>
    <cfRule type="expression" dxfId="9978" priority="70">
      <formula>AND(U$9&gt;=8/24,U$9&lt;14/24)</formula>
    </cfRule>
    <cfRule type="expression" dxfId="9977" priority="71">
      <formula>U$9&lt;8/24</formula>
    </cfRule>
  </conditionalFormatting>
  <conditionalFormatting sqref="U11:AF11">
    <cfRule type="expression" dxfId="9976" priority="67">
      <formula>U11&gt;$AG11</formula>
    </cfRule>
  </conditionalFormatting>
  <conditionalFormatting sqref="B11:T11">
    <cfRule type="expression" dxfId="9975" priority="63">
      <formula>B$9&gt;=20/24</formula>
    </cfRule>
    <cfRule type="expression" dxfId="9974" priority="64">
      <formula>AND(B$9&gt;=14/24,B$9&lt;20/24)</formula>
    </cfRule>
    <cfRule type="expression" dxfId="9973" priority="65">
      <formula>AND(B$9&gt;=8/24,B$9&lt;14/24)</formula>
    </cfRule>
    <cfRule type="expression" dxfId="9972" priority="66">
      <formula>B$9&lt;8/24</formula>
    </cfRule>
  </conditionalFormatting>
  <conditionalFormatting sqref="B11:T11">
    <cfRule type="expression" dxfId="9971" priority="62">
      <formula>B11&gt;$AG11</formula>
    </cfRule>
  </conditionalFormatting>
  <conditionalFormatting sqref="A16">
    <cfRule type="expression" dxfId="9970" priority="60">
      <formula>$AH16=0</formula>
    </cfRule>
  </conditionalFormatting>
  <conditionalFormatting sqref="AL16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A16:AF16">
    <cfRule type="expression" dxfId="9969" priority="56">
      <formula>AA$9&gt;=20/24</formula>
    </cfRule>
    <cfRule type="expression" dxfId="9968" priority="57">
      <formula>AND(AA$9&gt;=14/24,AA$9&lt;20/24)</formula>
    </cfRule>
    <cfRule type="expression" dxfId="9967" priority="58">
      <formula>AND(AA$9&gt;=8/24,AA$9&lt;14/24)</formula>
    </cfRule>
    <cfRule type="expression" dxfId="9966" priority="59">
      <formula>AA$9&lt;8/24</formula>
    </cfRule>
  </conditionalFormatting>
  <conditionalFormatting sqref="AA16:AF16">
    <cfRule type="expression" dxfId="9965" priority="55">
      <formula>AA16&gt;$AG16</formula>
    </cfRule>
  </conditionalFormatting>
  <conditionalFormatting sqref="B16:Z16">
    <cfRule type="expression" dxfId="9964" priority="51">
      <formula>B$9&gt;=20/24</formula>
    </cfRule>
    <cfRule type="expression" dxfId="9963" priority="52">
      <formula>AND(B$9&gt;=14/24,B$9&lt;20/24)</formula>
    </cfRule>
    <cfRule type="expression" dxfId="9962" priority="53">
      <formula>AND(B$9&gt;=8/24,B$9&lt;14/24)</formula>
    </cfRule>
    <cfRule type="expression" dxfId="9961" priority="54">
      <formula>B$9&lt;8/24</formula>
    </cfRule>
  </conditionalFormatting>
  <conditionalFormatting sqref="B16:Z16">
    <cfRule type="expression" dxfId="9960" priority="50">
      <formula>B16&gt;$AG16</formula>
    </cfRule>
  </conditionalFormatting>
  <conditionalFormatting sqref="A33">
    <cfRule type="expression" dxfId="9959" priority="48">
      <formula>$AH33=0</formula>
    </cfRule>
  </conditionalFormatting>
  <conditionalFormatting sqref="AL33">
    <cfRule type="iconSet" priority="49">
      <iconSet iconSet="3TrafficLights2" reverse="1">
        <cfvo type="percent" val="0"/>
        <cfvo type="num" val="1"/>
        <cfvo type="num" val="1"/>
      </iconSet>
    </cfRule>
  </conditionalFormatting>
  <conditionalFormatting sqref="AA33:AF33">
    <cfRule type="expression" dxfId="9958" priority="44">
      <formula>AA$9&gt;=20/24</formula>
    </cfRule>
    <cfRule type="expression" dxfId="9957" priority="45">
      <formula>AND(AA$9&gt;=14/24,AA$9&lt;20/24)</formula>
    </cfRule>
    <cfRule type="expression" dxfId="9956" priority="46">
      <formula>AND(AA$9&gt;=8/24,AA$9&lt;14/24)</formula>
    </cfRule>
    <cfRule type="expression" dxfId="9955" priority="47">
      <formula>AA$9&lt;8/24</formula>
    </cfRule>
  </conditionalFormatting>
  <conditionalFormatting sqref="AA33:AF33">
    <cfRule type="expression" dxfId="9954" priority="43">
      <formula>AA33&gt;$AG33</formula>
    </cfRule>
  </conditionalFormatting>
  <conditionalFormatting sqref="B33:Z33">
    <cfRule type="expression" dxfId="9953" priority="39">
      <formula>B$9&gt;=20/24</formula>
    </cfRule>
    <cfRule type="expression" dxfId="9952" priority="40">
      <formula>AND(B$9&gt;=14/24,B$9&lt;20/24)</formula>
    </cfRule>
    <cfRule type="expression" dxfId="9951" priority="41">
      <formula>AND(B$9&gt;=8/24,B$9&lt;14/24)</formula>
    </cfRule>
    <cfRule type="expression" dxfId="9950" priority="42">
      <formula>B$9&lt;8/24</formula>
    </cfRule>
  </conditionalFormatting>
  <conditionalFormatting sqref="B33:Z33">
    <cfRule type="expression" dxfId="9949" priority="38">
      <formula>B33&gt;$AG33</formula>
    </cfRule>
  </conditionalFormatting>
  <conditionalFormatting sqref="A44">
    <cfRule type="expression" dxfId="9948" priority="36">
      <formula>$AH44=0</formula>
    </cfRule>
  </conditionalFormatting>
  <conditionalFormatting sqref="AL44">
    <cfRule type="iconSet" priority="37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9947" priority="35">
      <formula>AA44&gt;$AG44</formula>
    </cfRule>
  </conditionalFormatting>
  <conditionalFormatting sqref="AA44:AF44">
    <cfRule type="expression" dxfId="9946" priority="31">
      <formula>AA$9&gt;=20/24</formula>
    </cfRule>
    <cfRule type="expression" dxfId="9945" priority="32">
      <formula>AND(AA$9&gt;=14/24,AA$9&lt;20/24)</formula>
    </cfRule>
    <cfRule type="expression" dxfId="9944" priority="33">
      <formula>AND(AA$9&gt;=8/24,AA$9&lt;14/24)</formula>
    </cfRule>
    <cfRule type="expression" dxfId="9943" priority="34">
      <formula>AA$9&lt;8/24</formula>
    </cfRule>
  </conditionalFormatting>
  <conditionalFormatting sqref="B44:Z44">
    <cfRule type="expression" dxfId="9942" priority="27">
      <formula>B$9&gt;=20/24</formula>
    </cfRule>
    <cfRule type="expression" dxfId="9941" priority="28">
      <formula>AND(B$9&gt;=14/24,B$9&lt;20/24)</formula>
    </cfRule>
    <cfRule type="expression" dxfId="9940" priority="29">
      <formula>AND(B$9&gt;=8/24,B$9&lt;14/24)</formula>
    </cfRule>
    <cfRule type="expression" dxfId="9939" priority="30">
      <formula>B$9&lt;8/24</formula>
    </cfRule>
  </conditionalFormatting>
  <conditionalFormatting sqref="B44:Z44">
    <cfRule type="expression" dxfId="9938" priority="26">
      <formula>B44&gt;$AG44</formula>
    </cfRule>
  </conditionalFormatting>
  <conditionalFormatting sqref="B118">
    <cfRule type="expression" dxfId="9937" priority="14">
      <formula>B$9&gt;=20/24</formula>
    </cfRule>
    <cfRule type="expression" dxfId="9936" priority="15">
      <formula>AND(B$9&gt;=14/24,B$9&lt;20/24)</formula>
    </cfRule>
    <cfRule type="expression" dxfId="9935" priority="16">
      <formula>AND(B$9&gt;=8/24,B$9&lt;14/24)</formula>
    </cfRule>
    <cfRule type="expression" dxfId="9934" priority="17">
      <formula>B$9&lt;8/24</formula>
    </cfRule>
  </conditionalFormatting>
  <conditionalFormatting sqref="D118:AF118">
    <cfRule type="expression" dxfId="9933" priority="22">
      <formula>D$9&gt;=20/24</formula>
    </cfRule>
    <cfRule type="expression" dxfId="9932" priority="23">
      <formula>AND(D$9&gt;=14/24,D$9&lt;20/24)</formula>
    </cfRule>
    <cfRule type="expression" dxfId="9931" priority="24">
      <formula>AND(D$9&gt;=8/24,D$9&lt;14/24)</formula>
    </cfRule>
    <cfRule type="expression" dxfId="9930" priority="25">
      <formula>D$9&lt;8/24</formula>
    </cfRule>
  </conditionalFormatting>
  <conditionalFormatting sqref="C118">
    <cfRule type="expression" dxfId="9929" priority="18">
      <formula>C$9&gt;=20/24</formula>
    </cfRule>
    <cfRule type="expression" dxfId="9928" priority="19">
      <formula>AND(C$9&gt;=14/24,C$9&lt;20/24)</formula>
    </cfRule>
    <cfRule type="expression" dxfId="9927" priority="20">
      <formula>AND(C$9&gt;=8/24,C$9&lt;14/24)</formula>
    </cfRule>
    <cfRule type="expression" dxfId="9926" priority="21">
      <formula>C$9&lt;8/24</formula>
    </cfRule>
  </conditionalFormatting>
  <conditionalFormatting sqref="A117">
    <cfRule type="expression" dxfId="9925" priority="13">
      <formula>$AH117=0</formula>
    </cfRule>
  </conditionalFormatting>
  <conditionalFormatting sqref="B117">
    <cfRule type="expression" dxfId="9924" priority="1">
      <formula>B$9&gt;=20/24</formula>
    </cfRule>
    <cfRule type="expression" dxfId="9923" priority="2">
      <formula>AND(B$9&gt;=14/24,B$9&lt;20/24)</formula>
    </cfRule>
    <cfRule type="expression" dxfId="9922" priority="3">
      <formula>AND(B$9&gt;=8/24,B$9&lt;14/24)</formula>
    </cfRule>
    <cfRule type="expression" dxfId="9921" priority="4">
      <formula>B$9&lt;8/24</formula>
    </cfRule>
  </conditionalFormatting>
  <conditionalFormatting sqref="D117:H117">
    <cfRule type="expression" dxfId="9920" priority="9">
      <formula>D$9&gt;=20/24</formula>
    </cfRule>
    <cfRule type="expression" dxfId="9919" priority="10">
      <formula>AND(D$9&gt;=14/24,D$9&lt;20/24)</formula>
    </cfRule>
    <cfRule type="expression" dxfId="9918" priority="11">
      <formula>AND(D$9&gt;=8/24,D$9&lt;14/24)</formula>
    </cfRule>
    <cfRule type="expression" dxfId="9917" priority="12">
      <formula>D$9&lt;8/24</formula>
    </cfRule>
  </conditionalFormatting>
  <conditionalFormatting sqref="C117">
    <cfRule type="expression" dxfId="9916" priority="5">
      <formula>C$9&gt;=20/24</formula>
    </cfRule>
    <cfRule type="expression" dxfId="9915" priority="6">
      <formula>AND(C$9&gt;=14/24,C$9&lt;20/24)</formula>
    </cfRule>
    <cfRule type="expression" dxfId="9914" priority="7">
      <formula>AND(C$9&gt;=8/24,C$9&lt;14/24)</formula>
    </cfRule>
    <cfRule type="expression" dxfId="9913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4" id="{5AA73392-08A5-4333-93D9-A5953878C22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5" id="{7E3913EC-87F4-4928-870F-0540F614F7A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6" id="{689398FA-16E1-4998-B51E-6D31F23DD94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97" id="{73F25ECC-8CEE-40B2-B49D-27FAE9D275E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82" id="{193EFA7E-8CE0-428F-8EC5-7F4723CF957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3" id="{EC2F321D-040E-49AB-813D-60A7FC19CB7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4" id="{6A2DC860-2AF2-472B-80B9-F8101DB986A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5" id="{CAA91D17-4224-44DF-8B74-05A6DE74BFD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CJ279"/>
  <sheetViews>
    <sheetView zoomScaleNormal="100" workbookViewId="0">
      <pane ySplit="10" topLeftCell="A63" activePane="bottomLeft" state="frozen"/>
      <selection activeCell="Z85" sqref="Z85"/>
      <selection pane="bottomLeft" activeCell="A73" sqref="A73:XFD7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AG48</f>
        <v>875.68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2080/02/11</v>
      </c>
      <c r="C4" s="191"/>
      <c r="D4" s="191"/>
      <c r="E4" s="192" t="str">
        <f ca="1">"2079/"&amp;"12/"&amp;INT(MID(CELL("filename",G6),FIND("]",CELL("filename",G6))+1,200))</f>
        <v>2079/12/11</v>
      </c>
      <c r="F4" s="192"/>
      <c r="G4" s="192"/>
      <c r="H4" s="192" t="str">
        <f ca="1">TEXT(E4,"dddd")</f>
        <v>Monday</v>
      </c>
      <c r="I4" s="192"/>
      <c r="J4" s="26"/>
      <c r="K4" s="1" t="str">
        <f>"Total Peak Supply(Inclusive of Export) ("&amp;ROUND(B250,0)&amp;" MW)"&amp;"    IPP   = "&amp;ROUND(B245,0)&amp;" MW     NEA RoR = "&amp;ROUND(B246,0)&amp;" MWImport   = "&amp;ROUND(B248,0)&amp;" MW      KL1+KL2+K3 = "&amp;ROUND(B247,0) &amp;" MW    EXPORT = "&amp;ROUND(B249,0)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C82</f>
        <v>150</v>
      </c>
      <c r="C5" s="30">
        <f t="shared" si="0"/>
        <v>251</v>
      </c>
      <c r="D5" s="30">
        <f t="shared" si="0"/>
        <v>250</v>
      </c>
      <c r="E5" s="30">
        <f t="shared" si="0"/>
        <v>260</v>
      </c>
      <c r="F5" s="30">
        <f t="shared" si="0"/>
        <v>270</v>
      </c>
      <c r="G5" s="30">
        <f t="shared" si="0"/>
        <v>230</v>
      </c>
      <c r="H5" s="30">
        <f t="shared" si="0"/>
        <v>203</v>
      </c>
      <c r="I5" s="30">
        <f t="shared" si="0"/>
        <v>236</v>
      </c>
      <c r="J5" s="30">
        <f t="shared" si="0"/>
        <v>270.5</v>
      </c>
      <c r="K5" s="30">
        <f t="shared" si="0"/>
        <v>267.10000000000002</v>
      </c>
      <c r="L5" s="30">
        <f t="shared" si="0"/>
        <v>344</v>
      </c>
      <c r="M5" s="30">
        <f t="shared" si="0"/>
        <v>329</v>
      </c>
      <c r="N5" s="30">
        <f t="shared" si="0"/>
        <v>328</v>
      </c>
      <c r="O5" s="30">
        <f t="shared" si="0"/>
        <v>277.89999999999998</v>
      </c>
      <c r="P5" s="30">
        <f t="shared" si="0"/>
        <v>269.7</v>
      </c>
      <c r="Q5" s="30">
        <f t="shared" si="0"/>
        <v>277.39999999999998</v>
      </c>
      <c r="R5" s="30">
        <f t="shared" si="0"/>
        <v>221.2</v>
      </c>
      <c r="S5" s="30">
        <f t="shared" si="0"/>
        <v>243.6</v>
      </c>
      <c r="T5" s="30">
        <f t="shared" si="0"/>
        <v>222</v>
      </c>
      <c r="U5" s="30">
        <f t="shared" si="0"/>
        <v>279.5</v>
      </c>
      <c r="V5" s="30">
        <f t="shared" si="0"/>
        <v>210.2</v>
      </c>
      <c r="W5" s="30">
        <f t="shared" si="0"/>
        <v>195.8</v>
      </c>
      <c r="X5" s="30">
        <f t="shared" si="0"/>
        <v>172.2</v>
      </c>
      <c r="Y5" s="30">
        <f t="shared" si="0"/>
        <v>234.5</v>
      </c>
      <c r="Z5" s="30">
        <f t="shared" si="0"/>
        <v>160.9</v>
      </c>
      <c r="AA5" s="30">
        <f t="shared" si="0"/>
        <v>93.8</v>
      </c>
      <c r="AB5" s="30">
        <f t="shared" si="0"/>
        <v>27.4</v>
      </c>
      <c r="AC5" s="30">
        <f t="shared" si="0"/>
        <v>28</v>
      </c>
      <c r="AD5" s="30">
        <f t="shared" si="0"/>
        <v>18</v>
      </c>
      <c r="AE5" s="30">
        <f t="shared" si="0"/>
        <v>22</v>
      </c>
      <c r="AF5" s="30">
        <f>B82</f>
        <v>47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"&amp;ROUND(B250,0)&amp;"MW at "&amp;TRUNC(B251*24,0)&amp;":"&amp;ROUND((B251*24-TRUNC(B251*24,0))*60,0)&amp;"hr at "&amp;ROUND(B252,1)&amp;"Hz     "&amp;A242&amp;" "&amp;ROUND(B242,0)&amp;"MW at "&amp;TRUNC(C242*24,0)&amp;":"&amp;ROUND((C242*24-TRUNC(C242*24,0))*6,0)&amp;"0hr"</f>
        <v>Evening Peak 0MW at 0:0hr at 0Hz     Morning Peak 1496MW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1471.59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Load=1122</v>
      </c>
      <c r="B7" s="35">
        <f t="shared" ref="B7:AF7" si="1">B89</f>
        <v>1500.54</v>
      </c>
      <c r="C7" s="35">
        <f t="shared" si="1"/>
        <v>1481.54</v>
      </c>
      <c r="D7" s="35">
        <f t="shared" si="1"/>
        <v>1438.54</v>
      </c>
      <c r="E7" s="35">
        <f t="shared" si="1"/>
        <v>1392.54</v>
      </c>
      <c r="F7" s="35">
        <f t="shared" si="1"/>
        <v>1387.54</v>
      </c>
      <c r="G7" s="35">
        <f t="shared" si="1"/>
        <v>1397.54</v>
      </c>
      <c r="H7" s="35">
        <f t="shared" si="1"/>
        <v>1342.54</v>
      </c>
      <c r="I7" s="35">
        <f t="shared" si="1"/>
        <v>1310.54</v>
      </c>
      <c r="J7" s="35">
        <f t="shared" si="1"/>
        <v>1353.54</v>
      </c>
      <c r="K7" s="35">
        <f t="shared" si="1"/>
        <v>1383.04</v>
      </c>
      <c r="L7" s="35">
        <f t="shared" si="1"/>
        <v>1496.44</v>
      </c>
      <c r="M7" s="35">
        <f t="shared" si="1"/>
        <v>1476.3400000000001</v>
      </c>
      <c r="N7" s="35">
        <f>N89</f>
        <v>1401.64</v>
      </c>
      <c r="O7" s="35">
        <f t="shared" si="1"/>
        <v>1444.6399999999999</v>
      </c>
      <c r="P7" s="35">
        <f t="shared" si="1"/>
        <v>1464.3400000000001</v>
      </c>
      <c r="Q7" s="35">
        <f t="shared" si="1"/>
        <v>1405.44</v>
      </c>
      <c r="R7" s="35">
        <f t="shared" si="1"/>
        <v>1411.3400000000001</v>
      </c>
      <c r="S7" s="35">
        <f t="shared" si="1"/>
        <v>1381.74</v>
      </c>
      <c r="T7" s="35">
        <f t="shared" si="1"/>
        <v>1337.6399999999999</v>
      </c>
      <c r="U7" s="35">
        <f t="shared" si="1"/>
        <v>1367.54</v>
      </c>
      <c r="V7" s="35">
        <f t="shared" si="1"/>
        <v>1349.0400000000002</v>
      </c>
      <c r="W7" s="35">
        <f t="shared" si="1"/>
        <v>1200.8400000000001</v>
      </c>
      <c r="X7" s="35">
        <f t="shared" si="1"/>
        <v>1161.6400000000001</v>
      </c>
      <c r="Y7" s="35">
        <f t="shared" si="1"/>
        <v>1121.8400000000001</v>
      </c>
      <c r="Z7" s="35">
        <f t="shared" si="1"/>
        <v>1200.6400000000001</v>
      </c>
      <c r="AA7" s="35">
        <f t="shared" si="1"/>
        <v>1275.8400000000001</v>
      </c>
      <c r="AB7" s="35">
        <f t="shared" si="1"/>
        <v>1271.24</v>
      </c>
      <c r="AC7" s="35">
        <f t="shared" si="1"/>
        <v>1236.1400000000001</v>
      </c>
      <c r="AD7" s="35">
        <f t="shared" si="1"/>
        <v>1259.8399999999999</v>
      </c>
      <c r="AE7" s="35">
        <f t="shared" si="1"/>
        <v>1253.8400000000001</v>
      </c>
      <c r="AF7" s="35">
        <f t="shared" si="1"/>
        <v>1220.6400000000001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</v>
      </c>
      <c r="C11" s="45">
        <v>30</v>
      </c>
      <c r="D11" s="45">
        <v>26</v>
      </c>
      <c r="E11" s="45">
        <v>26</v>
      </c>
      <c r="F11" s="45">
        <v>26</v>
      </c>
      <c r="G11" s="45">
        <v>26</v>
      </c>
      <c r="H11" s="45">
        <v>26</v>
      </c>
      <c r="I11" s="45">
        <v>26</v>
      </c>
      <c r="J11" s="45">
        <v>26</v>
      </c>
      <c r="K11" s="45">
        <v>26</v>
      </c>
      <c r="L11" s="45">
        <v>26</v>
      </c>
      <c r="M11" s="45">
        <v>26</v>
      </c>
      <c r="N11" s="45">
        <v>5</v>
      </c>
      <c r="O11" s="45">
        <v>25</v>
      </c>
      <c r="P11" s="45">
        <v>25</v>
      </c>
      <c r="Q11" s="45">
        <v>25</v>
      </c>
      <c r="R11" s="45">
        <v>25</v>
      </c>
      <c r="S11" s="45">
        <v>25</v>
      </c>
      <c r="T11" s="45">
        <v>25</v>
      </c>
      <c r="U11" s="45">
        <v>25</v>
      </c>
      <c r="V11" s="45">
        <v>25</v>
      </c>
      <c r="W11" s="45">
        <v>46</v>
      </c>
      <c r="X11" s="45">
        <v>46</v>
      </c>
      <c r="Y11" s="45">
        <v>46</v>
      </c>
      <c r="Z11" s="45">
        <v>46</v>
      </c>
      <c r="AA11" s="45">
        <v>46</v>
      </c>
      <c r="AB11" s="45">
        <v>30.2</v>
      </c>
      <c r="AC11" s="45">
        <v>45</v>
      </c>
      <c r="AD11" s="45">
        <v>48</v>
      </c>
      <c r="AE11" s="45">
        <v>60</v>
      </c>
      <c r="AF11" s="45">
        <v>60</v>
      </c>
      <c r="AG11" s="46">
        <v>86</v>
      </c>
      <c r="AH11" s="47">
        <f t="shared" ref="AH11:AH74" si="2">MAX(B11:AF11)</f>
        <v>60</v>
      </c>
      <c r="AI11" s="48">
        <f t="shared" ref="AI11:AI74" si="3">MIN(B11:AF11)</f>
        <v>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16.7</v>
      </c>
      <c r="C12" s="45">
        <v>16.7</v>
      </c>
      <c r="D12" s="45">
        <v>16.7</v>
      </c>
      <c r="E12" s="45">
        <v>16.7</v>
      </c>
      <c r="F12" s="45">
        <v>16.7</v>
      </c>
      <c r="G12" s="45">
        <v>16.7</v>
      </c>
      <c r="H12" s="45">
        <v>16.7</v>
      </c>
      <c r="I12" s="45">
        <v>16.7</v>
      </c>
      <c r="J12" s="45">
        <v>16.7</v>
      </c>
      <c r="K12" s="45">
        <v>16.7</v>
      </c>
      <c r="L12" s="45">
        <v>16.7</v>
      </c>
      <c r="M12" s="45">
        <v>19.899999999999999</v>
      </c>
      <c r="N12" s="45">
        <v>19.899999999999999</v>
      </c>
      <c r="O12" s="45">
        <v>18.8</v>
      </c>
      <c r="P12" s="45">
        <v>18.8</v>
      </c>
      <c r="Q12" s="45">
        <v>18.8</v>
      </c>
      <c r="R12" s="45">
        <v>18.8</v>
      </c>
      <c r="S12" s="45">
        <v>18.8</v>
      </c>
      <c r="T12" s="45">
        <v>18.8</v>
      </c>
      <c r="U12" s="45">
        <v>20.9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29</v>
      </c>
      <c r="AB12" s="45">
        <v>29.8</v>
      </c>
      <c r="AC12" s="45">
        <v>28.5</v>
      </c>
      <c r="AD12" s="45">
        <v>28.5</v>
      </c>
      <c r="AE12" s="45">
        <v>40.9</v>
      </c>
      <c r="AF12" s="45">
        <v>40.9</v>
      </c>
      <c r="AG12" s="46">
        <v>52.4</v>
      </c>
      <c r="AH12" s="47">
        <f t="shared" si="2"/>
        <v>40.9</v>
      </c>
      <c r="AI12" s="48">
        <f t="shared" si="3"/>
        <v>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50.5</v>
      </c>
      <c r="C13" s="45">
        <v>50.5</v>
      </c>
      <c r="D13" s="45">
        <v>50.5</v>
      </c>
      <c r="E13" s="45">
        <v>50.5</v>
      </c>
      <c r="F13" s="45">
        <v>50.5</v>
      </c>
      <c r="G13" s="45">
        <v>50.5</v>
      </c>
      <c r="H13" s="45">
        <v>50.5</v>
      </c>
      <c r="I13" s="45">
        <v>50.5</v>
      </c>
      <c r="J13" s="45">
        <v>50.5</v>
      </c>
      <c r="K13" s="45">
        <v>50.5</v>
      </c>
      <c r="L13" s="45">
        <v>50.5</v>
      </c>
      <c r="M13" s="45">
        <v>50.9</v>
      </c>
      <c r="N13" s="45">
        <v>50.9</v>
      </c>
      <c r="O13" s="45">
        <v>50.3</v>
      </c>
      <c r="P13" s="45">
        <v>50.3</v>
      </c>
      <c r="Q13" s="45">
        <v>50.3</v>
      </c>
      <c r="R13" s="45">
        <v>50.3</v>
      </c>
      <c r="S13" s="45">
        <v>50.3</v>
      </c>
      <c r="T13" s="45">
        <v>50.3</v>
      </c>
      <c r="U13" s="45">
        <v>50.4</v>
      </c>
      <c r="V13" s="45">
        <v>50.4</v>
      </c>
      <c r="W13" s="45">
        <v>50.4</v>
      </c>
      <c r="X13" s="45">
        <v>50.4</v>
      </c>
      <c r="Y13" s="45">
        <v>50.4</v>
      </c>
      <c r="Z13" s="45">
        <v>50.4</v>
      </c>
      <c r="AA13" s="45">
        <v>50.4</v>
      </c>
      <c r="AB13" s="45">
        <v>50.5</v>
      </c>
      <c r="AC13" s="45">
        <v>50.5</v>
      </c>
      <c r="AD13" s="45">
        <v>50.2</v>
      </c>
      <c r="AE13" s="45">
        <v>50.3</v>
      </c>
      <c r="AF13" s="45">
        <v>50.3</v>
      </c>
      <c r="AG13" s="50">
        <v>50</v>
      </c>
      <c r="AH13" s="47">
        <f t="shared" si="2"/>
        <v>50.9</v>
      </c>
      <c r="AI13" s="48">
        <f t="shared" si="3"/>
        <v>50.2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23.3</v>
      </c>
      <c r="C14" s="45">
        <v>23.3</v>
      </c>
      <c r="D14" s="45">
        <v>23.3</v>
      </c>
      <c r="E14" s="45">
        <v>23.3</v>
      </c>
      <c r="F14" s="45">
        <v>23.3</v>
      </c>
      <c r="G14" s="45">
        <v>23.3</v>
      </c>
      <c r="H14" s="45">
        <v>23.3</v>
      </c>
      <c r="I14" s="45">
        <v>23.3</v>
      </c>
      <c r="J14" s="45">
        <v>23.3</v>
      </c>
      <c r="K14" s="45">
        <v>23.3</v>
      </c>
      <c r="L14" s="45">
        <v>23.3</v>
      </c>
      <c r="M14" s="45">
        <v>24.1</v>
      </c>
      <c r="N14" s="45">
        <v>24.1</v>
      </c>
      <c r="O14" s="45">
        <v>23.6</v>
      </c>
      <c r="P14" s="45">
        <v>23.6</v>
      </c>
      <c r="Q14" s="45">
        <v>23.6</v>
      </c>
      <c r="R14" s="45">
        <v>23.6</v>
      </c>
      <c r="S14" s="45">
        <v>23.6</v>
      </c>
      <c r="T14" s="45">
        <v>0</v>
      </c>
      <c r="U14" s="45">
        <v>27.8</v>
      </c>
      <c r="V14" s="45">
        <v>29.5</v>
      </c>
      <c r="W14" s="45">
        <v>29.5</v>
      </c>
      <c r="X14" s="45">
        <v>29.5</v>
      </c>
      <c r="Y14" s="45">
        <v>29.5</v>
      </c>
      <c r="Z14" s="45">
        <v>29.5</v>
      </c>
      <c r="AA14" s="45">
        <v>43</v>
      </c>
      <c r="AB14" s="45">
        <v>43.1</v>
      </c>
      <c r="AC14" s="45">
        <v>43.1</v>
      </c>
      <c r="AD14" s="45">
        <v>41.1</v>
      </c>
      <c r="AE14" s="45">
        <v>36.6</v>
      </c>
      <c r="AF14" s="45">
        <v>36.6</v>
      </c>
      <c r="AG14" s="50">
        <v>45</v>
      </c>
      <c r="AH14" s="47">
        <f t="shared" si="2"/>
        <v>43.1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26</v>
      </c>
      <c r="C15" s="45">
        <v>26</v>
      </c>
      <c r="D15" s="45">
        <v>26</v>
      </c>
      <c r="E15" s="45">
        <v>26</v>
      </c>
      <c r="F15" s="45">
        <v>26</v>
      </c>
      <c r="G15" s="45">
        <v>26</v>
      </c>
      <c r="H15" s="45">
        <v>26</v>
      </c>
      <c r="I15" s="45">
        <v>26</v>
      </c>
      <c r="J15" s="45">
        <v>26</v>
      </c>
      <c r="K15" s="45">
        <v>26</v>
      </c>
      <c r="L15" s="45">
        <v>26</v>
      </c>
      <c r="M15" s="45">
        <v>26</v>
      </c>
      <c r="N15" s="45">
        <v>26</v>
      </c>
      <c r="O15" s="45">
        <v>26</v>
      </c>
      <c r="P15" s="45">
        <v>26</v>
      </c>
      <c r="Q15" s="45">
        <v>26</v>
      </c>
      <c r="R15" s="45">
        <v>26</v>
      </c>
      <c r="S15" s="45">
        <v>26</v>
      </c>
      <c r="T15" s="45">
        <v>26</v>
      </c>
      <c r="U15" s="45">
        <v>25</v>
      </c>
      <c r="V15" s="45">
        <v>25</v>
      </c>
      <c r="W15" s="45">
        <v>25</v>
      </c>
      <c r="X15" s="45">
        <v>25</v>
      </c>
      <c r="Y15" s="45">
        <v>25</v>
      </c>
      <c r="Z15" s="45">
        <v>25</v>
      </c>
      <c r="AA15" s="45">
        <v>25</v>
      </c>
      <c r="AB15" s="45">
        <v>25.5</v>
      </c>
      <c r="AC15" s="45">
        <v>25.5</v>
      </c>
      <c r="AD15" s="45">
        <v>25.5</v>
      </c>
      <c r="AE15" s="45">
        <v>25.5</v>
      </c>
      <c r="AF15" s="45">
        <v>25.5</v>
      </c>
      <c r="AG15" s="50">
        <v>42</v>
      </c>
      <c r="AH15" s="47">
        <f t="shared" si="2"/>
        <v>26</v>
      </c>
      <c r="AI15" s="48">
        <f t="shared" si="3"/>
        <v>25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24</v>
      </c>
      <c r="C16" s="45">
        <v>24</v>
      </c>
      <c r="D16" s="45">
        <v>24</v>
      </c>
      <c r="E16" s="45">
        <v>24</v>
      </c>
      <c r="F16" s="45">
        <v>24</v>
      </c>
      <c r="G16" s="45">
        <v>24</v>
      </c>
      <c r="H16" s="45">
        <v>24</v>
      </c>
      <c r="I16" s="45">
        <v>24</v>
      </c>
      <c r="J16" s="45">
        <v>24</v>
      </c>
      <c r="K16" s="45">
        <v>24</v>
      </c>
      <c r="L16" s="45">
        <v>24</v>
      </c>
      <c r="M16" s="45">
        <v>24</v>
      </c>
      <c r="N16" s="45">
        <v>24</v>
      </c>
      <c r="O16" s="45">
        <v>24</v>
      </c>
      <c r="P16" s="45">
        <v>24</v>
      </c>
      <c r="Q16" s="45">
        <v>24</v>
      </c>
      <c r="R16" s="45">
        <v>24</v>
      </c>
      <c r="S16" s="45">
        <v>24</v>
      </c>
      <c r="T16" s="45">
        <v>24</v>
      </c>
      <c r="U16" s="45">
        <v>24</v>
      </c>
      <c r="V16" s="45">
        <v>24</v>
      </c>
      <c r="W16" s="45">
        <v>24</v>
      </c>
      <c r="X16" s="45">
        <v>24</v>
      </c>
      <c r="Y16" s="45">
        <v>24</v>
      </c>
      <c r="Z16" s="45">
        <v>24</v>
      </c>
      <c r="AA16" s="45">
        <v>24</v>
      </c>
      <c r="AB16" s="45">
        <v>24</v>
      </c>
      <c r="AC16" s="45">
        <v>24</v>
      </c>
      <c r="AD16" s="45">
        <v>24</v>
      </c>
      <c r="AE16" s="45">
        <v>24</v>
      </c>
      <c r="AF16" s="45">
        <v>24</v>
      </c>
      <c r="AG16" s="50">
        <v>36</v>
      </c>
      <c r="AH16" s="47">
        <f t="shared" si="2"/>
        <v>24</v>
      </c>
      <c r="AI16" s="48">
        <f t="shared" si="3"/>
        <v>24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14.6</v>
      </c>
      <c r="C17" s="45">
        <v>14.6</v>
      </c>
      <c r="D17" s="45">
        <v>14.6</v>
      </c>
      <c r="E17" s="45">
        <v>14.6</v>
      </c>
      <c r="F17" s="45">
        <v>14.6</v>
      </c>
      <c r="G17" s="45">
        <v>14.6</v>
      </c>
      <c r="H17" s="45">
        <v>14.6</v>
      </c>
      <c r="I17" s="45">
        <v>14.6</v>
      </c>
      <c r="J17" s="45">
        <v>14.6</v>
      </c>
      <c r="K17" s="45">
        <v>14.6</v>
      </c>
      <c r="L17" s="45">
        <v>14.6</v>
      </c>
      <c r="M17" s="45">
        <v>14.6</v>
      </c>
      <c r="N17" s="45">
        <v>14.6</v>
      </c>
      <c r="O17" s="45">
        <v>14.6</v>
      </c>
      <c r="P17" s="45">
        <v>14.6</v>
      </c>
      <c r="Q17" s="45">
        <v>14.6</v>
      </c>
      <c r="R17" s="45">
        <v>14.6</v>
      </c>
      <c r="S17" s="45">
        <v>14.6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50">
        <v>36</v>
      </c>
      <c r="AH17" s="47">
        <f t="shared" si="2"/>
        <v>14.6</v>
      </c>
      <c r="AI17" s="48">
        <f t="shared" si="3"/>
        <v>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16</v>
      </c>
      <c r="C18" s="45">
        <v>16</v>
      </c>
      <c r="D18" s="45">
        <v>16</v>
      </c>
      <c r="E18" s="45">
        <v>16</v>
      </c>
      <c r="F18" s="45">
        <v>16</v>
      </c>
      <c r="G18" s="45">
        <v>16</v>
      </c>
      <c r="H18" s="45">
        <v>16</v>
      </c>
      <c r="I18" s="45">
        <v>16</v>
      </c>
      <c r="J18" s="45">
        <v>16</v>
      </c>
      <c r="K18" s="45">
        <v>16</v>
      </c>
      <c r="L18" s="45">
        <v>16</v>
      </c>
      <c r="M18" s="45">
        <v>16</v>
      </c>
      <c r="N18" s="45">
        <v>16</v>
      </c>
      <c r="O18" s="45">
        <v>16</v>
      </c>
      <c r="P18" s="45">
        <v>16</v>
      </c>
      <c r="Q18" s="45">
        <v>16</v>
      </c>
      <c r="R18" s="45">
        <v>16</v>
      </c>
      <c r="S18" s="45">
        <v>16</v>
      </c>
      <c r="T18" s="45">
        <v>5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5</v>
      </c>
      <c r="AB18" s="45">
        <v>10</v>
      </c>
      <c r="AC18" s="45">
        <v>5</v>
      </c>
      <c r="AD18" s="45">
        <v>5</v>
      </c>
      <c r="AE18" s="45">
        <v>0</v>
      </c>
      <c r="AF18" s="45">
        <v>0</v>
      </c>
      <c r="AG18" s="51">
        <v>30</v>
      </c>
      <c r="AH18" s="47">
        <f t="shared" si="2"/>
        <v>16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9.1999999999999993</v>
      </c>
      <c r="C19" s="45">
        <v>9.1999999999999993</v>
      </c>
      <c r="D19" s="45">
        <v>9.1999999999999993</v>
      </c>
      <c r="E19" s="45">
        <v>9.1999999999999993</v>
      </c>
      <c r="F19" s="45">
        <v>9.1999999999999993</v>
      </c>
      <c r="G19" s="45">
        <v>9.1999999999999993</v>
      </c>
      <c r="H19" s="45">
        <v>9.1999999999999993</v>
      </c>
      <c r="I19" s="45">
        <v>9.1999999999999993</v>
      </c>
      <c r="J19" s="45">
        <v>9.1999999999999993</v>
      </c>
      <c r="K19" s="45">
        <v>9.1999999999999993</v>
      </c>
      <c r="L19" s="45">
        <v>9.1999999999999993</v>
      </c>
      <c r="M19" s="45">
        <v>9.1999999999999993</v>
      </c>
      <c r="N19" s="45">
        <v>9.1999999999999993</v>
      </c>
      <c r="O19" s="45">
        <v>9.1999999999999993</v>
      </c>
      <c r="P19" s="45">
        <v>9.1999999999999993</v>
      </c>
      <c r="Q19" s="45">
        <v>9.1999999999999993</v>
      </c>
      <c r="R19" s="45">
        <v>9.1999999999999993</v>
      </c>
      <c r="S19" s="45">
        <v>9.1999999999999993</v>
      </c>
      <c r="T19" s="45">
        <v>9.1999999999999993</v>
      </c>
      <c r="U19" s="45">
        <v>9.1999999999999993</v>
      </c>
      <c r="V19" s="45">
        <v>10.4</v>
      </c>
      <c r="W19" s="45">
        <v>10.4</v>
      </c>
      <c r="X19" s="45">
        <v>10.4</v>
      </c>
      <c r="Y19" s="45">
        <v>10.4</v>
      </c>
      <c r="Z19" s="45">
        <v>10.4</v>
      </c>
      <c r="AA19" s="45">
        <v>10.4</v>
      </c>
      <c r="AB19" s="45">
        <v>10.1</v>
      </c>
      <c r="AC19" s="45">
        <v>10.1</v>
      </c>
      <c r="AD19" s="45">
        <v>10.4</v>
      </c>
      <c r="AE19" s="45">
        <v>10.1</v>
      </c>
      <c r="AF19" s="45">
        <v>10.1</v>
      </c>
      <c r="AG19" s="50">
        <v>24.2</v>
      </c>
      <c r="AH19" s="47">
        <f t="shared" si="2"/>
        <v>10.4</v>
      </c>
      <c r="AI19" s="48">
        <f t="shared" si="3"/>
        <v>9.1999999999999993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8.6999999999999993</v>
      </c>
      <c r="C20" s="45">
        <v>8.6999999999999993</v>
      </c>
      <c r="D20" s="45">
        <v>8.6999999999999993</v>
      </c>
      <c r="E20" s="45">
        <v>8.6999999999999993</v>
      </c>
      <c r="F20" s="45">
        <v>8.6999999999999993</v>
      </c>
      <c r="G20" s="45">
        <v>8.6999999999999993</v>
      </c>
      <c r="H20" s="45">
        <v>8.6999999999999993</v>
      </c>
      <c r="I20" s="45">
        <v>8.6999999999999993</v>
      </c>
      <c r="J20" s="45">
        <v>8.6999999999999993</v>
      </c>
      <c r="K20" s="45">
        <v>8.6999999999999993</v>
      </c>
      <c r="L20" s="45">
        <v>8.6999999999999993</v>
      </c>
      <c r="M20" s="45">
        <v>8.6999999999999993</v>
      </c>
      <c r="N20" s="45">
        <v>8.6999999999999993</v>
      </c>
      <c r="O20" s="45">
        <v>8.6999999999999993</v>
      </c>
      <c r="P20" s="45">
        <v>8.6999999999999993</v>
      </c>
      <c r="Q20" s="45">
        <v>8.6999999999999993</v>
      </c>
      <c r="R20" s="45">
        <v>8.6999999999999993</v>
      </c>
      <c r="S20" s="45">
        <v>8.6999999999999993</v>
      </c>
      <c r="T20" s="45">
        <v>8.6999999999999993</v>
      </c>
      <c r="U20" s="45">
        <v>8.6999999999999993</v>
      </c>
      <c r="V20" s="45">
        <v>8.6999999999999993</v>
      </c>
      <c r="W20" s="45">
        <v>8.6999999999999993</v>
      </c>
      <c r="X20" s="45">
        <v>8.6999999999999993</v>
      </c>
      <c r="Y20" s="45">
        <v>8.6999999999999993</v>
      </c>
      <c r="Z20" s="45">
        <v>8.6999999999999993</v>
      </c>
      <c r="AA20" s="45">
        <v>8.6999999999999993</v>
      </c>
      <c r="AB20" s="45">
        <v>8.6999999999999993</v>
      </c>
      <c r="AC20" s="45">
        <v>8.6999999999999993</v>
      </c>
      <c r="AD20" s="45">
        <v>8.6999999999999993</v>
      </c>
      <c r="AE20" s="45">
        <v>8.6999999999999993</v>
      </c>
      <c r="AF20" s="45">
        <v>8.6999999999999993</v>
      </c>
      <c r="AG20" s="50">
        <v>28</v>
      </c>
      <c r="AH20" s="47">
        <f t="shared" si="2"/>
        <v>8.6999999999999993</v>
      </c>
      <c r="AI20" s="48">
        <f t="shared" si="3"/>
        <v>8.6999999999999993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17</v>
      </c>
      <c r="C21" s="45">
        <v>17</v>
      </c>
      <c r="D21" s="45">
        <v>17</v>
      </c>
      <c r="E21" s="45">
        <v>17</v>
      </c>
      <c r="F21" s="45">
        <v>17</v>
      </c>
      <c r="G21" s="45">
        <v>17</v>
      </c>
      <c r="H21" s="45">
        <v>17</v>
      </c>
      <c r="I21" s="45">
        <v>17</v>
      </c>
      <c r="J21" s="45">
        <v>17</v>
      </c>
      <c r="K21" s="45">
        <v>17</v>
      </c>
      <c r="L21" s="45">
        <v>17</v>
      </c>
      <c r="M21" s="45">
        <v>17</v>
      </c>
      <c r="N21" s="45">
        <v>17</v>
      </c>
      <c r="O21" s="45">
        <v>17</v>
      </c>
      <c r="P21" s="45">
        <v>17</v>
      </c>
      <c r="Q21" s="45">
        <v>17</v>
      </c>
      <c r="R21" s="45">
        <v>17</v>
      </c>
      <c r="S21" s="45">
        <v>17</v>
      </c>
      <c r="T21" s="45">
        <v>5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5</v>
      </c>
      <c r="AB21" s="45">
        <v>5</v>
      </c>
      <c r="AC21" s="45">
        <v>5</v>
      </c>
      <c r="AD21" s="45">
        <v>5</v>
      </c>
      <c r="AE21" s="45">
        <v>0</v>
      </c>
      <c r="AF21" s="45">
        <v>0</v>
      </c>
      <c r="AG21" s="51">
        <v>30</v>
      </c>
      <c r="AH21" s="47">
        <f t="shared" si="2"/>
        <v>17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20.2</v>
      </c>
      <c r="C22" s="45">
        <v>20.2</v>
      </c>
      <c r="D22" s="45">
        <v>20.2</v>
      </c>
      <c r="E22" s="45">
        <v>20.2</v>
      </c>
      <c r="F22" s="45">
        <v>20.2</v>
      </c>
      <c r="G22" s="45">
        <v>20.2</v>
      </c>
      <c r="H22" s="45">
        <v>20.2</v>
      </c>
      <c r="I22" s="45">
        <v>20.2</v>
      </c>
      <c r="J22" s="45">
        <v>20.2</v>
      </c>
      <c r="K22" s="45">
        <v>20.2</v>
      </c>
      <c r="L22" s="45">
        <v>20.2</v>
      </c>
      <c r="M22" s="45">
        <v>20.2</v>
      </c>
      <c r="N22" s="45">
        <v>20.2</v>
      </c>
      <c r="O22" s="45">
        <v>20.2</v>
      </c>
      <c r="P22" s="45">
        <v>20.2</v>
      </c>
      <c r="Q22" s="45">
        <v>20.2</v>
      </c>
      <c r="R22" s="45">
        <v>20.2</v>
      </c>
      <c r="S22" s="45">
        <v>20.2</v>
      </c>
      <c r="T22" s="45">
        <v>20.2</v>
      </c>
      <c r="U22" s="45">
        <v>20.2</v>
      </c>
      <c r="V22" s="45">
        <v>21.9</v>
      </c>
      <c r="W22" s="45">
        <v>21.9</v>
      </c>
      <c r="X22" s="45">
        <v>21.9</v>
      </c>
      <c r="Y22" s="45">
        <v>21.9</v>
      </c>
      <c r="Z22" s="45">
        <v>21.9</v>
      </c>
      <c r="AA22" s="45">
        <v>21.9</v>
      </c>
      <c r="AB22" s="45">
        <v>21.6</v>
      </c>
      <c r="AC22" s="45">
        <v>21.6</v>
      </c>
      <c r="AD22" s="45">
        <v>21.6</v>
      </c>
      <c r="AE22" s="45">
        <v>21.7</v>
      </c>
      <c r="AF22" s="45">
        <v>21.7</v>
      </c>
      <c r="AG22" s="50">
        <v>25</v>
      </c>
      <c r="AH22" s="47">
        <f t="shared" si="2"/>
        <v>21.9</v>
      </c>
      <c r="AI22" s="48">
        <f t="shared" si="3"/>
        <v>20.2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</v>
      </c>
      <c r="C24" s="45">
        <v>6</v>
      </c>
      <c r="D24" s="45">
        <v>6</v>
      </c>
      <c r="E24" s="45">
        <v>6</v>
      </c>
      <c r="F24" s="45">
        <v>6</v>
      </c>
      <c r="G24" s="45">
        <v>6</v>
      </c>
      <c r="H24" s="45">
        <v>6</v>
      </c>
      <c r="I24" s="45">
        <v>6</v>
      </c>
      <c r="J24" s="45">
        <v>6</v>
      </c>
      <c r="K24" s="45">
        <v>6</v>
      </c>
      <c r="L24" s="45">
        <v>6</v>
      </c>
      <c r="M24" s="45">
        <v>6</v>
      </c>
      <c r="N24" s="45">
        <v>6</v>
      </c>
      <c r="O24" s="45">
        <v>6</v>
      </c>
      <c r="P24" s="45">
        <v>6</v>
      </c>
      <c r="Q24" s="45">
        <v>6</v>
      </c>
      <c r="R24" s="45">
        <v>6</v>
      </c>
      <c r="S24" s="45">
        <v>8</v>
      </c>
      <c r="T24" s="45">
        <v>8</v>
      </c>
      <c r="U24" s="45">
        <v>8</v>
      </c>
      <c r="V24" s="45">
        <v>8</v>
      </c>
      <c r="W24" s="45">
        <v>8</v>
      </c>
      <c r="X24" s="45">
        <v>8</v>
      </c>
      <c r="Y24" s="45">
        <v>8</v>
      </c>
      <c r="Z24" s="45">
        <v>8</v>
      </c>
      <c r="AA24" s="45">
        <v>8</v>
      </c>
      <c r="AB24" s="45">
        <v>25</v>
      </c>
      <c r="AC24" s="45">
        <v>25</v>
      </c>
      <c r="AD24" s="45">
        <v>25</v>
      </c>
      <c r="AE24" s="45">
        <v>25</v>
      </c>
      <c r="AF24" s="45">
        <v>25</v>
      </c>
      <c r="AG24" s="50">
        <v>25</v>
      </c>
      <c r="AH24" s="47">
        <f t="shared" si="2"/>
        <v>25</v>
      </c>
      <c r="AI24" s="48">
        <f t="shared" si="3"/>
        <v>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17</v>
      </c>
      <c r="C25" s="45">
        <v>17</v>
      </c>
      <c r="D25" s="45">
        <v>17</v>
      </c>
      <c r="E25" s="45">
        <v>17</v>
      </c>
      <c r="F25" s="45">
        <v>17</v>
      </c>
      <c r="G25" s="45">
        <v>17</v>
      </c>
      <c r="H25" s="45">
        <v>17</v>
      </c>
      <c r="I25" s="45">
        <v>17</v>
      </c>
      <c r="J25" s="45">
        <v>17</v>
      </c>
      <c r="K25" s="45">
        <v>17</v>
      </c>
      <c r="L25" s="45">
        <v>17</v>
      </c>
      <c r="M25" s="45">
        <v>17</v>
      </c>
      <c r="N25" s="45">
        <v>17</v>
      </c>
      <c r="O25" s="45">
        <v>17</v>
      </c>
      <c r="P25" s="45">
        <v>17</v>
      </c>
      <c r="Q25" s="45">
        <v>17</v>
      </c>
      <c r="R25" s="45">
        <v>17</v>
      </c>
      <c r="S25" s="45">
        <v>17</v>
      </c>
      <c r="T25" s="45">
        <v>5</v>
      </c>
      <c r="U25" s="45">
        <v>5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5</v>
      </c>
      <c r="AB25" s="45">
        <v>5</v>
      </c>
      <c r="AC25" s="45">
        <v>5</v>
      </c>
      <c r="AD25" s="45">
        <v>5</v>
      </c>
      <c r="AE25" s="45">
        <v>0</v>
      </c>
      <c r="AF25" s="45">
        <v>0</v>
      </c>
      <c r="AG25" s="50">
        <v>25</v>
      </c>
      <c r="AH25" s="47">
        <f t="shared" si="2"/>
        <v>17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7.1</v>
      </c>
      <c r="C26" s="45">
        <v>7.1</v>
      </c>
      <c r="D26" s="45">
        <v>7.1</v>
      </c>
      <c r="E26" s="45">
        <v>7.1</v>
      </c>
      <c r="F26" s="45">
        <v>7.1</v>
      </c>
      <c r="G26" s="45">
        <v>7.1</v>
      </c>
      <c r="H26" s="45">
        <v>7.1</v>
      </c>
      <c r="I26" s="45">
        <v>7.1</v>
      </c>
      <c r="J26" s="45">
        <v>7.1</v>
      </c>
      <c r="K26" s="45">
        <v>7.1</v>
      </c>
      <c r="L26" s="45">
        <v>7.1</v>
      </c>
      <c r="M26" s="45">
        <v>7.1</v>
      </c>
      <c r="N26" s="45">
        <v>7.1</v>
      </c>
      <c r="O26" s="45">
        <v>7.1</v>
      </c>
      <c r="P26" s="45">
        <v>0</v>
      </c>
      <c r="Q26" s="45">
        <v>5</v>
      </c>
      <c r="R26" s="45">
        <v>5</v>
      </c>
      <c r="S26" s="45">
        <v>5</v>
      </c>
      <c r="T26" s="45">
        <v>5</v>
      </c>
      <c r="U26" s="45">
        <v>5</v>
      </c>
      <c r="V26" s="45">
        <v>5</v>
      </c>
      <c r="W26" s="45">
        <v>5</v>
      </c>
      <c r="X26" s="45">
        <v>5</v>
      </c>
      <c r="Y26" s="45">
        <v>5</v>
      </c>
      <c r="Z26" s="45">
        <v>5</v>
      </c>
      <c r="AA26" s="45">
        <v>5</v>
      </c>
      <c r="AB26" s="45">
        <v>15.5</v>
      </c>
      <c r="AC26" s="45">
        <v>15.5</v>
      </c>
      <c r="AD26" s="45">
        <v>15.5</v>
      </c>
      <c r="AE26" s="45">
        <v>18.100000000000001</v>
      </c>
      <c r="AF26" s="45">
        <v>18.100000000000001</v>
      </c>
      <c r="AG26" s="50">
        <v>23.5</v>
      </c>
      <c r="AH26" s="47">
        <f t="shared" si="2"/>
        <v>18.100000000000001</v>
      </c>
      <c r="AI26" s="48">
        <f t="shared" si="3"/>
        <v>0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3</v>
      </c>
      <c r="AC27" s="45">
        <v>3</v>
      </c>
      <c r="AD27" s="45">
        <v>3</v>
      </c>
      <c r="AE27" s="45">
        <v>3</v>
      </c>
      <c r="AF27" s="45">
        <v>3</v>
      </c>
      <c r="AG27" s="50">
        <v>22.2</v>
      </c>
      <c r="AH27" s="47">
        <f t="shared" si="2"/>
        <v>3</v>
      </c>
      <c r="AI27" s="48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0">
        <v>22.1</v>
      </c>
      <c r="AH28" s="47">
        <f t="shared" si="2"/>
        <v>3.5</v>
      </c>
      <c r="AI28" s="48">
        <f t="shared" si="3"/>
        <v>3.5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8.1999999999999993</v>
      </c>
      <c r="C30" s="45">
        <v>8.1999999999999993</v>
      </c>
      <c r="D30" s="45">
        <v>8.1999999999999993</v>
      </c>
      <c r="E30" s="45">
        <v>8.1999999999999993</v>
      </c>
      <c r="F30" s="45">
        <v>8.1999999999999993</v>
      </c>
      <c r="G30" s="45">
        <v>8.1999999999999993</v>
      </c>
      <c r="H30" s="45">
        <v>8.1999999999999993</v>
      </c>
      <c r="I30" s="45">
        <v>8.1999999999999993</v>
      </c>
      <c r="J30" s="45">
        <v>8.1999999999999993</v>
      </c>
      <c r="K30" s="45">
        <v>8.1999999999999993</v>
      </c>
      <c r="L30" s="45">
        <v>8.1999999999999993</v>
      </c>
      <c r="M30" s="45">
        <v>8.1999999999999993</v>
      </c>
      <c r="N30" s="45">
        <v>8.1999999999999993</v>
      </c>
      <c r="O30" s="45">
        <v>8.1999999999999993</v>
      </c>
      <c r="P30" s="45">
        <v>8.1999999999999993</v>
      </c>
      <c r="Q30" s="45">
        <v>8.1999999999999993</v>
      </c>
      <c r="R30" s="45">
        <v>8.1999999999999993</v>
      </c>
      <c r="S30" s="45">
        <v>8.1999999999999993</v>
      </c>
      <c r="T30" s="45">
        <v>8.1999999999999993</v>
      </c>
      <c r="U30" s="45">
        <v>8.1999999999999993</v>
      </c>
      <c r="V30" s="45">
        <v>8.1999999999999993</v>
      </c>
      <c r="W30" s="45">
        <v>8.1999999999999993</v>
      </c>
      <c r="X30" s="45">
        <v>8.1999999999999993</v>
      </c>
      <c r="Y30" s="45">
        <v>8.1999999999999993</v>
      </c>
      <c r="Z30" s="45">
        <v>8.1999999999999993</v>
      </c>
      <c r="AA30" s="45">
        <v>8.1999999999999993</v>
      </c>
      <c r="AB30" s="45">
        <v>23.9</v>
      </c>
      <c r="AC30" s="45">
        <v>24</v>
      </c>
      <c r="AD30" s="45">
        <v>24</v>
      </c>
      <c r="AE30" s="45">
        <v>23</v>
      </c>
      <c r="AF30" s="45">
        <v>23</v>
      </c>
      <c r="AG30" s="50">
        <v>22</v>
      </c>
      <c r="AH30" s="47">
        <f t="shared" si="2"/>
        <v>24</v>
      </c>
      <c r="AI30" s="48">
        <f t="shared" si="3"/>
        <v>8.1999999999999993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9</v>
      </c>
      <c r="T31" s="45">
        <v>9</v>
      </c>
      <c r="U31" s="45">
        <v>9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5</v>
      </c>
      <c r="AB31" s="45">
        <v>5</v>
      </c>
      <c r="AC31" s="45">
        <v>5</v>
      </c>
      <c r="AD31" s="45">
        <v>5</v>
      </c>
      <c r="AE31" s="45">
        <v>0</v>
      </c>
      <c r="AF31" s="45">
        <v>0</v>
      </c>
      <c r="AG31" s="50">
        <v>20</v>
      </c>
      <c r="AH31" s="47">
        <f t="shared" si="2"/>
        <v>9</v>
      </c>
      <c r="AI31" s="48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8</v>
      </c>
      <c r="C32" s="45">
        <v>8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8</v>
      </c>
      <c r="AE32" s="45">
        <v>8</v>
      </c>
      <c r="AF32" s="45">
        <v>8</v>
      </c>
      <c r="AG32" s="50">
        <v>18</v>
      </c>
      <c r="AH32" s="47">
        <f t="shared" si="2"/>
        <v>8</v>
      </c>
      <c r="AI32" s="48">
        <f t="shared" si="3"/>
        <v>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14</v>
      </c>
      <c r="C33" s="45">
        <v>14</v>
      </c>
      <c r="D33" s="45">
        <v>14</v>
      </c>
      <c r="E33" s="45">
        <v>14</v>
      </c>
      <c r="F33" s="45">
        <v>14</v>
      </c>
      <c r="G33" s="45">
        <v>14</v>
      </c>
      <c r="H33" s="45">
        <v>14</v>
      </c>
      <c r="I33" s="45">
        <v>14</v>
      </c>
      <c r="J33" s="45">
        <v>14</v>
      </c>
      <c r="K33" s="45">
        <v>14</v>
      </c>
      <c r="L33" s="45">
        <v>14</v>
      </c>
      <c r="M33" s="45">
        <v>14</v>
      </c>
      <c r="N33" s="45">
        <v>14</v>
      </c>
      <c r="O33" s="45">
        <v>14</v>
      </c>
      <c r="P33" s="45">
        <v>14</v>
      </c>
      <c r="Q33" s="45">
        <v>14</v>
      </c>
      <c r="R33" s="45">
        <v>14</v>
      </c>
      <c r="S33" s="45">
        <v>14</v>
      </c>
      <c r="T33" s="45">
        <v>14</v>
      </c>
      <c r="U33" s="45">
        <v>14</v>
      </c>
      <c r="V33" s="45">
        <v>14</v>
      </c>
      <c r="W33" s="45">
        <v>14</v>
      </c>
      <c r="X33" s="45">
        <v>14</v>
      </c>
      <c r="Y33" s="45">
        <v>14</v>
      </c>
      <c r="Z33" s="45">
        <v>14</v>
      </c>
      <c r="AA33" s="45">
        <v>14</v>
      </c>
      <c r="AB33" s="45">
        <v>14</v>
      </c>
      <c r="AC33" s="45">
        <v>14</v>
      </c>
      <c r="AD33" s="45">
        <v>14</v>
      </c>
      <c r="AE33" s="45">
        <v>14</v>
      </c>
      <c r="AF33" s="45">
        <v>14</v>
      </c>
      <c r="AG33" s="50">
        <v>14.9</v>
      </c>
      <c r="AH33" s="47">
        <f t="shared" si="2"/>
        <v>14</v>
      </c>
      <c r="AI33" s="48">
        <f t="shared" si="3"/>
        <v>14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50">
        <v>14.9</v>
      </c>
      <c r="AH34" s="47">
        <f t="shared" si="2"/>
        <v>6.2</v>
      </c>
      <c r="AI34" s="48">
        <f t="shared" si="3"/>
        <v>6.2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50">
        <v>13.6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3</v>
      </c>
      <c r="C36" s="45">
        <v>3</v>
      </c>
      <c r="D36" s="45">
        <v>3</v>
      </c>
      <c r="E36" s="45">
        <v>3</v>
      </c>
      <c r="F36" s="45">
        <v>3</v>
      </c>
      <c r="G36" s="45">
        <v>3</v>
      </c>
      <c r="H36" s="45">
        <v>3</v>
      </c>
      <c r="I36" s="45">
        <v>3</v>
      </c>
      <c r="J36" s="45">
        <v>3</v>
      </c>
      <c r="K36" s="45">
        <v>3</v>
      </c>
      <c r="L36" s="45">
        <v>3</v>
      </c>
      <c r="M36" s="45">
        <v>3</v>
      </c>
      <c r="N36" s="45">
        <v>3</v>
      </c>
      <c r="O36" s="45">
        <v>3</v>
      </c>
      <c r="P36" s="45">
        <v>3</v>
      </c>
      <c r="Q36" s="45">
        <v>3</v>
      </c>
      <c r="R36" s="45">
        <v>3</v>
      </c>
      <c r="S36" s="45">
        <v>3</v>
      </c>
      <c r="T36" s="45">
        <v>3</v>
      </c>
      <c r="U36" s="45">
        <v>3</v>
      </c>
      <c r="V36" s="45">
        <v>3</v>
      </c>
      <c r="W36" s="45">
        <v>3</v>
      </c>
      <c r="X36" s="45">
        <v>3</v>
      </c>
      <c r="Y36" s="45">
        <v>3</v>
      </c>
      <c r="Z36" s="45">
        <v>3</v>
      </c>
      <c r="AA36" s="45">
        <v>3</v>
      </c>
      <c r="AB36" s="45">
        <v>3</v>
      </c>
      <c r="AC36" s="45">
        <v>3</v>
      </c>
      <c r="AD36" s="45">
        <v>3</v>
      </c>
      <c r="AE36" s="45">
        <v>3</v>
      </c>
      <c r="AF36" s="45">
        <v>3</v>
      </c>
      <c r="AG36" s="50">
        <v>13</v>
      </c>
      <c r="AH36" s="47">
        <f t="shared" si="2"/>
        <v>3</v>
      </c>
      <c r="AI36" s="48">
        <f t="shared" si="3"/>
        <v>3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2</v>
      </c>
      <c r="AB37" s="45">
        <v>2</v>
      </c>
      <c r="AC37" s="45">
        <v>2</v>
      </c>
      <c r="AD37" s="45">
        <v>2</v>
      </c>
      <c r="AE37" s="45">
        <v>0</v>
      </c>
      <c r="AF37" s="45">
        <v>0</v>
      </c>
      <c r="AG37" s="50">
        <v>12</v>
      </c>
      <c r="AH37" s="47">
        <f t="shared" si="2"/>
        <v>6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12</v>
      </c>
      <c r="C38" s="45">
        <v>12</v>
      </c>
      <c r="D38" s="45">
        <v>12</v>
      </c>
      <c r="E38" s="45">
        <v>12</v>
      </c>
      <c r="F38" s="45">
        <v>12</v>
      </c>
      <c r="G38" s="45">
        <v>12</v>
      </c>
      <c r="H38" s="45">
        <v>12</v>
      </c>
      <c r="I38" s="45">
        <v>12</v>
      </c>
      <c r="J38" s="45">
        <v>12</v>
      </c>
      <c r="K38" s="45">
        <v>12</v>
      </c>
      <c r="L38" s="45">
        <v>12</v>
      </c>
      <c r="M38" s="45">
        <v>12</v>
      </c>
      <c r="N38" s="45">
        <v>12</v>
      </c>
      <c r="O38" s="45">
        <v>12</v>
      </c>
      <c r="P38" s="45">
        <v>12</v>
      </c>
      <c r="Q38" s="45">
        <v>12</v>
      </c>
      <c r="R38" s="45">
        <v>12</v>
      </c>
      <c r="S38" s="45">
        <v>12</v>
      </c>
      <c r="T38" s="45">
        <v>12</v>
      </c>
      <c r="U38" s="45">
        <v>12</v>
      </c>
      <c r="V38" s="45">
        <v>12</v>
      </c>
      <c r="W38" s="45">
        <v>12</v>
      </c>
      <c r="X38" s="45">
        <v>12</v>
      </c>
      <c r="Y38" s="45">
        <v>12</v>
      </c>
      <c r="Z38" s="45">
        <v>12</v>
      </c>
      <c r="AA38" s="45">
        <v>4</v>
      </c>
      <c r="AB38" s="45">
        <v>4</v>
      </c>
      <c r="AC38" s="45">
        <v>4</v>
      </c>
      <c r="AD38" s="45">
        <v>4</v>
      </c>
      <c r="AE38" s="45">
        <v>4</v>
      </c>
      <c r="AF38" s="45">
        <v>4</v>
      </c>
      <c r="AG38" s="50">
        <v>12</v>
      </c>
      <c r="AH38" s="47">
        <f t="shared" si="2"/>
        <v>12</v>
      </c>
      <c r="AI38" s="48">
        <f t="shared" si="3"/>
        <v>4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>
        <v>11</v>
      </c>
      <c r="AB39" s="45">
        <v>11</v>
      </c>
      <c r="AC39" s="45">
        <v>11</v>
      </c>
      <c r="AD39" s="45">
        <v>11</v>
      </c>
      <c r="AE39" s="45">
        <v>11</v>
      </c>
      <c r="AF39" s="45">
        <v>11</v>
      </c>
      <c r="AG39" s="50">
        <v>12</v>
      </c>
      <c r="AH39" s="47">
        <f t="shared" si="2"/>
        <v>11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44" t="s">
        <v>48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7</v>
      </c>
      <c r="AB40" s="45">
        <v>7</v>
      </c>
      <c r="AC40" s="45">
        <v>7</v>
      </c>
      <c r="AD40" s="45">
        <v>7</v>
      </c>
      <c r="AE40" s="45">
        <v>7</v>
      </c>
      <c r="AF40" s="45">
        <v>7</v>
      </c>
      <c r="AG40" s="52">
        <v>22</v>
      </c>
      <c r="AH40" s="47">
        <f t="shared" si="2"/>
        <v>7</v>
      </c>
      <c r="AI40" s="48">
        <f t="shared" si="3"/>
        <v>2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4.25" customHeight="1" x14ac:dyDescent="0.25">
      <c r="A41" s="44" t="s">
        <v>49</v>
      </c>
      <c r="B41" s="45">
        <v>3.6</v>
      </c>
      <c r="C41" s="45">
        <v>3.6</v>
      </c>
      <c r="D41" s="45">
        <v>3.6</v>
      </c>
      <c r="E41" s="45">
        <v>3.6</v>
      </c>
      <c r="F41" s="45">
        <v>3.6</v>
      </c>
      <c r="G41" s="45">
        <v>3.6</v>
      </c>
      <c r="H41" s="45">
        <v>3.6</v>
      </c>
      <c r="I41" s="45">
        <v>3.6</v>
      </c>
      <c r="J41" s="45">
        <v>3.6</v>
      </c>
      <c r="K41" s="45">
        <v>3.6</v>
      </c>
      <c r="L41" s="45">
        <v>3.6</v>
      </c>
      <c r="M41" s="45">
        <v>3.6</v>
      </c>
      <c r="N41" s="45">
        <v>3.6</v>
      </c>
      <c r="O41" s="45">
        <v>3.6</v>
      </c>
      <c r="P41" s="45">
        <v>3.6</v>
      </c>
      <c r="Q41" s="45">
        <v>3.6</v>
      </c>
      <c r="R41" s="45">
        <v>3.6</v>
      </c>
      <c r="S41" s="45">
        <v>3.6</v>
      </c>
      <c r="T41" s="45">
        <v>3.6</v>
      </c>
      <c r="U41" s="45">
        <v>3.6</v>
      </c>
      <c r="V41" s="45">
        <v>3.6</v>
      </c>
      <c r="W41" s="45">
        <v>3.6</v>
      </c>
      <c r="X41" s="45">
        <v>3.6</v>
      </c>
      <c r="Y41" s="45">
        <v>3.6</v>
      </c>
      <c r="Z41" s="45">
        <v>3.6</v>
      </c>
      <c r="AA41" s="45">
        <v>3.6</v>
      </c>
      <c r="AB41" s="45">
        <v>3.6</v>
      </c>
      <c r="AC41" s="45">
        <v>3.6</v>
      </c>
      <c r="AD41" s="45">
        <v>3.6</v>
      </c>
      <c r="AE41" s="45">
        <v>3.6</v>
      </c>
      <c r="AF41" s="45">
        <v>3.6</v>
      </c>
      <c r="AG41" s="51">
        <v>11.88</v>
      </c>
      <c r="AH41" s="47">
        <f t="shared" si="2"/>
        <v>3.6</v>
      </c>
      <c r="AI41" s="48">
        <f t="shared" si="3"/>
        <v>3.6</v>
      </c>
      <c r="AK41" s="49"/>
      <c r="AL41" s="28"/>
      <c r="AM41" s="24"/>
      <c r="AN41" s="24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53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4">
        <v>11</v>
      </c>
      <c r="AH42" s="47">
        <f t="shared" si="2"/>
        <v>5</v>
      </c>
      <c r="AI42" s="48">
        <f t="shared" si="3"/>
        <v>5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53" t="s">
        <v>51</v>
      </c>
      <c r="B43" s="45">
        <v>0</v>
      </c>
      <c r="C43" s="45">
        <v>0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9</v>
      </c>
      <c r="AC43" s="45">
        <v>9</v>
      </c>
      <c r="AD43" s="45">
        <v>9</v>
      </c>
      <c r="AE43" s="45">
        <v>9</v>
      </c>
      <c r="AF43" s="45">
        <v>9</v>
      </c>
      <c r="AG43" s="54">
        <v>10</v>
      </c>
      <c r="AH43" s="47">
        <f t="shared" si="2"/>
        <v>9</v>
      </c>
      <c r="AI43" s="48">
        <f t="shared" si="3"/>
        <v>0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53" t="s">
        <v>52</v>
      </c>
      <c r="B44" s="45">
        <v>3</v>
      </c>
      <c r="C44" s="45">
        <v>3</v>
      </c>
      <c r="D44" s="45">
        <v>3</v>
      </c>
      <c r="E44" s="45">
        <v>3</v>
      </c>
      <c r="F44" s="45">
        <v>3</v>
      </c>
      <c r="G44" s="45">
        <v>3</v>
      </c>
      <c r="H44" s="45">
        <v>3</v>
      </c>
      <c r="I44" s="45">
        <v>3</v>
      </c>
      <c r="J44" s="45">
        <v>3</v>
      </c>
      <c r="K44" s="45">
        <v>3</v>
      </c>
      <c r="L44" s="45">
        <v>3</v>
      </c>
      <c r="M44" s="45">
        <v>3</v>
      </c>
      <c r="N44" s="45">
        <v>3</v>
      </c>
      <c r="O44" s="45">
        <v>3</v>
      </c>
      <c r="P44" s="45">
        <v>3</v>
      </c>
      <c r="Q44" s="45">
        <v>3</v>
      </c>
      <c r="R44" s="45">
        <v>3</v>
      </c>
      <c r="S44" s="45">
        <v>3</v>
      </c>
      <c r="T44" s="45">
        <v>3</v>
      </c>
      <c r="U44" s="45">
        <v>3</v>
      </c>
      <c r="V44" s="45">
        <v>3</v>
      </c>
      <c r="W44" s="45">
        <v>3</v>
      </c>
      <c r="X44" s="45">
        <v>3</v>
      </c>
      <c r="Y44" s="45">
        <v>3</v>
      </c>
      <c r="Z44" s="45">
        <v>3</v>
      </c>
      <c r="AA44" s="45">
        <v>10</v>
      </c>
      <c r="AB44" s="45">
        <v>10</v>
      </c>
      <c r="AC44" s="45">
        <v>10</v>
      </c>
      <c r="AD44" s="45">
        <v>10</v>
      </c>
      <c r="AE44" s="45">
        <v>10</v>
      </c>
      <c r="AF44" s="45">
        <v>10</v>
      </c>
      <c r="AG44" s="54">
        <v>10</v>
      </c>
      <c r="AH44" s="47">
        <f t="shared" si="2"/>
        <v>10</v>
      </c>
      <c r="AI44" s="48">
        <f t="shared" si="3"/>
        <v>3</v>
      </c>
      <c r="AK44" s="49"/>
      <c r="AL44" s="28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5" t="s">
        <v>54</v>
      </c>
      <c r="B46" s="56">
        <v>225</v>
      </c>
      <c r="C46" s="56">
        <v>225</v>
      </c>
      <c r="D46" s="56">
        <v>225</v>
      </c>
      <c r="E46" s="56">
        <v>225</v>
      </c>
      <c r="F46" s="56">
        <v>225</v>
      </c>
      <c r="G46" s="56">
        <v>225</v>
      </c>
      <c r="H46" s="56">
        <v>225</v>
      </c>
      <c r="I46" s="56">
        <v>225</v>
      </c>
      <c r="J46" s="56">
        <v>225</v>
      </c>
      <c r="K46" s="56">
        <v>225</v>
      </c>
      <c r="L46" s="56">
        <v>225</v>
      </c>
      <c r="M46" s="56">
        <v>225</v>
      </c>
      <c r="N46" s="56">
        <v>225</v>
      </c>
      <c r="O46" s="56">
        <v>225</v>
      </c>
      <c r="P46" s="56">
        <v>225</v>
      </c>
      <c r="Q46" s="56">
        <v>225</v>
      </c>
      <c r="R46" s="56">
        <v>225</v>
      </c>
      <c r="S46" s="56">
        <v>225</v>
      </c>
      <c r="T46" s="56">
        <v>225</v>
      </c>
      <c r="U46" s="56">
        <v>225</v>
      </c>
      <c r="V46" s="56">
        <v>225</v>
      </c>
      <c r="W46" s="56">
        <v>225</v>
      </c>
      <c r="X46" s="56">
        <v>225</v>
      </c>
      <c r="Y46" s="56">
        <v>225</v>
      </c>
      <c r="Z46" s="56">
        <v>225</v>
      </c>
      <c r="AA46" s="56">
        <v>225</v>
      </c>
      <c r="AB46" s="56">
        <v>225</v>
      </c>
      <c r="AC46" s="56">
        <v>225</v>
      </c>
      <c r="AD46" s="56">
        <v>225</v>
      </c>
      <c r="AE46" s="56">
        <v>225</v>
      </c>
      <c r="AF46" s="56">
        <v>225</v>
      </c>
      <c r="AG46" s="54">
        <v>85</v>
      </c>
      <c r="AH46" s="47">
        <f t="shared" si="2"/>
        <v>225</v>
      </c>
      <c r="AI46" s="48">
        <f t="shared" si="3"/>
        <v>225</v>
      </c>
      <c r="AK46" s="49"/>
    </row>
    <row r="47" spans="1:88" ht="15.75" thickBot="1" x14ac:dyDescent="0.3">
      <c r="A47" s="57" t="s">
        <v>55</v>
      </c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6"/>
      <c r="Y47" s="56"/>
      <c r="Z47" s="56"/>
      <c r="AA47" s="56"/>
      <c r="AB47" s="56"/>
      <c r="AC47" s="56"/>
      <c r="AD47" s="56"/>
      <c r="AE47" s="56"/>
      <c r="AF47" s="56"/>
      <c r="AG47" s="54">
        <v>240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59" t="s">
        <v>56</v>
      </c>
      <c r="B48" s="60">
        <v>607.79999999999995</v>
      </c>
      <c r="C48" s="60">
        <f t="shared" ref="C48:AF48" si="4">SUM(C11:C46)</f>
        <v>607.79999999999995</v>
      </c>
      <c r="D48" s="60">
        <f t="shared" si="4"/>
        <v>603.79999999999995</v>
      </c>
      <c r="E48" s="60">
        <f t="shared" si="4"/>
        <v>603.79999999999995</v>
      </c>
      <c r="F48" s="60">
        <f t="shared" si="4"/>
        <v>603.79999999999995</v>
      </c>
      <c r="G48" s="60">
        <f t="shared" si="4"/>
        <v>603.79999999999995</v>
      </c>
      <c r="H48" s="60">
        <f t="shared" si="4"/>
        <v>603.79999999999995</v>
      </c>
      <c r="I48" s="60">
        <f t="shared" si="4"/>
        <v>603.79999999999995</v>
      </c>
      <c r="J48" s="60">
        <f t="shared" si="4"/>
        <v>603.79999999999995</v>
      </c>
      <c r="K48" s="60">
        <f t="shared" si="4"/>
        <v>603.79999999999995</v>
      </c>
      <c r="L48" s="60">
        <f t="shared" si="4"/>
        <v>603.79999999999995</v>
      </c>
      <c r="M48" s="60">
        <f t="shared" si="4"/>
        <v>608.20000000000005</v>
      </c>
      <c r="N48" s="60">
        <f t="shared" si="4"/>
        <v>587.20000000000005</v>
      </c>
      <c r="O48" s="60">
        <f t="shared" si="4"/>
        <v>605</v>
      </c>
      <c r="P48" s="60">
        <f t="shared" si="4"/>
        <v>597.9</v>
      </c>
      <c r="Q48" s="60">
        <f t="shared" si="4"/>
        <v>602.9</v>
      </c>
      <c r="R48" s="60">
        <f t="shared" si="4"/>
        <v>602.9</v>
      </c>
      <c r="S48" s="60">
        <f t="shared" si="4"/>
        <v>613.9</v>
      </c>
      <c r="T48" s="60">
        <f t="shared" si="4"/>
        <v>533.70000000000005</v>
      </c>
      <c r="U48" s="60">
        <f t="shared" si="4"/>
        <v>562.69999999999993</v>
      </c>
      <c r="V48" s="60">
        <f t="shared" si="4"/>
        <v>520.40000000000009</v>
      </c>
      <c r="W48" s="60">
        <f t="shared" si="4"/>
        <v>541.40000000000009</v>
      </c>
      <c r="X48" s="60">
        <f t="shared" si="4"/>
        <v>541.40000000000009</v>
      </c>
      <c r="Y48" s="60">
        <f t="shared" si="4"/>
        <v>541.40000000000009</v>
      </c>
      <c r="Z48" s="60">
        <f t="shared" si="4"/>
        <v>541.40000000000009</v>
      </c>
      <c r="AA48" s="60">
        <f t="shared" si="4"/>
        <v>617.9</v>
      </c>
      <c r="AB48" s="60">
        <f t="shared" si="4"/>
        <v>663.2</v>
      </c>
      <c r="AC48" s="60">
        <f>SUM(AC11:AC46)</f>
        <v>671.8</v>
      </c>
      <c r="AD48" s="60">
        <f t="shared" si="4"/>
        <v>672.8</v>
      </c>
      <c r="AE48" s="60">
        <f t="shared" si="4"/>
        <v>672.2</v>
      </c>
      <c r="AF48" s="60">
        <f t="shared" si="4"/>
        <v>672.2</v>
      </c>
      <c r="AG48" s="61">
        <f>SUM(AG12:AG46)</f>
        <v>875.68</v>
      </c>
      <c r="AH48" s="47">
        <f t="shared" si="2"/>
        <v>672.8</v>
      </c>
      <c r="AI48" s="48">
        <f t="shared" si="3"/>
        <v>520.40000000000009</v>
      </c>
      <c r="AK48" s="49"/>
    </row>
    <row r="49" spans="1:41" x14ac:dyDescent="0.25">
      <c r="A49" s="62" t="s">
        <v>57</v>
      </c>
      <c r="B49" s="45">
        <v>430</v>
      </c>
      <c r="C49" s="45">
        <v>190</v>
      </c>
      <c r="D49" s="45">
        <v>110</v>
      </c>
      <c r="E49" s="45">
        <v>125</v>
      </c>
      <c r="F49" s="45">
        <v>110</v>
      </c>
      <c r="G49" s="45">
        <v>110</v>
      </c>
      <c r="H49" s="45">
        <v>110</v>
      </c>
      <c r="I49" s="45">
        <v>110</v>
      </c>
      <c r="J49" s="45">
        <v>120</v>
      </c>
      <c r="K49" s="45">
        <v>80</v>
      </c>
      <c r="L49" s="45">
        <v>90</v>
      </c>
      <c r="M49" s="63">
        <v>60</v>
      </c>
      <c r="N49" s="63">
        <v>55</v>
      </c>
      <c r="O49" s="63">
        <v>55</v>
      </c>
      <c r="P49" s="45">
        <v>100</v>
      </c>
      <c r="Q49" s="45">
        <v>100</v>
      </c>
      <c r="R49" s="45">
        <v>100</v>
      </c>
      <c r="S49" s="45">
        <v>150</v>
      </c>
      <c r="T49" s="45">
        <v>80</v>
      </c>
      <c r="U49" s="45">
        <v>104</v>
      </c>
      <c r="V49" s="45">
        <v>76</v>
      </c>
      <c r="W49" s="45">
        <v>0</v>
      </c>
      <c r="X49" s="45">
        <v>0</v>
      </c>
      <c r="Y49" s="45">
        <v>0</v>
      </c>
      <c r="Z49" s="45">
        <v>0</v>
      </c>
      <c r="AA49" s="45">
        <v>0</v>
      </c>
      <c r="AB49" s="45">
        <v>15</v>
      </c>
      <c r="AC49" s="45">
        <v>60</v>
      </c>
      <c r="AD49" s="45">
        <v>80</v>
      </c>
      <c r="AE49" s="45">
        <v>105</v>
      </c>
      <c r="AF49" s="45">
        <v>90</v>
      </c>
      <c r="AG49" s="51">
        <v>456</v>
      </c>
      <c r="AH49" s="47">
        <f t="shared" si="2"/>
        <v>430</v>
      </c>
      <c r="AI49" s="48">
        <f t="shared" si="3"/>
        <v>0</v>
      </c>
      <c r="AK49" s="49"/>
    </row>
    <row r="50" spans="1:41" x14ac:dyDescent="0.25">
      <c r="A50" s="64" t="s">
        <v>58</v>
      </c>
      <c r="B50" s="65">
        <v>32</v>
      </c>
      <c r="C50" s="65">
        <v>32</v>
      </c>
      <c r="D50" s="65">
        <v>32</v>
      </c>
      <c r="E50" s="65">
        <v>32</v>
      </c>
      <c r="F50" s="65">
        <v>32</v>
      </c>
      <c r="G50" s="65">
        <v>32</v>
      </c>
      <c r="H50" s="65">
        <v>32</v>
      </c>
      <c r="I50" s="65">
        <v>32</v>
      </c>
      <c r="J50" s="65">
        <v>32</v>
      </c>
      <c r="K50" s="65">
        <v>32</v>
      </c>
      <c r="L50" s="65">
        <v>32</v>
      </c>
      <c r="M50" s="65">
        <v>32</v>
      </c>
      <c r="N50" s="65">
        <v>32</v>
      </c>
      <c r="O50" s="65">
        <v>32</v>
      </c>
      <c r="P50" s="65">
        <v>32</v>
      </c>
      <c r="Q50" s="65">
        <v>32</v>
      </c>
      <c r="R50" s="65">
        <v>32</v>
      </c>
      <c r="S50" s="65">
        <v>32</v>
      </c>
      <c r="T50" s="65">
        <v>41</v>
      </c>
      <c r="U50" s="65">
        <v>45</v>
      </c>
      <c r="V50" s="65">
        <v>45</v>
      </c>
      <c r="W50" s="65">
        <v>45</v>
      </c>
      <c r="X50" s="65">
        <v>51</v>
      </c>
      <c r="Y50" s="65">
        <v>51</v>
      </c>
      <c r="Z50" s="65">
        <v>51</v>
      </c>
      <c r="AA50" s="65">
        <v>55</v>
      </c>
      <c r="AB50" s="65">
        <v>55</v>
      </c>
      <c r="AC50" s="65">
        <v>55</v>
      </c>
      <c r="AD50" s="65">
        <v>55</v>
      </c>
      <c r="AE50" s="65">
        <v>55</v>
      </c>
      <c r="AF50" s="65">
        <v>55</v>
      </c>
      <c r="AG50" s="54">
        <v>60</v>
      </c>
      <c r="AH50" s="47">
        <f t="shared" si="2"/>
        <v>55</v>
      </c>
      <c r="AI50" s="48">
        <f t="shared" si="3"/>
        <v>32</v>
      </c>
      <c r="AK50" s="49"/>
    </row>
    <row r="51" spans="1:41" ht="15.75" thickBot="1" x14ac:dyDescent="0.3">
      <c r="A51" s="66" t="s">
        <v>59</v>
      </c>
      <c r="B51" s="67">
        <v>19.600000000000001</v>
      </c>
      <c r="C51" s="67">
        <v>19.600000000000001</v>
      </c>
      <c r="D51" s="67">
        <v>19.600000000000001</v>
      </c>
      <c r="E51" s="67">
        <v>19.600000000000001</v>
      </c>
      <c r="F51" s="67">
        <v>19.600000000000001</v>
      </c>
      <c r="G51" s="67">
        <v>19.600000000000001</v>
      </c>
      <c r="H51" s="67">
        <v>19.600000000000001</v>
      </c>
      <c r="I51" s="67">
        <v>19.600000000000001</v>
      </c>
      <c r="J51" s="67">
        <v>19.600000000000001</v>
      </c>
      <c r="K51" s="67">
        <v>19.600000000000001</v>
      </c>
      <c r="L51" s="67">
        <v>19.600000000000001</v>
      </c>
      <c r="M51" s="67">
        <v>19.600000000000001</v>
      </c>
      <c r="N51" s="67">
        <v>19.600000000000001</v>
      </c>
      <c r="O51" s="67">
        <v>19.600000000000001</v>
      </c>
      <c r="P51" s="67">
        <v>20.6</v>
      </c>
      <c r="Q51" s="67">
        <v>20.6</v>
      </c>
      <c r="R51" s="67">
        <v>20.6</v>
      </c>
      <c r="S51" s="67">
        <v>20.6</v>
      </c>
      <c r="T51" s="67">
        <v>20.6</v>
      </c>
      <c r="U51" s="67">
        <v>20.6</v>
      </c>
      <c r="V51" s="67">
        <v>20.6</v>
      </c>
      <c r="W51" s="67">
        <v>20.6</v>
      </c>
      <c r="X51" s="67">
        <v>20.6</v>
      </c>
      <c r="Y51" s="67">
        <v>20.6</v>
      </c>
      <c r="Z51" s="67">
        <v>20.6</v>
      </c>
      <c r="AA51" s="67">
        <v>20.6</v>
      </c>
      <c r="AB51" s="67">
        <v>22</v>
      </c>
      <c r="AC51" s="67">
        <v>22</v>
      </c>
      <c r="AD51" s="67">
        <v>22</v>
      </c>
      <c r="AE51" s="67">
        <v>22.1</v>
      </c>
      <c r="AF51" s="67">
        <v>22.1</v>
      </c>
      <c r="AG51" s="68">
        <v>22.1</v>
      </c>
      <c r="AH51" s="47">
        <f t="shared" si="2"/>
        <v>22.1</v>
      </c>
      <c r="AI51" s="48">
        <f t="shared" si="3"/>
        <v>19.600000000000001</v>
      </c>
      <c r="AK51" s="49"/>
    </row>
    <row r="52" spans="1:41" ht="15.75" thickBot="1" x14ac:dyDescent="0.3">
      <c r="A52" s="69" t="s">
        <v>60</v>
      </c>
      <c r="B52" s="60">
        <v>451.6</v>
      </c>
      <c r="C52" s="60">
        <f t="shared" ref="C52:AG52" si="5">SUM(C49:C51)</f>
        <v>241.6</v>
      </c>
      <c r="D52" s="60">
        <f t="shared" si="5"/>
        <v>161.6</v>
      </c>
      <c r="E52" s="60">
        <f t="shared" si="5"/>
        <v>176.6</v>
      </c>
      <c r="F52" s="60">
        <f t="shared" si="5"/>
        <v>161.6</v>
      </c>
      <c r="G52" s="60">
        <f t="shared" si="5"/>
        <v>161.6</v>
      </c>
      <c r="H52" s="60">
        <f t="shared" si="5"/>
        <v>161.6</v>
      </c>
      <c r="I52" s="60">
        <f t="shared" si="5"/>
        <v>161.6</v>
      </c>
      <c r="J52" s="60">
        <f t="shared" si="5"/>
        <v>171.6</v>
      </c>
      <c r="K52" s="60">
        <f t="shared" si="5"/>
        <v>131.6</v>
      </c>
      <c r="L52" s="60">
        <f t="shared" si="5"/>
        <v>141.6</v>
      </c>
      <c r="M52" s="60">
        <f t="shared" si="5"/>
        <v>111.6</v>
      </c>
      <c r="N52" s="60">
        <f t="shared" si="5"/>
        <v>106.6</v>
      </c>
      <c r="O52" s="60">
        <f t="shared" si="5"/>
        <v>106.6</v>
      </c>
      <c r="P52" s="60">
        <f t="shared" si="5"/>
        <v>152.6</v>
      </c>
      <c r="Q52" s="60">
        <f t="shared" si="5"/>
        <v>152.6</v>
      </c>
      <c r="R52" s="60">
        <f t="shared" si="5"/>
        <v>152.6</v>
      </c>
      <c r="S52" s="60">
        <f t="shared" si="5"/>
        <v>202.6</v>
      </c>
      <c r="T52" s="60">
        <f t="shared" si="5"/>
        <v>141.6</v>
      </c>
      <c r="U52" s="60">
        <f t="shared" si="5"/>
        <v>169.6</v>
      </c>
      <c r="V52" s="60">
        <f t="shared" si="5"/>
        <v>141.6</v>
      </c>
      <c r="W52" s="60">
        <f t="shared" si="5"/>
        <v>65.599999999999994</v>
      </c>
      <c r="X52" s="60">
        <f t="shared" si="5"/>
        <v>71.599999999999994</v>
      </c>
      <c r="Y52" s="60">
        <f t="shared" si="5"/>
        <v>71.599999999999994</v>
      </c>
      <c r="Z52" s="60">
        <f t="shared" si="5"/>
        <v>71.599999999999994</v>
      </c>
      <c r="AA52" s="60">
        <f t="shared" si="5"/>
        <v>75.599999999999994</v>
      </c>
      <c r="AB52" s="60">
        <f t="shared" si="5"/>
        <v>92</v>
      </c>
      <c r="AC52" s="60">
        <f>SUM(AC49:AC51)</f>
        <v>137</v>
      </c>
      <c r="AD52" s="60">
        <f t="shared" si="5"/>
        <v>157</v>
      </c>
      <c r="AE52" s="60">
        <f t="shared" si="5"/>
        <v>182.1</v>
      </c>
      <c r="AF52" s="60">
        <f t="shared" si="5"/>
        <v>167.1</v>
      </c>
      <c r="AG52" s="61">
        <f t="shared" si="5"/>
        <v>538.1</v>
      </c>
      <c r="AH52" s="47">
        <f t="shared" si="2"/>
        <v>451.6</v>
      </c>
      <c r="AI52" s="48">
        <f t="shared" si="3"/>
        <v>65.599999999999994</v>
      </c>
      <c r="AK52" s="49"/>
    </row>
    <row r="53" spans="1:41" x14ac:dyDescent="0.25">
      <c r="A53" s="44" t="s">
        <v>61</v>
      </c>
      <c r="B53" s="45">
        <v>145</v>
      </c>
      <c r="C53" s="45">
        <v>145</v>
      </c>
      <c r="D53" s="45">
        <v>135</v>
      </c>
      <c r="E53" s="45">
        <v>135</v>
      </c>
      <c r="F53" s="45">
        <v>135</v>
      </c>
      <c r="G53" s="45">
        <v>135</v>
      </c>
      <c r="H53" s="45">
        <v>120</v>
      </c>
      <c r="I53" s="45">
        <v>125</v>
      </c>
      <c r="J53" s="45">
        <v>125</v>
      </c>
      <c r="K53" s="45">
        <v>140</v>
      </c>
      <c r="L53" s="45">
        <v>140</v>
      </c>
      <c r="M53" s="45">
        <v>136</v>
      </c>
      <c r="N53" s="45">
        <v>90.6</v>
      </c>
      <c r="O53" s="45">
        <v>106</v>
      </c>
      <c r="P53" s="45">
        <v>135</v>
      </c>
      <c r="Q53" s="45">
        <v>131.69999999999999</v>
      </c>
      <c r="R53" s="45">
        <v>116</v>
      </c>
      <c r="S53" s="45">
        <v>111</v>
      </c>
      <c r="T53" s="45">
        <v>141</v>
      </c>
      <c r="U53" s="45">
        <v>144</v>
      </c>
      <c r="V53" s="45">
        <v>144</v>
      </c>
      <c r="W53" s="45">
        <v>132</v>
      </c>
      <c r="X53" s="45">
        <v>112</v>
      </c>
      <c r="Y53" s="45">
        <v>112</v>
      </c>
      <c r="Z53" s="45">
        <v>112</v>
      </c>
      <c r="AA53" s="45">
        <v>144.4</v>
      </c>
      <c r="AB53" s="45">
        <v>144.1</v>
      </c>
      <c r="AC53" s="45">
        <v>122.1</v>
      </c>
      <c r="AD53" s="45">
        <v>122</v>
      </c>
      <c r="AE53" s="45">
        <v>111.6</v>
      </c>
      <c r="AF53" s="45">
        <v>91.4</v>
      </c>
      <c r="AG53" s="51">
        <v>144</v>
      </c>
      <c r="AH53" s="47">
        <f t="shared" si="2"/>
        <v>145</v>
      </c>
      <c r="AI53" s="48">
        <f t="shared" si="3"/>
        <v>90.6</v>
      </c>
      <c r="AK53" s="49"/>
    </row>
    <row r="54" spans="1:41" x14ac:dyDescent="0.25">
      <c r="A54" s="53" t="s">
        <v>62</v>
      </c>
      <c r="B54" s="65">
        <v>23</v>
      </c>
      <c r="C54" s="65">
        <v>35</v>
      </c>
      <c r="D54" s="65">
        <v>35</v>
      </c>
      <c r="E54" s="65">
        <v>35</v>
      </c>
      <c r="F54" s="65">
        <v>35</v>
      </c>
      <c r="G54" s="65">
        <v>35</v>
      </c>
      <c r="H54" s="65">
        <v>35</v>
      </c>
      <c r="I54" s="65">
        <v>50</v>
      </c>
      <c r="J54" s="65">
        <v>50</v>
      </c>
      <c r="K54" s="65">
        <v>70</v>
      </c>
      <c r="L54" s="65">
        <v>70.599999999999994</v>
      </c>
      <c r="M54" s="65">
        <v>69.8</v>
      </c>
      <c r="N54" s="65">
        <v>70.8</v>
      </c>
      <c r="O54" s="65">
        <v>69.900000000000006</v>
      </c>
      <c r="P54" s="65">
        <v>69.900000000000006</v>
      </c>
      <c r="Q54" s="65">
        <v>45.7</v>
      </c>
      <c r="R54" s="65">
        <v>40.1</v>
      </c>
      <c r="S54" s="65">
        <v>42.1</v>
      </c>
      <c r="T54" s="65">
        <v>69</v>
      </c>
      <c r="U54" s="45">
        <v>70.900000000000006</v>
      </c>
      <c r="V54" s="45">
        <v>70.900000000000006</v>
      </c>
      <c r="W54" s="45">
        <v>59</v>
      </c>
      <c r="X54" s="45">
        <v>59</v>
      </c>
      <c r="Y54" s="45">
        <v>47.5</v>
      </c>
      <c r="Z54" s="45">
        <v>68.2</v>
      </c>
      <c r="AA54" s="45">
        <v>72.099999999999994</v>
      </c>
      <c r="AB54" s="65">
        <v>70.8</v>
      </c>
      <c r="AC54" s="65">
        <v>69.900000000000006</v>
      </c>
      <c r="AD54" s="65">
        <v>68.8</v>
      </c>
      <c r="AE54" s="65">
        <v>69.900000000000006</v>
      </c>
      <c r="AF54" s="65">
        <v>70.900000000000006</v>
      </c>
      <c r="AG54" s="54">
        <v>70</v>
      </c>
      <c r="AH54" s="47">
        <f t="shared" si="2"/>
        <v>72.099999999999994</v>
      </c>
      <c r="AI54" s="48">
        <f t="shared" si="3"/>
        <v>23</v>
      </c>
      <c r="AK54" s="49"/>
    </row>
    <row r="55" spans="1:41" x14ac:dyDescent="0.25">
      <c r="A55" s="53" t="s">
        <v>63</v>
      </c>
      <c r="B55" s="65">
        <v>65</v>
      </c>
      <c r="C55" s="65">
        <v>70</v>
      </c>
      <c r="D55" s="65">
        <v>70</v>
      </c>
      <c r="E55" s="65">
        <v>60</v>
      </c>
      <c r="F55" s="65">
        <v>60</v>
      </c>
      <c r="G55" s="65">
        <v>60</v>
      </c>
      <c r="H55" s="65">
        <v>60</v>
      </c>
      <c r="I55" s="65">
        <v>60</v>
      </c>
      <c r="J55" s="65">
        <v>60</v>
      </c>
      <c r="K55" s="65">
        <v>60</v>
      </c>
      <c r="L55" s="65">
        <v>63.5</v>
      </c>
      <c r="M55" s="65">
        <v>63.4</v>
      </c>
      <c r="N55" s="65">
        <v>52.1</v>
      </c>
      <c r="O55" s="65">
        <v>69.400000000000006</v>
      </c>
      <c r="P55" s="65">
        <v>69.400000000000006</v>
      </c>
      <c r="Q55" s="65">
        <v>46.6</v>
      </c>
      <c r="R55" s="65">
        <v>66.099999999999994</v>
      </c>
      <c r="S55" s="65">
        <v>49.1</v>
      </c>
      <c r="T55" s="65">
        <v>63</v>
      </c>
      <c r="U55" s="45">
        <v>70.7</v>
      </c>
      <c r="V55" s="45">
        <v>70.7</v>
      </c>
      <c r="W55" s="45">
        <v>70.7</v>
      </c>
      <c r="X55" s="45">
        <v>60.6</v>
      </c>
      <c r="Y55" s="45">
        <v>52</v>
      </c>
      <c r="Z55" s="45">
        <v>48.3</v>
      </c>
      <c r="AA55" s="45">
        <v>70.3</v>
      </c>
      <c r="AB55" s="65">
        <v>70.400000000000006</v>
      </c>
      <c r="AC55" s="65">
        <v>70.2</v>
      </c>
      <c r="AD55" s="65">
        <v>70.2</v>
      </c>
      <c r="AE55" s="65">
        <v>70.5</v>
      </c>
      <c r="AF55" s="65">
        <v>68</v>
      </c>
      <c r="AG55" s="54">
        <v>69</v>
      </c>
      <c r="AH55" s="47">
        <f t="shared" si="2"/>
        <v>70.7</v>
      </c>
      <c r="AI55" s="48">
        <f t="shared" si="3"/>
        <v>46.6</v>
      </c>
      <c r="AK55" s="49"/>
    </row>
    <row r="56" spans="1:41" x14ac:dyDescent="0.25">
      <c r="A56" s="53" t="s">
        <v>64</v>
      </c>
      <c r="B56" s="65">
        <v>58.5</v>
      </c>
      <c r="C56" s="65">
        <v>58.5</v>
      </c>
      <c r="D56" s="65">
        <v>58.5</v>
      </c>
      <c r="E56" s="65">
        <v>58.5</v>
      </c>
      <c r="F56" s="65">
        <v>58.5</v>
      </c>
      <c r="G56" s="65">
        <v>58.5</v>
      </c>
      <c r="H56" s="65">
        <v>58.5</v>
      </c>
      <c r="I56" s="65">
        <v>58.5</v>
      </c>
      <c r="J56" s="65">
        <v>58.5</v>
      </c>
      <c r="K56" s="65">
        <v>58.5</v>
      </c>
      <c r="L56" s="56">
        <v>60</v>
      </c>
      <c r="M56" s="65">
        <v>60</v>
      </c>
      <c r="N56" s="65">
        <v>60</v>
      </c>
      <c r="O56" s="65">
        <v>60.2</v>
      </c>
      <c r="P56" s="65">
        <v>60.2</v>
      </c>
      <c r="Q56" s="65">
        <v>60</v>
      </c>
      <c r="R56" s="65">
        <v>60</v>
      </c>
      <c r="S56" s="65">
        <v>60</v>
      </c>
      <c r="T56" s="65">
        <v>60</v>
      </c>
      <c r="U56" s="45">
        <v>60</v>
      </c>
      <c r="V56" s="45">
        <v>60</v>
      </c>
      <c r="W56" s="45">
        <v>60</v>
      </c>
      <c r="X56" s="45">
        <v>60</v>
      </c>
      <c r="Y56" s="45">
        <v>60</v>
      </c>
      <c r="Z56" s="45">
        <v>60</v>
      </c>
      <c r="AA56" s="45">
        <v>60</v>
      </c>
      <c r="AB56" s="65">
        <v>60.4</v>
      </c>
      <c r="AC56" s="65">
        <v>60.7</v>
      </c>
      <c r="AD56" s="65">
        <v>60.4</v>
      </c>
      <c r="AE56" s="65">
        <v>60.4</v>
      </c>
      <c r="AF56" s="65">
        <v>60.4</v>
      </c>
      <c r="AG56" s="54">
        <v>60</v>
      </c>
      <c r="AH56" s="47">
        <f t="shared" si="2"/>
        <v>60.7</v>
      </c>
      <c r="AI56" s="48">
        <f t="shared" si="3"/>
        <v>58.5</v>
      </c>
      <c r="AK56" s="49"/>
    </row>
    <row r="57" spans="1:41" x14ac:dyDescent="0.25">
      <c r="A57" s="53" t="s">
        <v>65</v>
      </c>
      <c r="B57" s="65">
        <v>10</v>
      </c>
      <c r="C57" s="65">
        <v>25</v>
      </c>
      <c r="D57" s="65">
        <v>25</v>
      </c>
      <c r="E57" s="65">
        <v>25</v>
      </c>
      <c r="F57" s="65">
        <v>25</v>
      </c>
      <c r="G57" s="65">
        <v>25</v>
      </c>
      <c r="H57" s="65">
        <v>25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22</v>
      </c>
      <c r="O57" s="65">
        <v>22</v>
      </c>
      <c r="P57" s="65">
        <v>22</v>
      </c>
      <c r="Q57" s="65">
        <v>22</v>
      </c>
      <c r="R57" s="65">
        <v>22</v>
      </c>
      <c r="S57" s="65">
        <v>15</v>
      </c>
      <c r="T57" s="65">
        <v>12</v>
      </c>
      <c r="U57" s="45">
        <v>0</v>
      </c>
      <c r="V57" s="45">
        <v>15</v>
      </c>
      <c r="W57" s="45">
        <v>15</v>
      </c>
      <c r="X57" s="45">
        <v>15</v>
      </c>
      <c r="Y57" s="45">
        <v>20</v>
      </c>
      <c r="Z57" s="45">
        <v>20</v>
      </c>
      <c r="AA57" s="45">
        <v>30</v>
      </c>
      <c r="AB57" s="65">
        <v>22</v>
      </c>
      <c r="AC57" s="65">
        <v>22</v>
      </c>
      <c r="AD57" s="65">
        <v>22</v>
      </c>
      <c r="AE57" s="65">
        <v>15</v>
      </c>
      <c r="AF57" s="65">
        <v>15</v>
      </c>
      <c r="AG57" s="54">
        <v>30</v>
      </c>
      <c r="AH57" s="47">
        <f t="shared" si="2"/>
        <v>30</v>
      </c>
      <c r="AI57" s="48">
        <f t="shared" si="3"/>
        <v>0</v>
      </c>
      <c r="AK57" s="49"/>
    </row>
    <row r="58" spans="1:41" x14ac:dyDescent="0.25">
      <c r="A58" s="53" t="s">
        <v>66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4</v>
      </c>
      <c r="P58" s="65">
        <v>6</v>
      </c>
      <c r="Q58" s="65">
        <v>10.1</v>
      </c>
      <c r="R58" s="65">
        <v>10.1</v>
      </c>
      <c r="S58" s="65">
        <v>10.1</v>
      </c>
      <c r="T58" s="65">
        <v>1</v>
      </c>
      <c r="U58" s="45">
        <v>4.5</v>
      </c>
      <c r="V58" s="45">
        <v>2.2999999999999998</v>
      </c>
      <c r="W58" s="45">
        <v>2.2999999999999998</v>
      </c>
      <c r="X58" s="45">
        <v>1.6</v>
      </c>
      <c r="Y58" s="45">
        <v>0.5</v>
      </c>
      <c r="Z58" s="45">
        <v>0</v>
      </c>
      <c r="AA58" s="4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25</v>
      </c>
      <c r="AH58" s="47">
        <f t="shared" si="2"/>
        <v>10.1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17</v>
      </c>
      <c r="C59" s="65">
        <v>17</v>
      </c>
      <c r="D59" s="65">
        <v>17</v>
      </c>
      <c r="E59" s="65">
        <v>17</v>
      </c>
      <c r="F59" s="65">
        <v>17</v>
      </c>
      <c r="G59" s="65">
        <v>17</v>
      </c>
      <c r="H59" s="65">
        <v>17</v>
      </c>
      <c r="I59" s="65">
        <v>17</v>
      </c>
      <c r="J59" s="65">
        <v>17</v>
      </c>
      <c r="K59" s="65">
        <v>17</v>
      </c>
      <c r="L59" s="65">
        <v>17</v>
      </c>
      <c r="M59" s="65">
        <v>17</v>
      </c>
      <c r="N59" s="65">
        <v>17</v>
      </c>
      <c r="O59" s="65">
        <v>17</v>
      </c>
      <c r="P59" s="65">
        <v>17</v>
      </c>
      <c r="Q59" s="65">
        <v>17</v>
      </c>
      <c r="R59" s="65">
        <v>17</v>
      </c>
      <c r="S59" s="65">
        <v>17</v>
      </c>
      <c r="T59" s="65">
        <v>17</v>
      </c>
      <c r="U59" s="65">
        <v>17</v>
      </c>
      <c r="V59" s="65">
        <v>17</v>
      </c>
      <c r="W59" s="65">
        <v>17</v>
      </c>
      <c r="X59" s="65">
        <v>17</v>
      </c>
      <c r="Y59" s="65">
        <v>17</v>
      </c>
      <c r="Z59" s="65">
        <v>17</v>
      </c>
      <c r="AA59" s="65">
        <v>17</v>
      </c>
      <c r="AB59" s="65">
        <v>17</v>
      </c>
      <c r="AC59" s="65">
        <v>17</v>
      </c>
      <c r="AD59" s="65">
        <v>17</v>
      </c>
      <c r="AE59" s="65">
        <v>17</v>
      </c>
      <c r="AF59" s="65">
        <v>17</v>
      </c>
      <c r="AG59" s="54">
        <v>24</v>
      </c>
      <c r="AH59" s="47">
        <f t="shared" si="2"/>
        <v>17</v>
      </c>
      <c r="AI59" s="48">
        <f t="shared" si="3"/>
        <v>17</v>
      </c>
      <c r="AK59" s="49"/>
    </row>
    <row r="60" spans="1:41" x14ac:dyDescent="0.25">
      <c r="A60" s="53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4">
        <v>15</v>
      </c>
      <c r="AH60" s="47">
        <f t="shared" si="2"/>
        <v>0</v>
      </c>
      <c r="AI60" s="48">
        <f t="shared" si="3"/>
        <v>0</v>
      </c>
      <c r="AK60" s="49"/>
      <c r="AL60" s="70"/>
      <c r="AO60" s="70"/>
    </row>
    <row r="61" spans="1:41" s="70" customFormat="1" x14ac:dyDescent="0.25">
      <c r="A61" s="53" t="s">
        <v>69</v>
      </c>
      <c r="B61" s="65">
        <v>13</v>
      </c>
      <c r="C61" s="65">
        <v>13</v>
      </c>
      <c r="D61" s="65">
        <v>13</v>
      </c>
      <c r="E61" s="65">
        <v>13</v>
      </c>
      <c r="F61" s="65">
        <v>13</v>
      </c>
      <c r="G61" s="65">
        <v>13</v>
      </c>
      <c r="H61" s="65">
        <v>13</v>
      </c>
      <c r="I61" s="65">
        <v>13</v>
      </c>
      <c r="J61" s="65">
        <v>13</v>
      </c>
      <c r="K61" s="65">
        <v>13</v>
      </c>
      <c r="L61" s="65">
        <v>13</v>
      </c>
      <c r="M61" s="65">
        <v>13</v>
      </c>
      <c r="N61" s="65">
        <v>13</v>
      </c>
      <c r="O61" s="65">
        <v>13</v>
      </c>
      <c r="P61" s="65">
        <v>13</v>
      </c>
      <c r="Q61" s="65">
        <v>13</v>
      </c>
      <c r="R61" s="65">
        <v>13</v>
      </c>
      <c r="S61" s="65">
        <v>0</v>
      </c>
      <c r="T61" s="65">
        <v>0</v>
      </c>
      <c r="U61" s="65">
        <v>12.6</v>
      </c>
      <c r="V61" s="65">
        <v>9</v>
      </c>
      <c r="W61" s="65">
        <v>9</v>
      </c>
      <c r="X61" s="65">
        <v>9</v>
      </c>
      <c r="Y61" s="65">
        <v>9</v>
      </c>
      <c r="Z61" s="65">
        <v>9</v>
      </c>
      <c r="AA61" s="65">
        <v>9</v>
      </c>
      <c r="AB61" s="65">
        <v>12.7</v>
      </c>
      <c r="AC61" s="65">
        <v>13.1</v>
      </c>
      <c r="AD61" s="65">
        <v>12</v>
      </c>
      <c r="AE61" s="65">
        <v>12.7</v>
      </c>
      <c r="AF61" s="65">
        <v>12.5</v>
      </c>
      <c r="AG61" s="54">
        <v>14.1</v>
      </c>
      <c r="AH61" s="47">
        <f t="shared" si="2"/>
        <v>13.1</v>
      </c>
      <c r="AI61" s="48">
        <f t="shared" si="3"/>
        <v>0</v>
      </c>
      <c r="AJ61" s="1"/>
      <c r="AK61" s="49"/>
      <c r="AL61" s="1"/>
      <c r="AM61" s="1"/>
      <c r="AN61" s="1"/>
      <c r="AO61" s="1"/>
    </row>
    <row r="62" spans="1:41" x14ac:dyDescent="0.25">
      <c r="A62" s="71" t="s">
        <v>70</v>
      </c>
      <c r="B62" s="65">
        <v>10.199999999999999</v>
      </c>
      <c r="C62" s="65">
        <v>10.199999999999999</v>
      </c>
      <c r="D62" s="65">
        <v>10.199999999999999</v>
      </c>
      <c r="E62" s="65">
        <v>10.199999999999999</v>
      </c>
      <c r="F62" s="65">
        <v>10.199999999999999</v>
      </c>
      <c r="G62" s="65">
        <v>10.199999999999999</v>
      </c>
      <c r="H62" s="65">
        <v>10.199999999999999</v>
      </c>
      <c r="I62" s="65">
        <v>10.199999999999999</v>
      </c>
      <c r="J62" s="65">
        <v>10.199999999999999</v>
      </c>
      <c r="K62" s="65">
        <v>10.199999999999999</v>
      </c>
      <c r="L62" s="65">
        <v>10.199999999999999</v>
      </c>
      <c r="M62" s="65">
        <v>10.199999999999999</v>
      </c>
      <c r="N62" s="65">
        <v>10.199999999999999</v>
      </c>
      <c r="O62" s="65">
        <v>10.199999999999999</v>
      </c>
      <c r="P62" s="65">
        <v>10.199999999999999</v>
      </c>
      <c r="Q62" s="65">
        <v>10.199999999999999</v>
      </c>
      <c r="R62" s="65">
        <v>10.199999999999999</v>
      </c>
      <c r="S62" s="65">
        <v>10.199999999999999</v>
      </c>
      <c r="T62" s="65">
        <v>10.199999999999999</v>
      </c>
      <c r="U62" s="65">
        <v>10.199999999999999</v>
      </c>
      <c r="V62" s="65">
        <v>10.199999999999999</v>
      </c>
      <c r="W62" s="65">
        <v>10.199999999999999</v>
      </c>
      <c r="X62" s="65">
        <v>10.199999999999999</v>
      </c>
      <c r="Y62" s="65">
        <v>10.199999999999999</v>
      </c>
      <c r="Z62" s="65">
        <v>10.199999999999999</v>
      </c>
      <c r="AA62" s="65">
        <v>10.199999999999999</v>
      </c>
      <c r="AB62" s="65">
        <v>14.3</v>
      </c>
      <c r="AC62" s="65">
        <v>14.3</v>
      </c>
      <c r="AD62" s="65">
        <v>14.2</v>
      </c>
      <c r="AE62" s="65">
        <v>12.9</v>
      </c>
      <c r="AF62" s="65">
        <v>12.9</v>
      </c>
      <c r="AG62" s="54">
        <v>14</v>
      </c>
      <c r="AH62" s="47">
        <f t="shared" si="2"/>
        <v>14.3</v>
      </c>
      <c r="AI62" s="48">
        <f t="shared" si="3"/>
        <v>10.199999999999999</v>
      </c>
      <c r="AK62" s="49"/>
    </row>
    <row r="63" spans="1:41" x14ac:dyDescent="0.25">
      <c r="A63" s="53" t="s">
        <v>71</v>
      </c>
      <c r="B63" s="65">
        <v>2.9</v>
      </c>
      <c r="C63" s="65">
        <v>2.9</v>
      </c>
      <c r="D63" s="65">
        <v>2.9</v>
      </c>
      <c r="E63" s="65">
        <v>2.9</v>
      </c>
      <c r="F63" s="65">
        <v>2.9</v>
      </c>
      <c r="G63" s="65">
        <v>2.9</v>
      </c>
      <c r="H63" s="65">
        <v>2.9</v>
      </c>
      <c r="I63" s="65">
        <v>2.9</v>
      </c>
      <c r="J63" s="65">
        <v>2.9</v>
      </c>
      <c r="K63" s="65">
        <v>2.9</v>
      </c>
      <c r="L63" s="65">
        <v>2.9</v>
      </c>
      <c r="M63" s="65">
        <v>2.9</v>
      </c>
      <c r="N63" s="65">
        <v>2.9</v>
      </c>
      <c r="O63" s="65">
        <v>2.9</v>
      </c>
      <c r="P63" s="65">
        <v>2.9</v>
      </c>
      <c r="Q63" s="65">
        <v>2.9</v>
      </c>
      <c r="R63" s="65">
        <v>2.9</v>
      </c>
      <c r="S63" s="65">
        <v>2.9</v>
      </c>
      <c r="T63" s="65">
        <v>2.9</v>
      </c>
      <c r="U63" s="65">
        <v>2.9</v>
      </c>
      <c r="V63" s="65">
        <v>2.9</v>
      </c>
      <c r="W63" s="65">
        <v>2.9</v>
      </c>
      <c r="X63" s="65">
        <v>2.9</v>
      </c>
      <c r="Y63" s="65">
        <v>2.9</v>
      </c>
      <c r="Z63" s="65">
        <v>2.9</v>
      </c>
      <c r="AA63" s="65">
        <v>2.9</v>
      </c>
      <c r="AB63" s="65">
        <v>5</v>
      </c>
      <c r="AC63" s="65">
        <v>5.0999999999999996</v>
      </c>
      <c r="AD63" s="65">
        <v>5.3</v>
      </c>
      <c r="AE63" s="65">
        <v>6</v>
      </c>
      <c r="AF63" s="65">
        <v>5.7</v>
      </c>
      <c r="AG63" s="54">
        <v>10.050000000000001</v>
      </c>
      <c r="AH63" s="47">
        <f t="shared" si="2"/>
        <v>6</v>
      </c>
      <c r="AI63" s="48">
        <f t="shared" si="3"/>
        <v>2.9</v>
      </c>
      <c r="AK63" s="49"/>
    </row>
    <row r="64" spans="1:41" x14ac:dyDescent="0.25">
      <c r="A64" s="53" t="s">
        <v>72</v>
      </c>
      <c r="B64" s="65">
        <v>2</v>
      </c>
      <c r="C64" s="65">
        <v>2</v>
      </c>
      <c r="D64" s="65">
        <v>2</v>
      </c>
      <c r="E64" s="65">
        <v>2</v>
      </c>
      <c r="F64" s="65">
        <v>2</v>
      </c>
      <c r="G64" s="65">
        <v>2</v>
      </c>
      <c r="H64" s="65">
        <v>2</v>
      </c>
      <c r="I64" s="65">
        <v>2</v>
      </c>
      <c r="J64" s="65">
        <v>2</v>
      </c>
      <c r="K64" s="65">
        <v>2</v>
      </c>
      <c r="L64" s="65">
        <v>2</v>
      </c>
      <c r="M64" s="65">
        <v>2</v>
      </c>
      <c r="N64" s="65">
        <v>2</v>
      </c>
      <c r="O64" s="65">
        <v>2</v>
      </c>
      <c r="P64" s="65">
        <v>2</v>
      </c>
      <c r="Q64" s="65">
        <v>2</v>
      </c>
      <c r="R64" s="65">
        <v>2</v>
      </c>
      <c r="S64" s="65">
        <v>2</v>
      </c>
      <c r="T64" s="65">
        <v>2</v>
      </c>
      <c r="U64" s="65">
        <v>2</v>
      </c>
      <c r="V64" s="65">
        <v>2</v>
      </c>
      <c r="W64" s="65">
        <v>2</v>
      </c>
      <c r="X64" s="65">
        <v>2</v>
      </c>
      <c r="Y64" s="65">
        <v>2</v>
      </c>
      <c r="Z64" s="65">
        <v>2</v>
      </c>
      <c r="AA64" s="65">
        <v>2</v>
      </c>
      <c r="AB64" s="65">
        <v>2</v>
      </c>
      <c r="AC64" s="65">
        <v>2</v>
      </c>
      <c r="AD64" s="65">
        <v>2</v>
      </c>
      <c r="AE64" s="65">
        <v>2</v>
      </c>
      <c r="AF64" s="65">
        <v>2</v>
      </c>
      <c r="AG64" s="54">
        <v>6.2</v>
      </c>
      <c r="AH64" s="47">
        <f t="shared" si="2"/>
        <v>2</v>
      </c>
      <c r="AI64" s="48">
        <f t="shared" si="3"/>
        <v>2</v>
      </c>
      <c r="AK64" s="49"/>
    </row>
    <row r="65" spans="1:40" ht="15.75" thickBot="1" x14ac:dyDescent="0.3">
      <c r="A65" s="55" t="s">
        <v>73</v>
      </c>
      <c r="B65" s="72">
        <v>3.54</v>
      </c>
      <c r="C65" s="72">
        <v>3.54</v>
      </c>
      <c r="D65" s="72">
        <v>3.54</v>
      </c>
      <c r="E65" s="72">
        <v>3.54</v>
      </c>
      <c r="F65" s="72">
        <v>3.54</v>
      </c>
      <c r="G65" s="72">
        <v>3.54</v>
      </c>
      <c r="H65" s="72">
        <v>3.54</v>
      </c>
      <c r="I65" s="72">
        <v>3.54</v>
      </c>
      <c r="J65" s="72">
        <v>3.54</v>
      </c>
      <c r="K65" s="72">
        <v>3.54</v>
      </c>
      <c r="L65" s="72">
        <v>3.54</v>
      </c>
      <c r="M65" s="72">
        <v>3.54</v>
      </c>
      <c r="N65" s="72">
        <v>3.54</v>
      </c>
      <c r="O65" s="72">
        <v>3.54</v>
      </c>
      <c r="P65" s="72">
        <v>3.54</v>
      </c>
      <c r="Q65" s="72">
        <v>3.54</v>
      </c>
      <c r="R65" s="72">
        <v>3.54</v>
      </c>
      <c r="S65" s="72">
        <v>3.54</v>
      </c>
      <c r="T65" s="72">
        <v>3.54</v>
      </c>
      <c r="U65" s="72">
        <v>3.54</v>
      </c>
      <c r="V65" s="72">
        <v>3.54</v>
      </c>
      <c r="W65" s="72">
        <v>3.54</v>
      </c>
      <c r="X65" s="72">
        <v>3.54</v>
      </c>
      <c r="Y65" s="72">
        <v>3.54</v>
      </c>
      <c r="Z65" s="72">
        <v>3.54</v>
      </c>
      <c r="AA65" s="72">
        <v>3.54</v>
      </c>
      <c r="AB65" s="72">
        <v>3.54</v>
      </c>
      <c r="AC65" s="72">
        <v>3.54</v>
      </c>
      <c r="AD65" s="72">
        <v>3.54</v>
      </c>
      <c r="AE65" s="72">
        <v>3.54</v>
      </c>
      <c r="AF65" s="72">
        <v>3.54</v>
      </c>
      <c r="AG65" s="73">
        <f>AG233</f>
        <v>8.56</v>
      </c>
      <c r="AH65" s="47">
        <f t="shared" si="2"/>
        <v>3.54</v>
      </c>
      <c r="AI65" s="48">
        <f t="shared" si="3"/>
        <v>3.54</v>
      </c>
      <c r="AK65" s="49"/>
    </row>
    <row r="66" spans="1:40" ht="15.75" thickBot="1" x14ac:dyDescent="0.3">
      <c r="A66" s="74" t="s">
        <v>74</v>
      </c>
      <c r="B66" s="60">
        <v>394.14</v>
      </c>
      <c r="C66" s="60">
        <f t="shared" ref="C66:AG66" si="6">SUM(C53:C65)</f>
        <v>382.14</v>
      </c>
      <c r="D66" s="60">
        <f t="shared" si="6"/>
        <v>372.14</v>
      </c>
      <c r="E66" s="60">
        <f t="shared" si="6"/>
        <v>362.14</v>
      </c>
      <c r="F66" s="60">
        <f t="shared" si="6"/>
        <v>362.14</v>
      </c>
      <c r="G66" s="60">
        <f t="shared" si="6"/>
        <v>362.14</v>
      </c>
      <c r="H66" s="60">
        <f t="shared" si="6"/>
        <v>347.14</v>
      </c>
      <c r="I66" s="60">
        <f t="shared" si="6"/>
        <v>342.14</v>
      </c>
      <c r="J66" s="60">
        <f t="shared" si="6"/>
        <v>342.14</v>
      </c>
      <c r="K66" s="60">
        <f t="shared" si="6"/>
        <v>377.14</v>
      </c>
      <c r="L66" s="60">
        <f t="shared" si="6"/>
        <v>382.74</v>
      </c>
      <c r="M66" s="60">
        <f t="shared" si="6"/>
        <v>377.84</v>
      </c>
      <c r="N66" s="60">
        <f t="shared" si="6"/>
        <v>344.14</v>
      </c>
      <c r="O66" s="60">
        <f t="shared" si="6"/>
        <v>380.14</v>
      </c>
      <c r="P66" s="60">
        <f t="shared" si="6"/>
        <v>411.14</v>
      </c>
      <c r="Q66" s="60">
        <f t="shared" si="6"/>
        <v>364.74</v>
      </c>
      <c r="R66" s="60">
        <f t="shared" si="6"/>
        <v>362.94</v>
      </c>
      <c r="S66" s="60">
        <f t="shared" si="6"/>
        <v>322.94</v>
      </c>
      <c r="T66" s="60">
        <f t="shared" si="6"/>
        <v>381.64</v>
      </c>
      <c r="U66" s="60">
        <f t="shared" si="6"/>
        <v>398.34000000000003</v>
      </c>
      <c r="V66" s="60">
        <f t="shared" si="6"/>
        <v>407.54</v>
      </c>
      <c r="W66" s="60">
        <f t="shared" si="6"/>
        <v>383.64</v>
      </c>
      <c r="X66" s="60">
        <f t="shared" si="6"/>
        <v>352.84000000000003</v>
      </c>
      <c r="Y66" s="60">
        <f t="shared" si="6"/>
        <v>336.64</v>
      </c>
      <c r="Z66" s="60">
        <f t="shared" si="6"/>
        <v>353.14</v>
      </c>
      <c r="AA66" s="60">
        <f t="shared" si="6"/>
        <v>421.44</v>
      </c>
      <c r="AB66" s="60">
        <f t="shared" si="6"/>
        <v>422.23999999999995</v>
      </c>
      <c r="AC66" s="60">
        <f t="shared" si="6"/>
        <v>399.94000000000005</v>
      </c>
      <c r="AD66" s="60">
        <f t="shared" si="6"/>
        <v>397.44</v>
      </c>
      <c r="AE66" s="60">
        <f t="shared" si="6"/>
        <v>381.53999999999996</v>
      </c>
      <c r="AF66" s="60">
        <f t="shared" si="6"/>
        <v>359.34</v>
      </c>
      <c r="AG66" s="61">
        <f t="shared" si="6"/>
        <v>489.91</v>
      </c>
      <c r="AH66" s="47">
        <f t="shared" si="2"/>
        <v>422.23999999999995</v>
      </c>
      <c r="AI66" s="48">
        <f t="shared" si="3"/>
        <v>322.94</v>
      </c>
      <c r="AK66" s="49"/>
    </row>
    <row r="67" spans="1:40" x14ac:dyDescent="0.25">
      <c r="A67" s="4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30</v>
      </c>
      <c r="L67" s="45">
        <v>30</v>
      </c>
      <c r="M67" s="45">
        <v>20</v>
      </c>
      <c r="N67" s="45">
        <v>20</v>
      </c>
      <c r="O67" s="45">
        <v>14</v>
      </c>
      <c r="P67" s="45">
        <v>14</v>
      </c>
      <c r="Q67" s="45">
        <v>10</v>
      </c>
      <c r="R67" s="45">
        <v>10</v>
      </c>
      <c r="S67" s="45">
        <v>14</v>
      </c>
      <c r="T67" s="45">
        <v>30</v>
      </c>
      <c r="U67" s="45">
        <v>10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51">
        <v>60</v>
      </c>
      <c r="AH67" s="47">
        <f t="shared" si="2"/>
        <v>30</v>
      </c>
      <c r="AI67" s="48">
        <f t="shared" si="3"/>
        <v>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15.5</v>
      </c>
      <c r="L68" s="65">
        <v>15.5</v>
      </c>
      <c r="M68" s="65">
        <v>9.1</v>
      </c>
      <c r="N68" s="65">
        <v>9.1</v>
      </c>
      <c r="O68" s="65">
        <v>8</v>
      </c>
      <c r="P68" s="65">
        <v>7.9</v>
      </c>
      <c r="Q68" s="45">
        <v>4</v>
      </c>
      <c r="R68" s="45">
        <v>4</v>
      </c>
      <c r="S68" s="65">
        <v>5.2</v>
      </c>
      <c r="T68" s="65">
        <v>5.2</v>
      </c>
      <c r="U68" s="65">
        <v>3.6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3.4</v>
      </c>
      <c r="AE68" s="65">
        <v>0</v>
      </c>
      <c r="AF68" s="45">
        <v>0</v>
      </c>
      <c r="AG68" s="54">
        <v>32</v>
      </c>
      <c r="AH68" s="47">
        <f t="shared" si="2"/>
        <v>15.5</v>
      </c>
      <c r="AI68" s="48">
        <f t="shared" si="3"/>
        <v>0</v>
      </c>
      <c r="AK68" s="49"/>
    </row>
    <row r="69" spans="1:40" ht="15.75" thickBot="1" x14ac:dyDescent="0.3">
      <c r="A69" s="71" t="s">
        <v>77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5.7</v>
      </c>
      <c r="L69" s="67">
        <v>5.7</v>
      </c>
      <c r="M69" s="67">
        <v>5.6</v>
      </c>
      <c r="N69" s="67">
        <v>5.6</v>
      </c>
      <c r="O69" s="67">
        <v>2.9</v>
      </c>
      <c r="P69" s="67">
        <v>2.9</v>
      </c>
      <c r="Q69" s="45">
        <v>1.5</v>
      </c>
      <c r="R69" s="45">
        <v>1.5</v>
      </c>
      <c r="S69" s="67">
        <v>1.9</v>
      </c>
      <c r="T69" s="67">
        <v>1.9</v>
      </c>
      <c r="U69" s="67">
        <v>1.3</v>
      </c>
      <c r="V69" s="67">
        <v>0</v>
      </c>
      <c r="W69" s="67">
        <v>0</v>
      </c>
      <c r="X69" s="67">
        <v>0</v>
      </c>
      <c r="Y69" s="67">
        <v>0</v>
      </c>
      <c r="Z69" s="67">
        <v>0</v>
      </c>
      <c r="AA69" s="67">
        <v>0</v>
      </c>
      <c r="AB69" s="67">
        <v>0</v>
      </c>
      <c r="AC69" s="67">
        <v>0</v>
      </c>
      <c r="AD69" s="67">
        <v>1.2</v>
      </c>
      <c r="AE69" s="67">
        <v>0</v>
      </c>
      <c r="AF69" s="45">
        <v>0</v>
      </c>
      <c r="AG69" s="68">
        <v>14</v>
      </c>
      <c r="AH69" s="47">
        <f t="shared" si="2"/>
        <v>5.7</v>
      </c>
      <c r="AI69" s="48">
        <f t="shared" si="3"/>
        <v>0</v>
      </c>
      <c r="AK69" s="49"/>
    </row>
    <row r="70" spans="1:40" ht="15.75" thickBot="1" x14ac:dyDescent="0.3">
      <c r="A70" s="74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f>L67+L68+L69</f>
        <v>51.2</v>
      </c>
      <c r="M70" s="60">
        <f t="shared" ref="M70:AF70" si="7">M67+M68+M69</f>
        <v>34.700000000000003</v>
      </c>
      <c r="N70" s="60">
        <f t="shared" si="7"/>
        <v>34.700000000000003</v>
      </c>
      <c r="O70" s="60">
        <f t="shared" si="7"/>
        <v>24.9</v>
      </c>
      <c r="P70" s="60">
        <f t="shared" si="7"/>
        <v>24.799999999999997</v>
      </c>
      <c r="Q70" s="60">
        <f t="shared" si="7"/>
        <v>15.5</v>
      </c>
      <c r="R70" s="60">
        <f t="shared" si="7"/>
        <v>15.5</v>
      </c>
      <c r="S70" s="60">
        <f t="shared" si="7"/>
        <v>21.099999999999998</v>
      </c>
      <c r="T70" s="60">
        <f t="shared" si="7"/>
        <v>37.1</v>
      </c>
      <c r="U70" s="60">
        <f t="shared" si="7"/>
        <v>14.9</v>
      </c>
      <c r="V70" s="60">
        <f t="shared" si="7"/>
        <v>0</v>
      </c>
      <c r="W70" s="60">
        <f t="shared" si="7"/>
        <v>0</v>
      </c>
      <c r="X70" s="60">
        <f t="shared" si="7"/>
        <v>0</v>
      </c>
      <c r="Y70" s="60">
        <f t="shared" si="7"/>
        <v>0</v>
      </c>
      <c r="Z70" s="60">
        <f t="shared" si="7"/>
        <v>0</v>
      </c>
      <c r="AA70" s="60">
        <f t="shared" si="7"/>
        <v>0</v>
      </c>
      <c r="AB70" s="60">
        <f t="shared" si="7"/>
        <v>0</v>
      </c>
      <c r="AC70" s="60">
        <f t="shared" si="7"/>
        <v>0</v>
      </c>
      <c r="AD70" s="60">
        <f t="shared" si="7"/>
        <v>4.5999999999999996</v>
      </c>
      <c r="AE70" s="60">
        <f t="shared" si="7"/>
        <v>0</v>
      </c>
      <c r="AF70" s="60">
        <f t="shared" si="7"/>
        <v>0</v>
      </c>
      <c r="AG70" s="61">
        <f>SUM(AG67:AG69)</f>
        <v>106</v>
      </c>
      <c r="AH70" s="47">
        <f t="shared" si="2"/>
        <v>51.2</v>
      </c>
      <c r="AI70" s="48">
        <f t="shared" si="3"/>
        <v>0</v>
      </c>
      <c r="AK70" s="49"/>
    </row>
    <row r="71" spans="1:40" x14ac:dyDescent="0.25">
      <c r="A71" s="44" t="s">
        <v>79</v>
      </c>
      <c r="B71" s="45">
        <v>50</v>
      </c>
      <c r="C71" s="45">
        <v>64</v>
      </c>
      <c r="D71" s="45">
        <v>65</v>
      </c>
      <c r="E71" s="45">
        <v>54</v>
      </c>
      <c r="F71" s="45">
        <v>54</v>
      </c>
      <c r="G71" s="45">
        <v>54</v>
      </c>
      <c r="H71" s="45">
        <v>54</v>
      </c>
      <c r="I71" s="45">
        <v>30</v>
      </c>
      <c r="J71" s="45">
        <v>30</v>
      </c>
      <c r="K71" s="45">
        <v>54.5</v>
      </c>
      <c r="L71" s="45">
        <v>43.1</v>
      </c>
      <c r="M71" s="45">
        <v>58</v>
      </c>
      <c r="N71" s="45">
        <v>19</v>
      </c>
      <c r="O71" s="45">
        <v>22</v>
      </c>
      <c r="P71" s="45">
        <v>52.9</v>
      </c>
      <c r="Q71" s="45">
        <v>52.7</v>
      </c>
      <c r="R71" s="45">
        <v>32.4</v>
      </c>
      <c r="S71" s="45">
        <v>21.2</v>
      </c>
      <c r="T71" s="45">
        <v>24.6</v>
      </c>
      <c r="U71" s="45">
        <v>22</v>
      </c>
      <c r="V71" s="45">
        <v>30.5</v>
      </c>
      <c r="W71" s="45">
        <v>31.2</v>
      </c>
      <c r="X71" s="45">
        <v>31.8</v>
      </c>
      <c r="Y71" s="45">
        <v>27.2</v>
      </c>
      <c r="Z71" s="45">
        <v>37.5</v>
      </c>
      <c r="AA71" s="45">
        <v>49.5</v>
      </c>
      <c r="AB71" s="45">
        <v>25.8</v>
      </c>
      <c r="AC71" s="45">
        <v>27.4</v>
      </c>
      <c r="AD71" s="45">
        <v>28</v>
      </c>
      <c r="AE71" s="45">
        <v>18</v>
      </c>
      <c r="AF71" s="45">
        <v>22</v>
      </c>
      <c r="AG71" s="51"/>
      <c r="AH71" s="47">
        <f t="shared" si="2"/>
        <v>65</v>
      </c>
      <c r="AI71" s="48">
        <f t="shared" si="3"/>
        <v>18</v>
      </c>
      <c r="AK71" s="49"/>
    </row>
    <row r="72" spans="1:40" x14ac:dyDescent="0.25">
      <c r="A72" s="53" t="s">
        <v>80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/>
      <c r="T72" s="65"/>
      <c r="U72" s="65"/>
      <c r="V72" s="65"/>
      <c r="W72" s="65"/>
      <c r="X72" s="65"/>
      <c r="Y72" s="65"/>
      <c r="Z72" s="65"/>
      <c r="AA72" s="65"/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4"/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53" t="s">
        <v>81</v>
      </c>
      <c r="B73" s="65">
        <v>20</v>
      </c>
      <c r="C73" s="65">
        <v>80</v>
      </c>
      <c r="D73" s="65">
        <v>180</v>
      </c>
      <c r="E73" s="65">
        <v>190</v>
      </c>
      <c r="F73" s="65">
        <v>200</v>
      </c>
      <c r="G73" s="65">
        <v>210</v>
      </c>
      <c r="H73" s="65">
        <v>170</v>
      </c>
      <c r="I73" s="65">
        <v>167</v>
      </c>
      <c r="J73" s="65">
        <v>200</v>
      </c>
      <c r="K73" s="65">
        <v>210</v>
      </c>
      <c r="L73" s="65">
        <v>218</v>
      </c>
      <c r="M73" s="65">
        <v>280</v>
      </c>
      <c r="N73" s="65">
        <v>304</v>
      </c>
      <c r="O73" s="65">
        <v>300</v>
      </c>
      <c r="P73" s="65">
        <v>225</v>
      </c>
      <c r="Q73" s="65">
        <v>217</v>
      </c>
      <c r="R73" s="65">
        <v>245</v>
      </c>
      <c r="S73" s="65">
        <v>200</v>
      </c>
      <c r="T73" s="65">
        <v>219</v>
      </c>
      <c r="U73" s="65">
        <v>200</v>
      </c>
      <c r="V73" s="65">
        <v>249</v>
      </c>
      <c r="W73" s="65">
        <v>179</v>
      </c>
      <c r="X73" s="65">
        <v>164</v>
      </c>
      <c r="Y73" s="65">
        <v>145</v>
      </c>
      <c r="Z73" s="65">
        <v>197</v>
      </c>
      <c r="AA73" s="65">
        <v>111.4</v>
      </c>
      <c r="AB73" s="65">
        <v>68</v>
      </c>
      <c r="AC73" s="65">
        <v>0</v>
      </c>
      <c r="AD73" s="65">
        <v>0</v>
      </c>
      <c r="AE73" s="65">
        <v>0</v>
      </c>
      <c r="AF73" s="65">
        <v>0</v>
      </c>
      <c r="AG73" s="75"/>
      <c r="AH73" s="47">
        <f t="shared" si="2"/>
        <v>304</v>
      </c>
      <c r="AI73" s="48">
        <f t="shared" si="3"/>
        <v>0</v>
      </c>
      <c r="AK73" s="49"/>
    </row>
    <row r="74" spans="1:40" x14ac:dyDescent="0.25">
      <c r="A74" s="53" t="s">
        <v>82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/>
      <c r="T74" s="76"/>
      <c r="U74" s="76"/>
      <c r="V74" s="76"/>
      <c r="W74" s="76"/>
      <c r="X74" s="76"/>
      <c r="Y74" s="65"/>
      <c r="Z74" s="65"/>
      <c r="AA74" s="65"/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75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83</v>
      </c>
      <c r="B75" s="45">
        <v>0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/>
      <c r="T75" s="45"/>
      <c r="U75" s="45"/>
      <c r="V75" s="45"/>
      <c r="W75" s="45"/>
      <c r="X75" s="45"/>
      <c r="Y75" s="45"/>
      <c r="Z75" s="45"/>
      <c r="AA75" s="45"/>
      <c r="AB75" s="65">
        <v>0</v>
      </c>
      <c r="AC75" s="45">
        <v>0</v>
      </c>
      <c r="AD75" s="45">
        <v>0</v>
      </c>
      <c r="AE75" s="65">
        <v>0</v>
      </c>
      <c r="AF75" s="45">
        <v>0</v>
      </c>
      <c r="AG75" s="75"/>
      <c r="AH75" s="47">
        <f t="shared" ref="AH75:AH118" si="8">MAX(B75:AF75)</f>
        <v>0</v>
      </c>
      <c r="AI75" s="48">
        <f t="shared" ref="AI75:AI118" si="9">MIN(B75:AF75)</f>
        <v>0</v>
      </c>
      <c r="AK75" s="49"/>
    </row>
    <row r="76" spans="1:40" x14ac:dyDescent="0.25">
      <c r="A76" s="53" t="s">
        <v>84</v>
      </c>
      <c r="B76" s="77">
        <v>0</v>
      </c>
      <c r="C76" s="77">
        <v>6</v>
      </c>
      <c r="D76" s="77">
        <v>6</v>
      </c>
      <c r="E76" s="77">
        <v>6</v>
      </c>
      <c r="F76" s="77">
        <v>6</v>
      </c>
      <c r="G76" s="77">
        <v>6</v>
      </c>
      <c r="H76" s="77">
        <v>6</v>
      </c>
      <c r="I76" s="77">
        <v>6</v>
      </c>
      <c r="J76" s="77">
        <v>6</v>
      </c>
      <c r="K76" s="77">
        <v>6</v>
      </c>
      <c r="L76" s="77">
        <v>6</v>
      </c>
      <c r="M76" s="77">
        <v>6</v>
      </c>
      <c r="N76" s="77">
        <v>6</v>
      </c>
      <c r="O76" s="77">
        <v>6</v>
      </c>
      <c r="P76" s="77">
        <v>0</v>
      </c>
      <c r="Q76" s="77">
        <v>0</v>
      </c>
      <c r="R76" s="77">
        <v>0</v>
      </c>
      <c r="S76" s="77"/>
      <c r="T76" s="77"/>
      <c r="U76" s="77"/>
      <c r="V76" s="77"/>
      <c r="W76" s="77"/>
      <c r="X76" s="77"/>
      <c r="Y76" s="77"/>
      <c r="Z76" s="77"/>
      <c r="AA76" s="77"/>
      <c r="AB76" s="65">
        <v>0</v>
      </c>
      <c r="AC76" s="77">
        <v>0</v>
      </c>
      <c r="AD76" s="77">
        <v>0</v>
      </c>
      <c r="AE76" s="65">
        <v>0</v>
      </c>
      <c r="AF76" s="45">
        <v>0</v>
      </c>
      <c r="AG76" s="75"/>
      <c r="AH76" s="47">
        <f t="shared" si="8"/>
        <v>6</v>
      </c>
      <c r="AI76" s="48">
        <f t="shared" si="9"/>
        <v>0</v>
      </c>
      <c r="AK76" s="49"/>
    </row>
    <row r="77" spans="1:40" ht="15.75" thickBot="1" x14ac:dyDescent="0.3">
      <c r="A77" s="53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/>
      <c r="T77" s="77"/>
      <c r="U77" s="77"/>
      <c r="V77" s="77"/>
      <c r="W77" s="77"/>
      <c r="X77" s="77"/>
      <c r="Y77" s="77"/>
      <c r="Z77" s="77"/>
      <c r="AA77" s="77"/>
      <c r="AB77" s="65">
        <v>0</v>
      </c>
      <c r="AC77" s="77">
        <v>0</v>
      </c>
      <c r="AD77" s="77">
        <v>0</v>
      </c>
      <c r="AE77" s="65">
        <v>0</v>
      </c>
      <c r="AF77" s="45">
        <v>0</v>
      </c>
      <c r="AG77" s="75"/>
      <c r="AH77" s="47">
        <f t="shared" si="8"/>
        <v>0</v>
      </c>
      <c r="AI77" s="48">
        <f t="shared" si="9"/>
        <v>0</v>
      </c>
      <c r="AK77" s="49"/>
      <c r="AL77" s="78" t="s">
        <v>86</v>
      </c>
      <c r="AM77" s="78"/>
    </row>
    <row r="78" spans="1:40" x14ac:dyDescent="0.25">
      <c r="A78" s="53" t="s">
        <v>87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/>
      <c r="T78" s="77"/>
      <c r="U78" s="77"/>
      <c r="V78" s="77"/>
      <c r="W78" s="77"/>
      <c r="X78" s="77"/>
      <c r="Y78" s="77"/>
      <c r="Z78" s="77"/>
      <c r="AA78" s="77"/>
      <c r="AB78" s="65">
        <v>0</v>
      </c>
      <c r="AC78" s="77">
        <v>0</v>
      </c>
      <c r="AD78" s="77">
        <v>0</v>
      </c>
      <c r="AE78" s="65">
        <v>0</v>
      </c>
      <c r="AF78" s="45">
        <v>0</v>
      </c>
      <c r="AG78" s="75"/>
      <c r="AH78" s="47">
        <f t="shared" si="8"/>
        <v>0</v>
      </c>
      <c r="AI78" s="48">
        <f t="shared" si="9"/>
        <v>0</v>
      </c>
      <c r="AK78" s="79"/>
      <c r="AL78" s="80">
        <v>14</v>
      </c>
      <c r="AM78" s="80">
        <v>10</v>
      </c>
      <c r="AN78" s="81"/>
    </row>
    <row r="79" spans="1:40" x14ac:dyDescent="0.25">
      <c r="A79" s="53" t="s">
        <v>88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/>
      <c r="T79" s="77"/>
      <c r="U79" s="77"/>
      <c r="V79" s="77"/>
      <c r="W79" s="77"/>
      <c r="X79" s="77"/>
      <c r="Y79" s="77"/>
      <c r="Z79" s="77"/>
      <c r="AA79" s="77"/>
      <c r="AB79" s="65">
        <v>0</v>
      </c>
      <c r="AC79" s="77">
        <v>0</v>
      </c>
      <c r="AD79" s="77">
        <v>0</v>
      </c>
      <c r="AE79" s="65">
        <v>0</v>
      </c>
      <c r="AF79" s="45">
        <v>0</v>
      </c>
      <c r="AG79" s="75"/>
      <c r="AH79" s="47">
        <f t="shared" si="8"/>
        <v>0</v>
      </c>
      <c r="AI79" s="48">
        <f t="shared" si="9"/>
        <v>0</v>
      </c>
      <c r="AK79" s="82" t="s">
        <v>89</v>
      </c>
      <c r="AL79" s="65">
        <v>533554.48</v>
      </c>
      <c r="AM79" s="76">
        <v>533330.87</v>
      </c>
      <c r="AN79" s="83">
        <f>AL79-AM79</f>
        <v>223.60999999998603</v>
      </c>
    </row>
    <row r="80" spans="1:40" x14ac:dyDescent="0.25">
      <c r="A80" s="84" t="s">
        <v>90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/>
      <c r="T80" s="77"/>
      <c r="U80" s="77"/>
      <c r="V80" s="77"/>
      <c r="W80" s="77"/>
      <c r="X80" s="77"/>
      <c r="Y80" s="77"/>
      <c r="Z80" s="77"/>
      <c r="AA80" s="77"/>
      <c r="AB80" s="65">
        <v>0</v>
      </c>
      <c r="AC80" s="77">
        <v>0</v>
      </c>
      <c r="AD80" s="77">
        <v>0</v>
      </c>
      <c r="AE80" s="65">
        <v>0</v>
      </c>
      <c r="AF80" s="45">
        <v>0</v>
      </c>
      <c r="AG80" s="85"/>
      <c r="AH80" s="47">
        <f t="shared" si="8"/>
        <v>0</v>
      </c>
      <c r="AI80" s="48">
        <f t="shared" si="9"/>
        <v>0</v>
      </c>
      <c r="AK80" s="82" t="s">
        <v>91</v>
      </c>
      <c r="AL80" s="76">
        <v>377068.94</v>
      </c>
      <c r="AM80" s="76">
        <v>376844.36</v>
      </c>
      <c r="AN80" s="83">
        <f>AL80-AM80</f>
        <v>224.5800000000163</v>
      </c>
    </row>
    <row r="81" spans="1:40" ht="15.75" thickBot="1" x14ac:dyDescent="0.3">
      <c r="A81" s="84" t="s">
        <v>92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/>
      <c r="T81" s="77"/>
      <c r="U81" s="77"/>
      <c r="V81" s="77"/>
      <c r="W81" s="77"/>
      <c r="X81" s="77"/>
      <c r="Y81" s="77"/>
      <c r="Z81" s="77"/>
      <c r="AA81" s="77"/>
      <c r="AB81" s="65">
        <v>0</v>
      </c>
      <c r="AC81" s="77">
        <v>0</v>
      </c>
      <c r="AD81" s="77">
        <v>0</v>
      </c>
      <c r="AE81" s="65">
        <v>0</v>
      </c>
      <c r="AF81" s="45">
        <v>0</v>
      </c>
      <c r="AG81" s="85"/>
      <c r="AH81" s="47">
        <f t="shared" si="8"/>
        <v>0</v>
      </c>
      <c r="AI81" s="48">
        <f t="shared" si="9"/>
        <v>0</v>
      </c>
      <c r="AK81" s="86"/>
      <c r="AL81" s="45"/>
      <c r="AM81" s="45"/>
      <c r="AN81" s="87">
        <f>AN79+AN80</f>
        <v>448.19000000000233</v>
      </c>
    </row>
    <row r="82" spans="1:40" ht="15.75" thickBot="1" x14ac:dyDescent="0.3">
      <c r="A82" s="74" t="s">
        <v>93</v>
      </c>
      <c r="B82" s="60">
        <v>47</v>
      </c>
      <c r="C82" s="60">
        <f t="shared" ref="C82:AF82" si="10">SUMIF(C71:C81,"&gt;0")</f>
        <v>150</v>
      </c>
      <c r="D82" s="60">
        <f t="shared" si="10"/>
        <v>251</v>
      </c>
      <c r="E82" s="60">
        <f t="shared" si="10"/>
        <v>250</v>
      </c>
      <c r="F82" s="60">
        <f t="shared" si="10"/>
        <v>260</v>
      </c>
      <c r="G82" s="60">
        <f t="shared" si="10"/>
        <v>270</v>
      </c>
      <c r="H82" s="60">
        <f t="shared" si="10"/>
        <v>230</v>
      </c>
      <c r="I82" s="60">
        <f t="shared" si="10"/>
        <v>203</v>
      </c>
      <c r="J82" s="60">
        <f t="shared" si="10"/>
        <v>236</v>
      </c>
      <c r="K82" s="60">
        <f t="shared" si="10"/>
        <v>270.5</v>
      </c>
      <c r="L82" s="60">
        <f t="shared" si="10"/>
        <v>267.10000000000002</v>
      </c>
      <c r="M82" s="60">
        <f t="shared" si="10"/>
        <v>344</v>
      </c>
      <c r="N82" s="60">
        <f t="shared" si="10"/>
        <v>329</v>
      </c>
      <c r="O82" s="60">
        <f t="shared" si="10"/>
        <v>328</v>
      </c>
      <c r="P82" s="60">
        <f t="shared" si="10"/>
        <v>277.89999999999998</v>
      </c>
      <c r="Q82" s="60">
        <f t="shared" si="10"/>
        <v>269.7</v>
      </c>
      <c r="R82" s="60">
        <f t="shared" si="10"/>
        <v>277.39999999999998</v>
      </c>
      <c r="S82" s="60">
        <f t="shared" si="10"/>
        <v>221.2</v>
      </c>
      <c r="T82" s="60">
        <f t="shared" si="10"/>
        <v>243.6</v>
      </c>
      <c r="U82" s="60">
        <f t="shared" si="10"/>
        <v>222</v>
      </c>
      <c r="V82" s="60">
        <f t="shared" si="10"/>
        <v>279.5</v>
      </c>
      <c r="W82" s="60">
        <f t="shared" si="10"/>
        <v>210.2</v>
      </c>
      <c r="X82" s="60">
        <f t="shared" si="10"/>
        <v>195.8</v>
      </c>
      <c r="Y82" s="60">
        <f t="shared" si="10"/>
        <v>172.2</v>
      </c>
      <c r="Z82" s="60">
        <f t="shared" si="10"/>
        <v>234.5</v>
      </c>
      <c r="AA82" s="60">
        <f t="shared" si="10"/>
        <v>160.9</v>
      </c>
      <c r="AB82" s="60">
        <f t="shared" si="10"/>
        <v>93.8</v>
      </c>
      <c r="AC82" s="60">
        <f t="shared" si="10"/>
        <v>27.4</v>
      </c>
      <c r="AD82" s="60">
        <f t="shared" si="10"/>
        <v>28</v>
      </c>
      <c r="AE82" s="60">
        <f t="shared" si="10"/>
        <v>18</v>
      </c>
      <c r="AF82" s="60">
        <f t="shared" si="10"/>
        <v>22</v>
      </c>
      <c r="AG82" s="88">
        <f>SUM(AG71:AG81)</f>
        <v>0</v>
      </c>
      <c r="AH82" s="47">
        <f t="shared" si="8"/>
        <v>344</v>
      </c>
      <c r="AI82" s="48">
        <f t="shared" si="9"/>
        <v>18</v>
      </c>
      <c r="AK82" s="86"/>
      <c r="AL82" s="77"/>
      <c r="AM82" s="89"/>
      <c r="AN82" s="176">
        <f>448.2/4</f>
        <v>112.05</v>
      </c>
    </row>
    <row r="83" spans="1:40" x14ac:dyDescent="0.25">
      <c r="A83" s="44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90">
        <v>39</v>
      </c>
      <c r="AH83" s="47">
        <f t="shared" si="8"/>
        <v>0</v>
      </c>
      <c r="AI83" s="48">
        <f t="shared" si="9"/>
        <v>0</v>
      </c>
      <c r="AK83" s="86"/>
      <c r="AL83" s="77"/>
      <c r="AM83" s="77"/>
      <c r="AN83" s="177"/>
    </row>
    <row r="84" spans="1:40" ht="15.75" thickBot="1" x14ac:dyDescent="0.3">
      <c r="A84" s="53" t="s">
        <v>95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Z84" s="77">
        <v>0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5">
        <v>14.4</v>
      </c>
      <c r="AH84" s="47">
        <f t="shared" si="8"/>
        <v>0</v>
      </c>
      <c r="AI84" s="48">
        <f t="shared" si="9"/>
        <v>0</v>
      </c>
      <c r="AK84" s="91"/>
      <c r="AL84" s="92"/>
      <c r="AM84" s="92"/>
      <c r="AN84" s="93"/>
    </row>
    <row r="85" spans="1:40" ht="15.75" thickBot="1" x14ac:dyDescent="0.3">
      <c r="A85" s="84" t="s">
        <v>96</v>
      </c>
      <c r="B85" s="94">
        <v>0</v>
      </c>
      <c r="C85" s="94">
        <v>0</v>
      </c>
      <c r="D85" s="94">
        <v>0</v>
      </c>
      <c r="E85" s="94">
        <v>0</v>
      </c>
      <c r="F85" s="94">
        <v>0</v>
      </c>
      <c r="G85" s="94">
        <v>0</v>
      </c>
      <c r="H85" s="94">
        <v>0</v>
      </c>
      <c r="I85" s="94">
        <v>0</v>
      </c>
      <c r="J85" s="94">
        <v>0</v>
      </c>
      <c r="K85" s="94">
        <v>0</v>
      </c>
      <c r="L85" s="94">
        <v>0</v>
      </c>
      <c r="M85" s="94">
        <v>0</v>
      </c>
      <c r="N85" s="94">
        <v>0</v>
      </c>
      <c r="O85" s="94">
        <v>0</v>
      </c>
      <c r="P85" s="94">
        <v>0</v>
      </c>
      <c r="Q85" s="94">
        <v>0</v>
      </c>
      <c r="R85" s="94">
        <v>0</v>
      </c>
      <c r="S85" s="94">
        <v>0</v>
      </c>
      <c r="T85" s="94">
        <v>0</v>
      </c>
      <c r="U85" s="94">
        <v>0</v>
      </c>
      <c r="V85" s="94">
        <v>0</v>
      </c>
      <c r="W85" s="94">
        <v>0</v>
      </c>
      <c r="X85" s="94">
        <v>0</v>
      </c>
      <c r="Y85" s="94">
        <v>0</v>
      </c>
      <c r="Z85" s="94">
        <v>0</v>
      </c>
      <c r="AA85" s="94">
        <v>0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85">
        <v>2</v>
      </c>
      <c r="AH85" s="47">
        <f t="shared" si="8"/>
        <v>0</v>
      </c>
      <c r="AI85" s="48">
        <f t="shared" si="9"/>
        <v>0</v>
      </c>
    </row>
    <row r="86" spans="1:40" ht="15.75" thickBot="1" x14ac:dyDescent="0.3">
      <c r="A86" s="74" t="s">
        <v>97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88">
        <f>SUM(AG83:AG85)</f>
        <v>55.4</v>
      </c>
      <c r="AH86" s="47">
        <f t="shared" si="8"/>
        <v>0</v>
      </c>
      <c r="AI86" s="48">
        <f t="shared" si="9"/>
        <v>0</v>
      </c>
    </row>
    <row r="87" spans="1:40" ht="15.75" thickBot="1" x14ac:dyDescent="0.3">
      <c r="A87" s="74" t="s">
        <v>98</v>
      </c>
      <c r="B87" s="95">
        <v>1500.54</v>
      </c>
      <c r="C87" s="95">
        <f t="shared" ref="C87:AG87" si="11">C48+C52+C70+C66+C82+C86</f>
        <v>1381.54</v>
      </c>
      <c r="D87" s="95">
        <f t="shared" si="11"/>
        <v>1388.54</v>
      </c>
      <c r="E87" s="95">
        <f t="shared" si="11"/>
        <v>1392.54</v>
      </c>
      <c r="F87" s="95">
        <f t="shared" si="11"/>
        <v>1387.54</v>
      </c>
      <c r="G87" s="95">
        <f t="shared" si="11"/>
        <v>1397.54</v>
      </c>
      <c r="H87" s="95">
        <f t="shared" si="11"/>
        <v>1342.54</v>
      </c>
      <c r="I87" s="95">
        <f t="shared" si="11"/>
        <v>1310.54</v>
      </c>
      <c r="J87" s="95">
        <f t="shared" si="11"/>
        <v>1353.54</v>
      </c>
      <c r="K87" s="95">
        <f t="shared" si="11"/>
        <v>1383.04</v>
      </c>
      <c r="L87" s="95">
        <f t="shared" si="11"/>
        <v>1446.44</v>
      </c>
      <c r="M87" s="95">
        <f t="shared" si="11"/>
        <v>1476.3400000000001</v>
      </c>
      <c r="N87" s="95">
        <f t="shared" si="11"/>
        <v>1401.64</v>
      </c>
      <c r="O87" s="95">
        <f t="shared" si="11"/>
        <v>1444.6399999999999</v>
      </c>
      <c r="P87" s="95">
        <f t="shared" si="11"/>
        <v>1464.3400000000001</v>
      </c>
      <c r="Q87" s="95">
        <f t="shared" si="11"/>
        <v>1405.44</v>
      </c>
      <c r="R87" s="95">
        <f t="shared" si="11"/>
        <v>1411.3400000000001</v>
      </c>
      <c r="S87" s="95">
        <f t="shared" si="11"/>
        <v>1381.74</v>
      </c>
      <c r="T87" s="95">
        <f t="shared" si="11"/>
        <v>1337.6399999999999</v>
      </c>
      <c r="U87" s="95">
        <f t="shared" si="11"/>
        <v>1367.54</v>
      </c>
      <c r="V87" s="95">
        <f t="shared" si="11"/>
        <v>1349.0400000000002</v>
      </c>
      <c r="W87" s="95">
        <f t="shared" si="11"/>
        <v>1200.8400000000001</v>
      </c>
      <c r="X87" s="95">
        <f t="shared" si="11"/>
        <v>1161.6400000000001</v>
      </c>
      <c r="Y87" s="95">
        <f t="shared" si="11"/>
        <v>1121.8400000000001</v>
      </c>
      <c r="Z87" s="95">
        <f t="shared" si="11"/>
        <v>1200.6400000000001</v>
      </c>
      <c r="AA87" s="95">
        <f t="shared" si="11"/>
        <v>1275.8400000000001</v>
      </c>
      <c r="AB87" s="95">
        <f t="shared" si="11"/>
        <v>1271.24</v>
      </c>
      <c r="AC87" s="95">
        <f t="shared" si="11"/>
        <v>1236.1400000000001</v>
      </c>
      <c r="AD87" s="95">
        <f t="shared" si="11"/>
        <v>1259.8399999999999</v>
      </c>
      <c r="AE87" s="95">
        <f t="shared" si="11"/>
        <v>1253.8400000000001</v>
      </c>
      <c r="AF87" s="95">
        <f t="shared" si="11"/>
        <v>1220.6400000000001</v>
      </c>
      <c r="AG87" s="61">
        <f t="shared" si="11"/>
        <v>2065.09</v>
      </c>
      <c r="AH87" s="47">
        <f>MAX(B87:AF87)</f>
        <v>1500.54</v>
      </c>
      <c r="AI87" s="48">
        <f>MIN(B87:AF87)</f>
        <v>1121.8400000000001</v>
      </c>
    </row>
    <row r="88" spans="1:40" ht="15.75" thickBot="1" x14ac:dyDescent="0.3">
      <c r="A88" s="96" t="s">
        <v>99</v>
      </c>
      <c r="B88" s="97">
        <v>0</v>
      </c>
      <c r="C88" s="97">
        <v>100</v>
      </c>
      <c r="D88" s="97">
        <v>50</v>
      </c>
      <c r="E88" s="97">
        <v>0</v>
      </c>
      <c r="F88" s="97"/>
      <c r="G88" s="97"/>
      <c r="H88" s="97"/>
      <c r="I88" s="97"/>
      <c r="J88" s="97"/>
      <c r="K88" s="97"/>
      <c r="L88" s="97">
        <v>50</v>
      </c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88"/>
      <c r="AH88" s="47">
        <f t="shared" si="8"/>
        <v>100</v>
      </c>
      <c r="AI88" s="48">
        <f t="shared" si="9"/>
        <v>0</v>
      </c>
    </row>
    <row r="89" spans="1:40" ht="15.75" thickBot="1" x14ac:dyDescent="0.3">
      <c r="A89" s="74" t="s">
        <v>100</v>
      </c>
      <c r="B89" s="95">
        <v>1500.54</v>
      </c>
      <c r="C89" s="95">
        <f t="shared" ref="C89:AF89" si="12">C87+C88</f>
        <v>1481.54</v>
      </c>
      <c r="D89" s="95">
        <f t="shared" si="12"/>
        <v>1438.54</v>
      </c>
      <c r="E89" s="95">
        <f t="shared" si="12"/>
        <v>1392.54</v>
      </c>
      <c r="F89" s="95">
        <f t="shared" si="12"/>
        <v>1387.54</v>
      </c>
      <c r="G89" s="95">
        <f t="shared" si="12"/>
        <v>1397.54</v>
      </c>
      <c r="H89" s="95">
        <f t="shared" si="12"/>
        <v>1342.54</v>
      </c>
      <c r="I89" s="95">
        <f t="shared" si="12"/>
        <v>1310.54</v>
      </c>
      <c r="J89" s="95">
        <f t="shared" si="12"/>
        <v>1353.54</v>
      </c>
      <c r="K89" s="95">
        <f t="shared" si="12"/>
        <v>1383.04</v>
      </c>
      <c r="L89" s="95">
        <f t="shared" si="12"/>
        <v>1496.44</v>
      </c>
      <c r="M89" s="95">
        <f t="shared" si="12"/>
        <v>1476.3400000000001</v>
      </c>
      <c r="N89" s="95">
        <f t="shared" si="12"/>
        <v>1401.64</v>
      </c>
      <c r="O89" s="95">
        <f t="shared" si="12"/>
        <v>1444.6399999999999</v>
      </c>
      <c r="P89" s="95">
        <f t="shared" si="12"/>
        <v>1464.3400000000001</v>
      </c>
      <c r="Q89" s="95">
        <f t="shared" si="12"/>
        <v>1405.44</v>
      </c>
      <c r="R89" s="95">
        <f t="shared" si="12"/>
        <v>1411.3400000000001</v>
      </c>
      <c r="S89" s="95">
        <f t="shared" si="12"/>
        <v>1381.74</v>
      </c>
      <c r="T89" s="95">
        <f t="shared" si="12"/>
        <v>1337.6399999999999</v>
      </c>
      <c r="U89" s="95">
        <f t="shared" si="12"/>
        <v>1367.54</v>
      </c>
      <c r="V89" s="95">
        <f t="shared" si="12"/>
        <v>1349.0400000000002</v>
      </c>
      <c r="W89" s="95">
        <f t="shared" si="12"/>
        <v>1200.8400000000001</v>
      </c>
      <c r="X89" s="95">
        <f t="shared" si="12"/>
        <v>1161.6400000000001</v>
      </c>
      <c r="Y89" s="95">
        <f t="shared" si="12"/>
        <v>1121.8400000000001</v>
      </c>
      <c r="Z89" s="95">
        <f t="shared" si="12"/>
        <v>1200.6400000000001</v>
      </c>
      <c r="AA89" s="95">
        <f t="shared" si="12"/>
        <v>1275.8400000000001</v>
      </c>
      <c r="AB89" s="95">
        <f t="shared" si="12"/>
        <v>1271.24</v>
      </c>
      <c r="AC89" s="95">
        <f t="shared" si="12"/>
        <v>1236.1400000000001</v>
      </c>
      <c r="AD89" s="95">
        <f t="shared" si="12"/>
        <v>1259.8399999999999</v>
      </c>
      <c r="AE89" s="95">
        <f t="shared" si="12"/>
        <v>1253.8400000000001</v>
      </c>
      <c r="AF89" s="95">
        <f t="shared" si="12"/>
        <v>1220.6400000000001</v>
      </c>
      <c r="AG89" s="88">
        <f>AG86+AG82+AG70+AG66+AG48+AG88</f>
        <v>1526.99</v>
      </c>
      <c r="AH89" s="47">
        <f t="shared" si="8"/>
        <v>1500.54</v>
      </c>
      <c r="AI89" s="48">
        <f t="shared" si="9"/>
        <v>1121.8400000000001</v>
      </c>
    </row>
    <row r="90" spans="1:40" ht="15.75" thickBot="1" x14ac:dyDescent="0.3">
      <c r="A90" s="74" t="s">
        <v>101</v>
      </c>
      <c r="B90" s="95">
        <v>1500.54</v>
      </c>
      <c r="C90" s="95">
        <f t="shared" ref="C90:AF90" si="13">C89-C97</f>
        <v>1481.54</v>
      </c>
      <c r="D90" s="95">
        <f t="shared" si="13"/>
        <v>1438.54</v>
      </c>
      <c r="E90" s="95">
        <f t="shared" si="13"/>
        <v>1392.54</v>
      </c>
      <c r="F90" s="95">
        <f t="shared" si="13"/>
        <v>1387.54</v>
      </c>
      <c r="G90" s="95">
        <f t="shared" si="13"/>
        <v>1397.54</v>
      </c>
      <c r="H90" s="95">
        <f t="shared" si="13"/>
        <v>1342.54</v>
      </c>
      <c r="I90" s="95">
        <f t="shared" si="13"/>
        <v>1310.54</v>
      </c>
      <c r="J90" s="95">
        <f t="shared" si="13"/>
        <v>1353.54</v>
      </c>
      <c r="K90" s="95">
        <f t="shared" si="13"/>
        <v>1383.04</v>
      </c>
      <c r="L90" s="95">
        <f t="shared" si="13"/>
        <v>1496.44</v>
      </c>
      <c r="M90" s="95">
        <f t="shared" si="13"/>
        <v>1476.3400000000001</v>
      </c>
      <c r="N90" s="95">
        <f t="shared" si="13"/>
        <v>1401.64</v>
      </c>
      <c r="O90" s="95">
        <f t="shared" si="13"/>
        <v>1444.6399999999999</v>
      </c>
      <c r="P90" s="95">
        <f t="shared" si="13"/>
        <v>1464.3400000000001</v>
      </c>
      <c r="Q90" s="95">
        <f t="shared" si="13"/>
        <v>1405.44</v>
      </c>
      <c r="R90" s="95">
        <f t="shared" si="13"/>
        <v>1411.3400000000001</v>
      </c>
      <c r="S90" s="95">
        <f t="shared" si="13"/>
        <v>1381.74</v>
      </c>
      <c r="T90" s="95">
        <f t="shared" si="13"/>
        <v>1337.6399999999999</v>
      </c>
      <c r="U90" s="95">
        <f t="shared" si="13"/>
        <v>1367.54</v>
      </c>
      <c r="V90" s="95">
        <f t="shared" si="13"/>
        <v>1349.0400000000002</v>
      </c>
      <c r="W90" s="95">
        <f t="shared" si="13"/>
        <v>1200.8400000000001</v>
      </c>
      <c r="X90" s="95">
        <f t="shared" si="13"/>
        <v>1161.6400000000001</v>
      </c>
      <c r="Y90" s="95">
        <f t="shared" si="13"/>
        <v>1121.8400000000001</v>
      </c>
      <c r="Z90" s="95">
        <f t="shared" si="13"/>
        <v>1200.6400000000001</v>
      </c>
      <c r="AA90" s="95">
        <f t="shared" si="13"/>
        <v>1275.8400000000001</v>
      </c>
      <c r="AB90" s="95">
        <f t="shared" si="13"/>
        <v>1271.24</v>
      </c>
      <c r="AC90" s="95">
        <f t="shared" si="13"/>
        <v>1236.1400000000001</v>
      </c>
      <c r="AD90" s="95">
        <f t="shared" si="13"/>
        <v>1259.8399999999999</v>
      </c>
      <c r="AE90" s="95">
        <f t="shared" si="13"/>
        <v>1253.8400000000001</v>
      </c>
      <c r="AF90" s="95">
        <f t="shared" si="13"/>
        <v>1220.6400000000001</v>
      </c>
      <c r="AG90" s="88"/>
      <c r="AH90" s="47">
        <f t="shared" si="8"/>
        <v>1500.54</v>
      </c>
      <c r="AI90" s="48">
        <f t="shared" si="9"/>
        <v>1121.8400000000001</v>
      </c>
    </row>
    <row r="91" spans="1:40" x14ac:dyDescent="0.25">
      <c r="A91" s="44" t="s">
        <v>82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51"/>
      <c r="AH91" s="47">
        <f t="shared" si="8"/>
        <v>0</v>
      </c>
      <c r="AI91" s="48">
        <f t="shared" si="9"/>
        <v>0</v>
      </c>
    </row>
    <row r="92" spans="1:40" x14ac:dyDescent="0.25">
      <c r="A92" s="53" t="s">
        <v>80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54"/>
      <c r="AH92" s="47">
        <f t="shared" si="8"/>
        <v>0</v>
      </c>
      <c r="AI92" s="48">
        <f t="shared" si="9"/>
        <v>0</v>
      </c>
    </row>
    <row r="93" spans="1:40" x14ac:dyDescent="0.25">
      <c r="A93" s="84" t="s">
        <v>102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8"/>
      <c r="AH93" s="47">
        <f t="shared" si="8"/>
        <v>0</v>
      </c>
      <c r="AI93" s="48">
        <f t="shared" si="9"/>
        <v>0</v>
      </c>
    </row>
    <row r="94" spans="1:40" x14ac:dyDescent="0.25">
      <c r="A94" s="84" t="s">
        <v>103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98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79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ht="15.75" thickBot="1" x14ac:dyDescent="0.3">
      <c r="A96" s="84" t="s">
        <v>104</v>
      </c>
      <c r="B96" s="94">
        <v>0</v>
      </c>
      <c r="C96" s="94">
        <v>0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94">
        <v>0</v>
      </c>
      <c r="AF96" s="94">
        <v>0</v>
      </c>
      <c r="AG96" s="85"/>
      <c r="AH96" s="47">
        <f t="shared" si="8"/>
        <v>0</v>
      </c>
      <c r="AI96" s="48">
        <f t="shared" si="9"/>
        <v>0</v>
      </c>
    </row>
    <row r="97" spans="1:37" ht="15.75" thickBot="1" x14ac:dyDescent="0.3">
      <c r="A97" s="99" t="s">
        <v>105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88"/>
      <c r="AH97" s="47">
        <f t="shared" si="8"/>
        <v>0</v>
      </c>
      <c r="AI97" s="48">
        <f t="shared" si="9"/>
        <v>0</v>
      </c>
      <c r="AK97" s="49"/>
    </row>
    <row r="98" spans="1:37" ht="15.75" thickBot="1" x14ac:dyDescent="0.3">
      <c r="A98" s="74" t="s">
        <v>106</v>
      </c>
      <c r="B98" s="60">
        <v>47</v>
      </c>
      <c r="C98" s="60">
        <f t="shared" ref="C98:AF98" si="14">C82-C97</f>
        <v>150</v>
      </c>
      <c r="D98" s="60">
        <f t="shared" si="14"/>
        <v>251</v>
      </c>
      <c r="E98" s="60">
        <f t="shared" si="14"/>
        <v>250</v>
      </c>
      <c r="F98" s="60">
        <f t="shared" si="14"/>
        <v>260</v>
      </c>
      <c r="G98" s="60">
        <f t="shared" si="14"/>
        <v>270</v>
      </c>
      <c r="H98" s="60">
        <f t="shared" si="14"/>
        <v>230</v>
      </c>
      <c r="I98" s="60">
        <f t="shared" si="14"/>
        <v>203</v>
      </c>
      <c r="J98" s="60">
        <f t="shared" si="14"/>
        <v>236</v>
      </c>
      <c r="K98" s="60">
        <f t="shared" si="14"/>
        <v>270.5</v>
      </c>
      <c r="L98" s="60">
        <f t="shared" si="14"/>
        <v>267.10000000000002</v>
      </c>
      <c r="M98" s="60">
        <f t="shared" si="14"/>
        <v>344</v>
      </c>
      <c r="N98" s="60">
        <f t="shared" si="14"/>
        <v>329</v>
      </c>
      <c r="O98" s="60">
        <f t="shared" si="14"/>
        <v>328</v>
      </c>
      <c r="P98" s="60">
        <f t="shared" si="14"/>
        <v>277.89999999999998</v>
      </c>
      <c r="Q98" s="60">
        <f t="shared" si="14"/>
        <v>269.7</v>
      </c>
      <c r="R98" s="60">
        <f t="shared" si="14"/>
        <v>277.39999999999998</v>
      </c>
      <c r="S98" s="60">
        <f t="shared" si="14"/>
        <v>221.2</v>
      </c>
      <c r="T98" s="60">
        <f t="shared" si="14"/>
        <v>243.6</v>
      </c>
      <c r="U98" s="60">
        <f t="shared" si="14"/>
        <v>222</v>
      </c>
      <c r="V98" s="60">
        <f t="shared" si="14"/>
        <v>279.5</v>
      </c>
      <c r="W98" s="60">
        <f t="shared" si="14"/>
        <v>210.2</v>
      </c>
      <c r="X98" s="60">
        <f t="shared" si="14"/>
        <v>195.8</v>
      </c>
      <c r="Y98" s="60">
        <f t="shared" si="14"/>
        <v>172.2</v>
      </c>
      <c r="Z98" s="60">
        <f t="shared" si="14"/>
        <v>234.5</v>
      </c>
      <c r="AA98" s="60">
        <f t="shared" si="14"/>
        <v>160.9</v>
      </c>
      <c r="AB98" s="60">
        <f t="shared" si="14"/>
        <v>93.8</v>
      </c>
      <c r="AC98" s="60">
        <f t="shared" si="14"/>
        <v>27.4</v>
      </c>
      <c r="AD98" s="60">
        <f t="shared" si="14"/>
        <v>28</v>
      </c>
      <c r="AE98" s="60">
        <f t="shared" si="14"/>
        <v>18</v>
      </c>
      <c r="AF98" s="60">
        <f t="shared" si="14"/>
        <v>22</v>
      </c>
      <c r="AG98" s="88"/>
      <c r="AH98" s="47">
        <f t="shared" si="8"/>
        <v>344</v>
      </c>
      <c r="AI98" s="48">
        <f t="shared" si="9"/>
        <v>18</v>
      </c>
    </row>
    <row r="99" spans="1:37" x14ac:dyDescent="0.25">
      <c r="A99" s="100" t="s">
        <v>107</v>
      </c>
      <c r="B99" s="101">
        <v>50.06</v>
      </c>
      <c r="C99" s="101">
        <v>50</v>
      </c>
      <c r="D99" s="101">
        <v>50.02</v>
      </c>
      <c r="E99" s="101">
        <v>49.9</v>
      </c>
      <c r="F99" s="101">
        <v>50.01</v>
      </c>
      <c r="G99" s="101">
        <v>49.93</v>
      </c>
      <c r="H99" s="101">
        <v>49.98</v>
      </c>
      <c r="I99" s="101">
        <v>49.92</v>
      </c>
      <c r="J99" s="101">
        <v>49.98</v>
      </c>
      <c r="K99" s="101">
        <v>49.97</v>
      </c>
      <c r="L99" s="101">
        <v>49.96</v>
      </c>
      <c r="M99" s="101">
        <v>49.96</v>
      </c>
      <c r="N99" s="101">
        <v>50.061</v>
      </c>
      <c r="O99" s="101">
        <v>49.963000000000001</v>
      </c>
      <c r="P99" s="101">
        <v>50.171999999999997</v>
      </c>
      <c r="Q99" s="101">
        <v>50.076000000000001</v>
      </c>
      <c r="R99" s="101">
        <v>50.267000000000003</v>
      </c>
      <c r="S99" s="101">
        <v>49.914999999999999</v>
      </c>
      <c r="T99" s="101">
        <v>50.021000000000001</v>
      </c>
      <c r="U99" s="101">
        <v>49.948999999999998</v>
      </c>
      <c r="V99" s="101">
        <v>49.965000000000003</v>
      </c>
      <c r="W99" s="101">
        <v>50.067</v>
      </c>
      <c r="X99" s="101">
        <v>50.015000000000001</v>
      </c>
      <c r="Y99" s="101">
        <v>50.006999999999998</v>
      </c>
      <c r="Z99" s="101">
        <v>50.167000000000002</v>
      </c>
      <c r="AA99" s="101">
        <v>49.973999999999997</v>
      </c>
      <c r="AB99" s="101">
        <v>50.05</v>
      </c>
      <c r="AC99" s="101">
        <v>50.08</v>
      </c>
      <c r="AD99" s="101">
        <v>50.140999999999998</v>
      </c>
      <c r="AE99" s="101">
        <v>50.05</v>
      </c>
      <c r="AF99" s="101">
        <v>50</v>
      </c>
      <c r="AG99" s="102"/>
      <c r="AH99" s="47">
        <f t="shared" si="8"/>
        <v>50.267000000000003</v>
      </c>
      <c r="AI99" s="48">
        <f t="shared" si="9"/>
        <v>49.9</v>
      </c>
    </row>
    <row r="100" spans="1:37" x14ac:dyDescent="0.25">
      <c r="A100" s="103" t="s">
        <v>108</v>
      </c>
      <c r="B100" s="65">
        <v>123</v>
      </c>
      <c r="C100" s="65">
        <v>123</v>
      </c>
      <c r="D100" s="65">
        <v>123</v>
      </c>
      <c r="E100" s="65">
        <v>125.9</v>
      </c>
      <c r="F100" s="65">
        <v>125.9</v>
      </c>
      <c r="G100" s="65">
        <v>131.22999999999999</v>
      </c>
      <c r="H100" s="65">
        <v>131</v>
      </c>
      <c r="I100" s="65">
        <v>126.3</v>
      </c>
      <c r="J100" s="65">
        <v>126.3</v>
      </c>
      <c r="K100" s="65">
        <v>125.7</v>
      </c>
      <c r="L100" s="65">
        <v>124.3</v>
      </c>
      <c r="M100" s="65">
        <v>124.3</v>
      </c>
      <c r="N100" s="65">
        <v>124.3</v>
      </c>
      <c r="O100" s="65">
        <v>120.8</v>
      </c>
      <c r="P100" s="65">
        <v>122.1</v>
      </c>
      <c r="Q100" s="65">
        <v>121.5</v>
      </c>
      <c r="R100" s="65">
        <v>121.5</v>
      </c>
      <c r="S100" s="65">
        <v>120.5</v>
      </c>
      <c r="T100" s="65">
        <v>120.9</v>
      </c>
      <c r="U100" s="65">
        <v>120.9</v>
      </c>
      <c r="V100" s="65">
        <v>124.4</v>
      </c>
      <c r="W100" s="65">
        <v>125.1</v>
      </c>
      <c r="X100" s="65">
        <v>125.6</v>
      </c>
      <c r="Y100" s="65">
        <v>126.2</v>
      </c>
      <c r="Z100" s="65">
        <v>123.6</v>
      </c>
      <c r="AA100" s="65">
        <v>123.8</v>
      </c>
      <c r="AB100" s="65">
        <v>124.9</v>
      </c>
      <c r="AC100" s="65">
        <v>126.4</v>
      </c>
      <c r="AD100" s="65">
        <v>125.3</v>
      </c>
      <c r="AE100" s="65">
        <v>125.4</v>
      </c>
      <c r="AF100" s="65">
        <v>123.7</v>
      </c>
      <c r="AG100" s="104"/>
      <c r="AH100" s="47">
        <f t="shared" si="8"/>
        <v>131.22999999999999</v>
      </c>
      <c r="AI100" s="48">
        <f t="shared" si="9"/>
        <v>120.5</v>
      </c>
    </row>
    <row r="101" spans="1:37" x14ac:dyDescent="0.25">
      <c r="A101" s="103" t="s">
        <v>109</v>
      </c>
      <c r="B101" s="65">
        <v>129</v>
      </c>
      <c r="C101" s="65">
        <v>129</v>
      </c>
      <c r="D101" s="65">
        <v>129</v>
      </c>
      <c r="E101" s="65">
        <v>130.9</v>
      </c>
      <c r="F101" s="65">
        <v>130.9</v>
      </c>
      <c r="G101" s="65">
        <v>130.9</v>
      </c>
      <c r="H101" s="65">
        <v>130.9</v>
      </c>
      <c r="I101" s="65">
        <v>130.9</v>
      </c>
      <c r="J101" s="65">
        <v>130.9</v>
      </c>
      <c r="K101" s="65">
        <v>129</v>
      </c>
      <c r="L101" s="65">
        <v>127.5</v>
      </c>
      <c r="M101" s="65">
        <v>127.5</v>
      </c>
      <c r="N101" s="65">
        <v>127.5</v>
      </c>
      <c r="O101" s="65">
        <v>125</v>
      </c>
      <c r="P101" s="65">
        <v>126.5</v>
      </c>
      <c r="Q101" s="65">
        <v>128.19999999999999</v>
      </c>
      <c r="R101" s="65">
        <v>128.19999999999999</v>
      </c>
      <c r="S101" s="65">
        <v>126.3</v>
      </c>
      <c r="T101" s="65">
        <v>125</v>
      </c>
      <c r="U101" s="65">
        <v>125</v>
      </c>
      <c r="V101" s="65">
        <v>128.19999999999999</v>
      </c>
      <c r="W101" s="65">
        <v>128.30000000000001</v>
      </c>
      <c r="X101" s="65">
        <v>128.9</v>
      </c>
      <c r="Y101" s="65">
        <v>129.5</v>
      </c>
      <c r="Z101" s="65">
        <v>127.5</v>
      </c>
      <c r="AA101" s="65">
        <v>127.1</v>
      </c>
      <c r="AB101" s="65">
        <v>128.30000000000001</v>
      </c>
      <c r="AC101" s="65">
        <v>129.9</v>
      </c>
      <c r="AD101" s="65">
        <v>129.30000000000001</v>
      </c>
      <c r="AE101" s="65">
        <v>129.9</v>
      </c>
      <c r="AF101" s="65">
        <v>129.1</v>
      </c>
      <c r="AG101" s="104"/>
      <c r="AH101" s="47">
        <f t="shared" si="8"/>
        <v>130.9</v>
      </c>
      <c r="AI101" s="48">
        <f t="shared" si="9"/>
        <v>125</v>
      </c>
    </row>
    <row r="102" spans="1:37" x14ac:dyDescent="0.25">
      <c r="A102" s="103" t="s">
        <v>110</v>
      </c>
      <c r="B102" s="65">
        <v>124</v>
      </c>
      <c r="C102" s="65">
        <v>124</v>
      </c>
      <c r="D102" s="65">
        <v>124</v>
      </c>
      <c r="E102" s="65">
        <v>130.03</v>
      </c>
      <c r="F102" s="65">
        <v>130.03</v>
      </c>
      <c r="G102" s="65">
        <v>130.03</v>
      </c>
      <c r="H102" s="65">
        <v>130.03</v>
      </c>
      <c r="I102" s="65">
        <v>129.5</v>
      </c>
      <c r="J102" s="65">
        <v>129.5</v>
      </c>
      <c r="K102" s="65">
        <v>128.19999999999999</v>
      </c>
      <c r="L102" s="65">
        <v>128.19999999999999</v>
      </c>
      <c r="M102" s="65">
        <v>128.19999999999999</v>
      </c>
      <c r="N102" s="65">
        <v>128.19999999999999</v>
      </c>
      <c r="O102" s="65">
        <v>122.9</v>
      </c>
      <c r="P102" s="65">
        <v>126.8</v>
      </c>
      <c r="Q102" s="65">
        <v>127.1</v>
      </c>
      <c r="R102" s="65">
        <v>127.1</v>
      </c>
      <c r="S102" s="65">
        <v>123.3</v>
      </c>
      <c r="T102" s="65">
        <v>125.2</v>
      </c>
      <c r="U102" s="65">
        <v>125.2</v>
      </c>
      <c r="V102" s="65">
        <v>129.69999999999999</v>
      </c>
      <c r="W102" s="65">
        <v>131</v>
      </c>
      <c r="X102" s="65">
        <v>130.30000000000001</v>
      </c>
      <c r="Y102" s="65">
        <v>131.69999999999999</v>
      </c>
      <c r="Z102" s="65">
        <v>131</v>
      </c>
      <c r="AA102" s="65">
        <v>135.69999999999999</v>
      </c>
      <c r="AB102" s="65">
        <v>134</v>
      </c>
      <c r="AC102" s="65">
        <v>132.19999999999999</v>
      </c>
      <c r="AD102" s="65">
        <v>130.4</v>
      </c>
      <c r="AE102" s="65">
        <v>131.1</v>
      </c>
      <c r="AF102" s="65">
        <v>131</v>
      </c>
      <c r="AG102" s="104"/>
      <c r="AH102" s="47">
        <f t="shared" si="8"/>
        <v>135.69999999999999</v>
      </c>
      <c r="AI102" s="48">
        <f t="shared" si="9"/>
        <v>122.9</v>
      </c>
    </row>
    <row r="103" spans="1:37" x14ac:dyDescent="0.25">
      <c r="A103" s="105" t="s">
        <v>111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5" t="s">
        <v>112</v>
      </c>
      <c r="B104" s="106">
        <v>132</v>
      </c>
      <c r="C104" s="106">
        <v>132</v>
      </c>
      <c r="D104" s="106">
        <v>132</v>
      </c>
      <c r="E104" s="106">
        <v>132.6</v>
      </c>
      <c r="F104" s="106">
        <v>132.6</v>
      </c>
      <c r="G104" s="106">
        <v>132.6</v>
      </c>
      <c r="H104" s="106">
        <v>132.6</v>
      </c>
      <c r="I104" s="106">
        <v>131.1</v>
      </c>
      <c r="J104" s="106">
        <v>131.1</v>
      </c>
      <c r="K104" s="106">
        <v>131.1</v>
      </c>
      <c r="L104" s="106">
        <v>131.1</v>
      </c>
      <c r="M104" s="106">
        <v>131.1</v>
      </c>
      <c r="N104" s="106">
        <v>131.1</v>
      </c>
      <c r="O104" s="106">
        <v>131.6</v>
      </c>
      <c r="P104" s="106">
        <v>135</v>
      </c>
      <c r="Q104" s="106">
        <v>133.80000000000001</v>
      </c>
      <c r="R104" s="106">
        <v>133.80000000000001</v>
      </c>
      <c r="S104" s="106">
        <v>131.6</v>
      </c>
      <c r="T104" s="106">
        <v>128.9</v>
      </c>
      <c r="U104" s="106">
        <v>128.9</v>
      </c>
      <c r="V104" s="106">
        <v>134.5</v>
      </c>
      <c r="W104" s="106">
        <v>134</v>
      </c>
      <c r="X104" s="106">
        <v>134</v>
      </c>
      <c r="Y104" s="106">
        <v>134.1</v>
      </c>
      <c r="Z104" s="106">
        <v>132</v>
      </c>
      <c r="AA104" s="106">
        <v>133.6</v>
      </c>
      <c r="AB104" s="106">
        <v>130.5</v>
      </c>
      <c r="AC104" s="106">
        <v>132.80000000000001</v>
      </c>
      <c r="AD104" s="106">
        <v>130.9</v>
      </c>
      <c r="AE104" s="106">
        <v>130.4</v>
      </c>
      <c r="AF104" s="106">
        <v>130.80000000000001</v>
      </c>
      <c r="AG104" s="107"/>
      <c r="AH104" s="47">
        <f t="shared" si="8"/>
        <v>135</v>
      </c>
      <c r="AI104" s="48">
        <f t="shared" si="9"/>
        <v>128.9</v>
      </c>
    </row>
    <row r="105" spans="1:37" x14ac:dyDescent="0.25">
      <c r="A105" s="103" t="s">
        <v>113</v>
      </c>
      <c r="B105" s="65">
        <v>132</v>
      </c>
      <c r="C105" s="65">
        <v>132</v>
      </c>
      <c r="D105" s="65">
        <v>132</v>
      </c>
      <c r="E105" s="65">
        <v>132</v>
      </c>
      <c r="F105" s="65">
        <v>132</v>
      </c>
      <c r="G105" s="65">
        <v>132</v>
      </c>
      <c r="H105" s="65">
        <v>132</v>
      </c>
      <c r="I105" s="65">
        <v>135.6</v>
      </c>
      <c r="J105" s="65">
        <v>135.6</v>
      </c>
      <c r="K105" s="65">
        <v>132.5</v>
      </c>
      <c r="L105" s="65">
        <v>132.5</v>
      </c>
      <c r="M105" s="65">
        <v>132.5</v>
      </c>
      <c r="N105" s="65">
        <v>132.5</v>
      </c>
      <c r="O105" s="65">
        <v>134.6</v>
      </c>
      <c r="P105" s="65">
        <v>128</v>
      </c>
      <c r="Q105" s="65">
        <v>127.8</v>
      </c>
      <c r="R105" s="65">
        <v>127.8</v>
      </c>
      <c r="S105" s="65">
        <v>132.19999999999999</v>
      </c>
      <c r="T105" s="65">
        <v>129.30000000000001</v>
      </c>
      <c r="U105" s="65">
        <v>129.30000000000001</v>
      </c>
      <c r="V105" s="65">
        <v>130.80000000000001</v>
      </c>
      <c r="W105" s="65">
        <v>132.4</v>
      </c>
      <c r="X105" s="65">
        <v>131.6</v>
      </c>
      <c r="Y105" s="65">
        <v>131.69999999999999</v>
      </c>
      <c r="Z105" s="65">
        <v>133</v>
      </c>
      <c r="AA105" s="65">
        <v>131.1</v>
      </c>
      <c r="AB105" s="65">
        <v>133.9</v>
      </c>
      <c r="AC105" s="65">
        <v>131</v>
      </c>
      <c r="AD105" s="65">
        <v>130.5</v>
      </c>
      <c r="AE105" s="65">
        <v>134.4</v>
      </c>
      <c r="AF105" s="65">
        <v>132.19999999999999</v>
      </c>
      <c r="AG105" s="104"/>
      <c r="AH105" s="47">
        <f t="shared" si="8"/>
        <v>135.6</v>
      </c>
      <c r="AI105" s="48">
        <f t="shared" si="9"/>
        <v>127.8</v>
      </c>
    </row>
    <row r="106" spans="1:37" ht="15.75" thickBot="1" x14ac:dyDescent="0.3">
      <c r="A106" s="103" t="s">
        <v>114</v>
      </c>
      <c r="B106" s="92">
        <v>64.8</v>
      </c>
      <c r="C106" s="92">
        <v>64.8</v>
      </c>
      <c r="D106" s="92">
        <v>64.8</v>
      </c>
      <c r="E106" s="92">
        <v>65.3</v>
      </c>
      <c r="F106" s="92">
        <v>65.3</v>
      </c>
      <c r="G106" s="92">
        <v>65.3</v>
      </c>
      <c r="H106" s="92">
        <v>65.3</v>
      </c>
      <c r="I106" s="92">
        <v>65.099999999999994</v>
      </c>
      <c r="J106" s="92">
        <v>65.099999999999994</v>
      </c>
      <c r="K106" s="92">
        <v>63.8</v>
      </c>
      <c r="L106" s="92">
        <v>63.8</v>
      </c>
      <c r="M106" s="92">
        <v>63.8</v>
      </c>
      <c r="N106" s="92">
        <v>63.8</v>
      </c>
      <c r="O106" s="92">
        <v>62.2</v>
      </c>
      <c r="P106" s="92">
        <v>63.4</v>
      </c>
      <c r="Q106" s="92">
        <v>63</v>
      </c>
      <c r="R106" s="92">
        <v>63</v>
      </c>
      <c r="S106" s="92">
        <v>63.1</v>
      </c>
      <c r="T106" s="92">
        <v>62.9</v>
      </c>
      <c r="U106" s="92">
        <v>62.9</v>
      </c>
      <c r="V106" s="92">
        <v>64.8</v>
      </c>
      <c r="W106" s="92">
        <v>64.599999999999994</v>
      </c>
      <c r="X106" s="92">
        <v>65</v>
      </c>
      <c r="Y106" s="92">
        <v>65.099999999999994</v>
      </c>
      <c r="Z106" s="92">
        <v>64.099999999999994</v>
      </c>
      <c r="AA106" s="92">
        <v>63.9</v>
      </c>
      <c r="AB106" s="92">
        <v>64.7</v>
      </c>
      <c r="AC106" s="92">
        <v>65.5</v>
      </c>
      <c r="AD106" s="92">
        <v>65.099999999999994</v>
      </c>
      <c r="AE106" s="92">
        <v>65.099999999999994</v>
      </c>
      <c r="AF106" s="92">
        <v>64.8</v>
      </c>
      <c r="AG106" s="108"/>
      <c r="AH106" s="47">
        <f t="shared" si="8"/>
        <v>65.5</v>
      </c>
      <c r="AI106" s="48">
        <f t="shared" si="9"/>
        <v>62.2</v>
      </c>
    </row>
    <row r="107" spans="1:37" ht="15.75" thickBot="1" x14ac:dyDescent="0.3">
      <c r="A107" s="109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 t="s">
        <v>115</v>
      </c>
      <c r="Y107" s="92"/>
      <c r="Z107" s="92"/>
      <c r="AA107" s="92"/>
      <c r="AB107" s="92"/>
      <c r="AC107" s="92"/>
      <c r="AD107" s="92"/>
      <c r="AE107" s="92"/>
      <c r="AF107" s="92"/>
      <c r="AG107" s="108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10" t="s">
        <v>116</v>
      </c>
      <c r="B108" s="111">
        <v>121.9</v>
      </c>
      <c r="C108" s="111">
        <f t="shared" ref="C108:O108" si="15">SUM(C18,C24,C27:C28,C56,C58:C59,C61,C63,C109:C113,C136,C142,C148,C157,C159,C171,C178,C181:C182,C189,C191,C193,C197:C199,C201:C203,C208,C214:C215,C217:C219,C227,C232)</f>
        <v>121.84</v>
      </c>
      <c r="D108" s="111">
        <f t="shared" si="15"/>
        <v>96.84</v>
      </c>
      <c r="E108" s="111">
        <f t="shared" si="15"/>
        <v>94.44000000000004</v>
      </c>
      <c r="F108" s="111">
        <f t="shared" si="15"/>
        <v>94.44000000000004</v>
      </c>
      <c r="G108" s="111">
        <f t="shared" si="15"/>
        <v>94.44000000000004</v>
      </c>
      <c r="H108" s="111">
        <f t="shared" si="15"/>
        <v>94.44000000000004</v>
      </c>
      <c r="I108" s="111">
        <f t="shared" si="15"/>
        <v>164.34000000000003</v>
      </c>
      <c r="J108" s="111">
        <f t="shared" si="15"/>
        <v>164.34000000000003</v>
      </c>
      <c r="K108" s="111">
        <f t="shared" si="15"/>
        <v>195.14000000000004</v>
      </c>
      <c r="L108" s="111">
        <f t="shared" si="15"/>
        <v>219.14000000000001</v>
      </c>
      <c r="M108" s="111">
        <f t="shared" si="15"/>
        <v>219.14000000000001</v>
      </c>
      <c r="N108" s="111">
        <f t="shared" si="15"/>
        <v>228.64000000000001</v>
      </c>
      <c r="O108" s="111">
        <f t="shared" si="15"/>
        <v>229.54000000000002</v>
      </c>
      <c r="P108" s="111">
        <v>42</v>
      </c>
      <c r="Q108" s="111">
        <f t="shared" ref="Q108:AF108" si="16">SUM(Q18,Q24,Q27:Q28,Q56,Q58:Q59,Q61,Q63,Q109:Q113,Q136,Q142,Q148,Q157,Q159,Q171,Q178,Q181:Q182,Q189,Q191,Q193,Q197:Q199,Q201:Q203,Q208,Q214:Q215,Q217:Q219,Q227,Q232)</f>
        <v>218.80000000000004</v>
      </c>
      <c r="R108" s="111">
        <f t="shared" si="16"/>
        <v>226.1</v>
      </c>
      <c r="S108" s="111">
        <f t="shared" si="16"/>
        <v>188.29999999999998</v>
      </c>
      <c r="T108" s="111">
        <f t="shared" si="16"/>
        <v>229.8</v>
      </c>
      <c r="U108" s="111">
        <f t="shared" si="16"/>
        <v>245.89999999999998</v>
      </c>
      <c r="V108" s="111">
        <f t="shared" si="16"/>
        <v>258.7</v>
      </c>
      <c r="W108" s="111">
        <f t="shared" si="16"/>
        <v>196.89999999999998</v>
      </c>
      <c r="X108" s="111">
        <f t="shared" si="16"/>
        <v>197.4</v>
      </c>
      <c r="Y108" s="111">
        <f t="shared" si="16"/>
        <v>187.99999999999997</v>
      </c>
      <c r="Z108" s="111">
        <f t="shared" si="16"/>
        <v>208.8</v>
      </c>
      <c r="AA108" s="111">
        <f t="shared" si="16"/>
        <v>236.1</v>
      </c>
      <c r="AB108" s="111">
        <f t="shared" si="16"/>
        <v>228</v>
      </c>
      <c r="AC108" s="111">
        <f t="shared" si="16"/>
        <v>200.4</v>
      </c>
      <c r="AD108" s="111">
        <f t="shared" si="16"/>
        <v>180.00000000000003</v>
      </c>
      <c r="AE108" s="111">
        <f t="shared" si="16"/>
        <v>100.9</v>
      </c>
      <c r="AF108" s="111">
        <f t="shared" si="16"/>
        <v>71.099999999999994</v>
      </c>
      <c r="AG108" s="112"/>
      <c r="AH108" s="47">
        <f t="shared" si="8"/>
        <v>258.7</v>
      </c>
      <c r="AI108" s="48">
        <f t="shared" si="9"/>
        <v>42</v>
      </c>
    </row>
    <row r="109" spans="1:37" x14ac:dyDescent="0.25">
      <c r="A109" s="100" t="s">
        <v>117</v>
      </c>
      <c r="B109" s="113">
        <v>31</v>
      </c>
      <c r="C109" s="113">
        <v>51</v>
      </c>
      <c r="D109" s="113">
        <v>51</v>
      </c>
      <c r="E109" s="113">
        <v>51.7</v>
      </c>
      <c r="F109" s="113">
        <v>51.7</v>
      </c>
      <c r="G109" s="113">
        <v>51.7</v>
      </c>
      <c r="H109" s="113">
        <v>51.7</v>
      </c>
      <c r="I109" s="113">
        <v>34.9</v>
      </c>
      <c r="J109" s="113">
        <v>34.9</v>
      </c>
      <c r="K109" s="113">
        <v>31.5</v>
      </c>
      <c r="L109" s="113">
        <v>44.3</v>
      </c>
      <c r="M109" s="113">
        <v>44.3</v>
      </c>
      <c r="N109" s="113">
        <v>45.5</v>
      </c>
      <c r="O109" s="113">
        <v>51.4</v>
      </c>
      <c r="P109" s="113">
        <v>49.9</v>
      </c>
      <c r="Q109" s="113">
        <v>56.4</v>
      </c>
      <c r="R109" s="113">
        <v>59.8</v>
      </c>
      <c r="S109" s="113">
        <v>48</v>
      </c>
      <c r="T109" s="113">
        <v>58.7</v>
      </c>
      <c r="U109" s="113">
        <v>58.7</v>
      </c>
      <c r="V109" s="113">
        <v>58</v>
      </c>
      <c r="W109" s="113">
        <v>52</v>
      </c>
      <c r="X109" s="113">
        <v>42</v>
      </c>
      <c r="Y109" s="113">
        <v>38.299999999999997</v>
      </c>
      <c r="Z109" s="113">
        <v>45</v>
      </c>
      <c r="AA109" s="113">
        <v>54.8</v>
      </c>
      <c r="AB109" s="113">
        <v>50.1</v>
      </c>
      <c r="AC109" s="113">
        <v>42.2</v>
      </c>
      <c r="AD109" s="113">
        <v>39.9</v>
      </c>
      <c r="AE109" s="113">
        <v>25.6</v>
      </c>
      <c r="AF109" s="113">
        <v>13.3</v>
      </c>
      <c r="AG109" s="114">
        <v>75</v>
      </c>
      <c r="AH109" s="47">
        <f t="shared" si="8"/>
        <v>59.8</v>
      </c>
      <c r="AI109" s="48">
        <f t="shared" si="9"/>
        <v>13.3</v>
      </c>
    </row>
    <row r="110" spans="1:37" x14ac:dyDescent="0.25">
      <c r="A110" s="103" t="s">
        <v>118</v>
      </c>
      <c r="B110" s="115">
        <v>16</v>
      </c>
      <c r="C110" s="115">
        <v>30</v>
      </c>
      <c r="D110" s="115">
        <v>31</v>
      </c>
      <c r="E110" s="115">
        <v>31.9</v>
      </c>
      <c r="F110" s="115">
        <v>31.9</v>
      </c>
      <c r="G110" s="115">
        <v>31.9</v>
      </c>
      <c r="H110" s="115">
        <v>31.9</v>
      </c>
      <c r="I110" s="115">
        <v>57.8</v>
      </c>
      <c r="J110" s="115">
        <v>57.8</v>
      </c>
      <c r="K110" s="115">
        <v>53.2</v>
      </c>
      <c r="L110" s="115">
        <v>64.3</v>
      </c>
      <c r="M110" s="115">
        <v>64.3</v>
      </c>
      <c r="N110" s="115">
        <v>63.9</v>
      </c>
      <c r="O110" s="115">
        <v>74.8</v>
      </c>
      <c r="P110" s="115">
        <v>71.900000000000006</v>
      </c>
      <c r="Q110" s="115">
        <v>84.7</v>
      </c>
      <c r="R110" s="115">
        <v>88</v>
      </c>
      <c r="S110" s="115">
        <v>74.099999999999994</v>
      </c>
      <c r="T110" s="115">
        <v>85.7</v>
      </c>
      <c r="U110" s="115">
        <v>85.7</v>
      </c>
      <c r="V110" s="115">
        <v>77</v>
      </c>
      <c r="W110" s="115">
        <v>67.2</v>
      </c>
      <c r="X110" s="115">
        <v>54.4</v>
      </c>
      <c r="Y110" s="115">
        <v>48.7</v>
      </c>
      <c r="Z110" s="115">
        <v>57.2</v>
      </c>
      <c r="AA110" s="115">
        <v>72.400000000000006</v>
      </c>
      <c r="AB110" s="115">
        <v>70.3</v>
      </c>
      <c r="AC110" s="115">
        <v>57.1</v>
      </c>
      <c r="AD110" s="115">
        <v>64.8</v>
      </c>
      <c r="AE110" s="115">
        <v>37.1</v>
      </c>
      <c r="AF110" s="115">
        <v>23.6</v>
      </c>
      <c r="AG110" s="114">
        <v>240</v>
      </c>
      <c r="AH110" s="47">
        <f t="shared" si="8"/>
        <v>88</v>
      </c>
      <c r="AI110" s="48">
        <f t="shared" si="9"/>
        <v>16</v>
      </c>
    </row>
    <row r="111" spans="1:37" x14ac:dyDescent="0.25">
      <c r="A111" s="103" t="s">
        <v>119</v>
      </c>
      <c r="B111" s="115">
        <v>-120</v>
      </c>
      <c r="C111" s="115">
        <v>-85</v>
      </c>
      <c r="D111" s="115">
        <v>-85</v>
      </c>
      <c r="E111" s="115">
        <f>-41.1-44.5</f>
        <v>-85.6</v>
      </c>
      <c r="F111" s="115">
        <f>-41.1-44.5</f>
        <v>-85.6</v>
      </c>
      <c r="G111" s="115">
        <f>-41.1-44.5</f>
        <v>-85.6</v>
      </c>
      <c r="H111" s="115">
        <f>-41.1-44.5</f>
        <v>-85.6</v>
      </c>
      <c r="I111" s="115">
        <f>-34.4-36.8</f>
        <v>-71.199999999999989</v>
      </c>
      <c r="J111" s="115">
        <f>-34.4-36.8</f>
        <v>-71.199999999999989</v>
      </c>
      <c r="K111" s="115">
        <f>-42.8-33.9</f>
        <v>-76.699999999999989</v>
      </c>
      <c r="L111" s="115">
        <f>-42.6-31.5</f>
        <v>-74.099999999999994</v>
      </c>
      <c r="M111" s="115">
        <f>-42.6-31.5</f>
        <v>-74.099999999999994</v>
      </c>
      <c r="N111" s="115">
        <v>-70.900000000000006</v>
      </c>
      <c r="O111" s="115">
        <v>-39.700000000000003</v>
      </c>
      <c r="P111" s="115">
        <v>-47</v>
      </c>
      <c r="Q111" s="115">
        <v>-62.1</v>
      </c>
      <c r="R111" s="115">
        <v>-56.3</v>
      </c>
      <c r="S111" s="115">
        <v>-61</v>
      </c>
      <c r="T111" s="115">
        <v>-32</v>
      </c>
      <c r="U111" s="115">
        <v>-32</v>
      </c>
      <c r="V111" s="115">
        <v>-54</v>
      </c>
      <c r="W111" s="115">
        <v>-42</v>
      </c>
      <c r="X111" s="115">
        <v>-23</v>
      </c>
      <c r="Y111" s="115">
        <v>-20</v>
      </c>
      <c r="Z111" s="115">
        <v>-17</v>
      </c>
      <c r="AA111" s="115">
        <v>-15</v>
      </c>
      <c r="AB111" s="115">
        <v>-43</v>
      </c>
      <c r="AC111" s="115">
        <f>-21.2-24.2</f>
        <v>-45.4</v>
      </c>
      <c r="AD111" s="115">
        <f>-28.8-32</f>
        <v>-60.8</v>
      </c>
      <c r="AE111" s="115">
        <f>-42.1-45.3</f>
        <v>-87.4</v>
      </c>
      <c r="AF111" s="115">
        <f>-40.7-44.3</f>
        <v>-85</v>
      </c>
      <c r="AG111" s="114">
        <v>240</v>
      </c>
      <c r="AH111" s="47">
        <f t="shared" si="8"/>
        <v>-15</v>
      </c>
      <c r="AI111" s="48">
        <f t="shared" si="9"/>
        <v>-120</v>
      </c>
    </row>
    <row r="112" spans="1:37" x14ac:dyDescent="0.25">
      <c r="A112" s="103" t="s">
        <v>120</v>
      </c>
      <c r="B112" s="115">
        <v>-18</v>
      </c>
      <c r="C112" s="115">
        <v>-13</v>
      </c>
      <c r="D112" s="115">
        <v>-13</v>
      </c>
      <c r="E112" s="115">
        <v>-13.6</v>
      </c>
      <c r="F112" s="115">
        <v>-13.6</v>
      </c>
      <c r="G112" s="115">
        <v>-13.6</v>
      </c>
      <c r="H112" s="115">
        <v>-13.6</v>
      </c>
      <c r="I112" s="115">
        <v>-5</v>
      </c>
      <c r="J112" s="115">
        <v>-5</v>
      </c>
      <c r="K112" s="115">
        <v>13.5</v>
      </c>
      <c r="L112" s="115">
        <v>16.399999999999999</v>
      </c>
      <c r="M112" s="115">
        <v>16.399999999999999</v>
      </c>
      <c r="N112" s="115">
        <v>13.4</v>
      </c>
      <c r="O112" s="115">
        <v>16.5</v>
      </c>
      <c r="P112" s="115">
        <v>14</v>
      </c>
      <c r="Q112" s="115">
        <v>8.3000000000000007</v>
      </c>
      <c r="R112" s="115">
        <v>3.1</v>
      </c>
      <c r="S112" s="115">
        <v>6.7</v>
      </c>
      <c r="T112" s="115">
        <v>20</v>
      </c>
      <c r="U112" s="115">
        <v>20</v>
      </c>
      <c r="V112" s="115">
        <v>12</v>
      </c>
      <c r="W112" s="115">
        <v>17</v>
      </c>
      <c r="X112" s="115">
        <v>22</v>
      </c>
      <c r="Y112" s="115">
        <v>20.100000000000001</v>
      </c>
      <c r="Z112" s="115">
        <v>23.2</v>
      </c>
      <c r="AA112" s="115">
        <v>18.5</v>
      </c>
      <c r="AB112" s="115">
        <v>14</v>
      </c>
      <c r="AC112" s="115">
        <v>14.1</v>
      </c>
      <c r="AD112" s="115">
        <v>4.9000000000000004</v>
      </c>
      <c r="AE112" s="115">
        <v>-2</v>
      </c>
      <c r="AF112" s="115">
        <v>-7.9</v>
      </c>
      <c r="AG112" s="114">
        <v>60</v>
      </c>
      <c r="AH112" s="47">
        <f t="shared" si="8"/>
        <v>23.2</v>
      </c>
      <c r="AI112" s="48">
        <f t="shared" si="9"/>
        <v>-18</v>
      </c>
    </row>
    <row r="113" spans="1:37" x14ac:dyDescent="0.25">
      <c r="A113" s="116" t="s">
        <v>121</v>
      </c>
      <c r="B113" s="117">
        <v>62</v>
      </c>
      <c r="C113" s="117">
        <v>18</v>
      </c>
      <c r="D113" s="117">
        <v>-8</v>
      </c>
      <c r="E113" s="117">
        <v>-10.8</v>
      </c>
      <c r="F113" s="117">
        <v>-10.8</v>
      </c>
      <c r="G113" s="117">
        <v>-10.8</v>
      </c>
      <c r="H113" s="117">
        <v>-10.8</v>
      </c>
      <c r="I113" s="117">
        <v>27</v>
      </c>
      <c r="J113" s="117">
        <v>27</v>
      </c>
      <c r="K113" s="117">
        <v>52.8</v>
      </c>
      <c r="L113" s="117">
        <v>45.9</v>
      </c>
      <c r="M113" s="117">
        <v>45.9</v>
      </c>
      <c r="N113" s="117">
        <v>54.4</v>
      </c>
      <c r="O113" s="117">
        <v>0</v>
      </c>
      <c r="P113" s="117">
        <v>0</v>
      </c>
      <c r="Q113" s="117">
        <v>0</v>
      </c>
      <c r="R113" s="117">
        <v>0</v>
      </c>
      <c r="S113" s="117">
        <v>0</v>
      </c>
      <c r="T113" s="117">
        <v>0</v>
      </c>
      <c r="U113" s="117">
        <v>0</v>
      </c>
      <c r="V113" s="117">
        <v>63</v>
      </c>
      <c r="W113" s="117">
        <v>0</v>
      </c>
      <c r="X113" s="117">
        <v>0</v>
      </c>
      <c r="Y113" s="117">
        <v>0</v>
      </c>
      <c r="Z113" s="117">
        <v>0</v>
      </c>
      <c r="AA113" s="117">
        <v>0</v>
      </c>
      <c r="AB113" s="117">
        <v>0</v>
      </c>
      <c r="AC113" s="117">
        <v>0</v>
      </c>
      <c r="AD113" s="117">
        <v>0</v>
      </c>
      <c r="AE113" s="117">
        <v>0</v>
      </c>
      <c r="AF113" s="117">
        <v>0</v>
      </c>
      <c r="AG113" s="118">
        <v>120</v>
      </c>
      <c r="AH113" s="47">
        <f t="shared" si="8"/>
        <v>63</v>
      </c>
      <c r="AI113" s="48">
        <f t="shared" si="9"/>
        <v>-10.8</v>
      </c>
    </row>
    <row r="114" spans="1:37" x14ac:dyDescent="0.25">
      <c r="A114" s="116" t="s">
        <v>122</v>
      </c>
      <c r="B114" s="117">
        <v>90</v>
      </c>
      <c r="C114" s="117">
        <v>52</v>
      </c>
      <c r="D114" s="117">
        <v>75</v>
      </c>
      <c r="E114" s="117">
        <v>81.5</v>
      </c>
      <c r="F114" s="117">
        <v>81.5</v>
      </c>
      <c r="G114" s="117">
        <v>81.5</v>
      </c>
      <c r="H114" s="117">
        <v>76</v>
      </c>
      <c r="I114" s="117">
        <v>95</v>
      </c>
      <c r="J114" s="117">
        <v>95</v>
      </c>
      <c r="K114" s="117">
        <v>66.7</v>
      </c>
      <c r="L114" s="117">
        <v>58.7</v>
      </c>
      <c r="M114" s="117">
        <v>58.7</v>
      </c>
      <c r="N114" s="117">
        <v>70.599999999999994</v>
      </c>
      <c r="O114" s="117">
        <v>103.5</v>
      </c>
      <c r="P114" s="117">
        <v>98</v>
      </c>
      <c r="Q114" s="117">
        <v>79.5</v>
      </c>
      <c r="R114" s="117">
        <v>77.3</v>
      </c>
      <c r="S114" s="117">
        <v>96</v>
      </c>
      <c r="T114" s="117">
        <v>84</v>
      </c>
      <c r="U114" s="117">
        <v>84</v>
      </c>
      <c r="V114" s="117">
        <v>57</v>
      </c>
      <c r="W114" s="117">
        <v>72</v>
      </c>
      <c r="X114" s="117">
        <v>75</v>
      </c>
      <c r="Y114" s="117">
        <v>78</v>
      </c>
      <c r="Z114" s="117">
        <v>86</v>
      </c>
      <c r="AA114" s="117">
        <v>83</v>
      </c>
      <c r="AB114" s="117">
        <v>72.5</v>
      </c>
      <c r="AC114" s="117">
        <v>77.8</v>
      </c>
      <c r="AD114" s="117">
        <v>101</v>
      </c>
      <c r="AE114" s="117">
        <v>98</v>
      </c>
      <c r="AF114" s="117">
        <v>93.8</v>
      </c>
      <c r="AG114" s="118"/>
      <c r="AH114" s="47">
        <f t="shared" si="8"/>
        <v>103.5</v>
      </c>
      <c r="AI114" s="48">
        <f t="shared" si="9"/>
        <v>52</v>
      </c>
    </row>
    <row r="115" spans="1:37" x14ac:dyDescent="0.25">
      <c r="A115" s="116" t="s">
        <v>123</v>
      </c>
      <c r="B115" s="117">
        <v>55</v>
      </c>
      <c r="C115" s="117">
        <v>32</v>
      </c>
      <c r="D115" s="117">
        <v>26</v>
      </c>
      <c r="E115" s="117">
        <v>28.2</v>
      </c>
      <c r="F115" s="117">
        <v>28.2</v>
      </c>
      <c r="G115" s="117">
        <v>28.2</v>
      </c>
      <c r="H115" s="117">
        <v>28.2</v>
      </c>
      <c r="I115" s="117">
        <v>30.3</v>
      </c>
      <c r="J115" s="117">
        <v>30.3</v>
      </c>
      <c r="K115" s="117">
        <v>31.6</v>
      </c>
      <c r="L115" s="117">
        <v>22.9</v>
      </c>
      <c r="M115" s="117">
        <v>22.9</v>
      </c>
      <c r="N115" s="117">
        <v>0</v>
      </c>
      <c r="O115" s="117">
        <v>0</v>
      </c>
      <c r="P115" s="117">
        <v>-33.6</v>
      </c>
      <c r="Q115" s="117">
        <v>-50</v>
      </c>
      <c r="R115" s="117">
        <v>-30.8</v>
      </c>
      <c r="S115" s="117">
        <v>-12</v>
      </c>
      <c r="T115" s="117">
        <v>-12</v>
      </c>
      <c r="U115" s="117">
        <v>-12</v>
      </c>
      <c r="V115" s="117">
        <v>-39</v>
      </c>
      <c r="W115" s="117">
        <v>-25</v>
      </c>
      <c r="X115" s="117">
        <v>-11</v>
      </c>
      <c r="Y115" s="117">
        <v>-15</v>
      </c>
      <c r="Z115" s="117">
        <v>-13</v>
      </c>
      <c r="AA115" s="117">
        <v>-14</v>
      </c>
      <c r="AB115" s="117">
        <v>-8.6</v>
      </c>
      <c r="AC115" s="117">
        <v>15.5</v>
      </c>
      <c r="AD115" s="117">
        <v>-1</v>
      </c>
      <c r="AE115" s="117">
        <v>20.3</v>
      </c>
      <c r="AF115" s="117">
        <v>41.6</v>
      </c>
      <c r="AG115" s="119"/>
      <c r="AH115" s="47">
        <f t="shared" si="8"/>
        <v>55</v>
      </c>
      <c r="AI115" s="48">
        <f t="shared" si="9"/>
        <v>-50</v>
      </c>
    </row>
    <row r="116" spans="1:37" x14ac:dyDescent="0.25">
      <c r="A116" s="120" t="s">
        <v>124</v>
      </c>
      <c r="B116" s="106">
        <v>1.5</v>
      </c>
      <c r="C116" s="106">
        <v>2</v>
      </c>
      <c r="D116" s="106">
        <v>4</v>
      </c>
      <c r="E116" s="106">
        <v>-6.2</v>
      </c>
      <c r="F116" s="106">
        <v>-6.2</v>
      </c>
      <c r="G116" s="106">
        <v>-6.2</v>
      </c>
      <c r="H116" s="106">
        <v>-6.2</v>
      </c>
      <c r="I116" s="106">
        <v>-5.0999999999999996</v>
      </c>
      <c r="J116" s="106">
        <v>-5.0999999999999996</v>
      </c>
      <c r="K116" s="106">
        <v>-5.0999999999999996</v>
      </c>
      <c r="L116" s="106">
        <v>-11.3</v>
      </c>
      <c r="M116" s="106">
        <v>-11.3</v>
      </c>
      <c r="N116" s="106">
        <v>-9.1</v>
      </c>
      <c r="O116" s="106">
        <v>-42.6</v>
      </c>
      <c r="P116" s="106">
        <v>-7.5</v>
      </c>
      <c r="Q116" s="106">
        <v>-13.3</v>
      </c>
      <c r="R116" s="106">
        <v>-11.9</v>
      </c>
      <c r="S116" s="106">
        <v>-12</v>
      </c>
      <c r="T116" s="106">
        <v>-14</v>
      </c>
      <c r="U116" s="106">
        <v>-14</v>
      </c>
      <c r="V116" s="106">
        <v>-11</v>
      </c>
      <c r="W116" s="106">
        <v>-13</v>
      </c>
      <c r="X116" s="106">
        <v>-10</v>
      </c>
      <c r="Y116" s="106">
        <v>-11</v>
      </c>
      <c r="Z116" s="106">
        <v>-17</v>
      </c>
      <c r="AA116" s="106">
        <v>9.1</v>
      </c>
      <c r="AB116" s="106">
        <v>55.2</v>
      </c>
      <c r="AC116" s="106">
        <v>59.7</v>
      </c>
      <c r="AD116" s="106">
        <v>55.8</v>
      </c>
      <c r="AE116" s="106">
        <v>54</v>
      </c>
      <c r="AF116" s="106">
        <v>60</v>
      </c>
      <c r="AG116" s="119"/>
      <c r="AH116" s="47">
        <f t="shared" si="8"/>
        <v>60</v>
      </c>
      <c r="AI116" s="48">
        <f t="shared" si="9"/>
        <v>-42.6</v>
      </c>
    </row>
    <row r="117" spans="1:37" x14ac:dyDescent="0.25">
      <c r="A117" s="175" t="s">
        <v>265</v>
      </c>
      <c r="B117" s="106">
        <v>110</v>
      </c>
      <c r="C117" s="106">
        <v>95</v>
      </c>
      <c r="D117" s="106">
        <v>105</v>
      </c>
      <c r="E117" s="106">
        <v>102</v>
      </c>
      <c r="F117" s="106">
        <v>96</v>
      </c>
      <c r="G117" s="106">
        <v>100</v>
      </c>
      <c r="H117" s="106">
        <v>98</v>
      </c>
      <c r="I117" s="106">
        <v>45</v>
      </c>
      <c r="J117" s="106">
        <v>45</v>
      </c>
      <c r="K117" s="106">
        <v>78.2</v>
      </c>
      <c r="L117" s="106">
        <v>76.599999999999994</v>
      </c>
      <c r="M117" s="106">
        <v>76.599999999999994</v>
      </c>
      <c r="N117" s="106">
        <v>78.5</v>
      </c>
      <c r="O117" s="106">
        <v>38.299999999999997</v>
      </c>
      <c r="P117" s="106">
        <v>67.5</v>
      </c>
      <c r="Q117" s="106">
        <v>91.8</v>
      </c>
      <c r="R117" s="106">
        <v>83.1</v>
      </c>
      <c r="S117" s="106">
        <v>89</v>
      </c>
      <c r="T117" s="106">
        <v>70</v>
      </c>
      <c r="U117" s="106">
        <v>70</v>
      </c>
      <c r="V117" s="106">
        <v>82</v>
      </c>
      <c r="W117" s="106">
        <v>60</v>
      </c>
      <c r="X117" s="106">
        <v>31</v>
      </c>
      <c r="Y117" s="106">
        <v>22</v>
      </c>
      <c r="Z117" s="106">
        <v>24</v>
      </c>
      <c r="AA117" s="106">
        <v>27</v>
      </c>
      <c r="AB117" s="106">
        <v>50.8</v>
      </c>
      <c r="AC117" s="106">
        <v>41.8</v>
      </c>
      <c r="AD117" s="106">
        <v>38</v>
      </c>
      <c r="AE117" s="106">
        <v>98.8</v>
      </c>
      <c r="AF117" s="106">
        <v>88.7</v>
      </c>
      <c r="AG117" s="119"/>
      <c r="AH117" s="47">
        <f t="shared" si="8"/>
        <v>110</v>
      </c>
      <c r="AI117" s="48">
        <f t="shared" si="9"/>
        <v>22</v>
      </c>
    </row>
    <row r="118" spans="1:37" ht="15.75" thickBot="1" x14ac:dyDescent="0.3">
      <c r="A118" s="120" t="s">
        <v>125</v>
      </c>
      <c r="B118" s="106">
        <v>107</v>
      </c>
      <c r="C118" s="106">
        <v>93</v>
      </c>
      <c r="D118" s="106">
        <v>85</v>
      </c>
      <c r="E118" s="106">
        <v>88.9</v>
      </c>
      <c r="F118" s="106">
        <v>79.2</v>
      </c>
      <c r="G118" s="106">
        <v>80</v>
      </c>
      <c r="H118" s="106">
        <v>80</v>
      </c>
      <c r="I118" s="106">
        <v>75.2</v>
      </c>
      <c r="J118" s="106">
        <v>75.2</v>
      </c>
      <c r="K118" s="106">
        <v>90.2</v>
      </c>
      <c r="L118" s="106">
        <v>86.7</v>
      </c>
      <c r="M118" s="106">
        <v>86.7</v>
      </c>
      <c r="N118" s="106">
        <v>110.6</v>
      </c>
      <c r="O118" s="106">
        <v>109.6</v>
      </c>
      <c r="P118" s="106">
        <v>106.5</v>
      </c>
      <c r="Q118" s="106">
        <v>99.1</v>
      </c>
      <c r="R118" s="106">
        <v>103.7</v>
      </c>
      <c r="S118" s="106">
        <v>107</v>
      </c>
      <c r="T118" s="106">
        <v>110</v>
      </c>
      <c r="U118" s="106">
        <v>110</v>
      </c>
      <c r="V118" s="106">
        <v>84</v>
      </c>
      <c r="W118" s="106">
        <v>65</v>
      </c>
      <c r="X118" s="106">
        <v>61</v>
      </c>
      <c r="Y118" s="106">
        <v>53</v>
      </c>
      <c r="Z118" s="106">
        <v>45</v>
      </c>
      <c r="AA118" s="106">
        <v>14</v>
      </c>
      <c r="AB118" s="106">
        <v>-2.8</v>
      </c>
      <c r="AC118" s="106">
        <v>-8.6999999999999993</v>
      </c>
      <c r="AD118" s="106">
        <v>-6.2</v>
      </c>
      <c r="AE118" s="106">
        <v>-6.8</v>
      </c>
      <c r="AF118" s="106">
        <v>2.2999999999999998</v>
      </c>
      <c r="AG118" s="119"/>
      <c r="AH118" s="47">
        <f t="shared" si="8"/>
        <v>110.6</v>
      </c>
      <c r="AI118" s="48">
        <f t="shared" si="9"/>
        <v>-8.6999999999999993</v>
      </c>
    </row>
    <row r="119" spans="1:37" ht="15.75" thickBot="1" x14ac:dyDescent="0.3">
      <c r="A119" s="121" t="s">
        <v>126</v>
      </c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47"/>
      <c r="AI119" s="48"/>
      <c r="AK119" s="49"/>
    </row>
    <row r="120" spans="1:37" x14ac:dyDescent="0.25">
      <c r="A120" s="124" t="s">
        <v>127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>
        <v>9.94</v>
      </c>
      <c r="AH120" s="47"/>
      <c r="AI120" s="48"/>
      <c r="AK120" s="49"/>
    </row>
    <row r="121" spans="1:37" x14ac:dyDescent="0.25">
      <c r="A121" s="103" t="s">
        <v>128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129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130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131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132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133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134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135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136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137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138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139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140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141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142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143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0">
        <v>9.9</v>
      </c>
      <c r="AH136" s="47"/>
      <c r="AI136" s="48"/>
      <c r="AK136" s="49"/>
    </row>
    <row r="137" spans="1:37" x14ac:dyDescent="0.25">
      <c r="A137" s="116" t="s">
        <v>144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9.6579999999999995</v>
      </c>
      <c r="AH137" s="47"/>
      <c r="AI137" s="48"/>
      <c r="AK137" s="49"/>
    </row>
    <row r="138" spans="1:37" x14ac:dyDescent="0.25">
      <c r="A138" s="116" t="s">
        <v>145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9.6</v>
      </c>
      <c r="AH138" s="47"/>
      <c r="AI138" s="48"/>
      <c r="AK138" s="49"/>
    </row>
    <row r="139" spans="1:37" x14ac:dyDescent="0.25">
      <c r="A139" s="116" t="s">
        <v>146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9.51</v>
      </c>
      <c r="AH139" s="47"/>
      <c r="AI139" s="48"/>
      <c r="AK139" s="49"/>
    </row>
    <row r="140" spans="1:37" x14ac:dyDescent="0.25">
      <c r="A140" s="116" t="s">
        <v>147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9.4</v>
      </c>
      <c r="AH140" s="47"/>
      <c r="AI140" s="48"/>
      <c r="AK140" s="49"/>
    </row>
    <row r="141" spans="1:37" x14ac:dyDescent="0.25">
      <c r="A141" s="116" t="s">
        <v>148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8.8000000000000007</v>
      </c>
      <c r="AH141" s="47"/>
      <c r="AI141" s="48"/>
      <c r="AK141" s="49"/>
    </row>
    <row r="142" spans="1:37" x14ac:dyDescent="0.25">
      <c r="A142" s="116" t="s">
        <v>149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8.5</v>
      </c>
      <c r="AH142" s="47"/>
      <c r="AI142" s="48"/>
      <c r="AK142" s="49"/>
    </row>
    <row r="143" spans="1:37" x14ac:dyDescent="0.25">
      <c r="A143" s="116" t="s">
        <v>150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8.5</v>
      </c>
      <c r="AH143" s="47"/>
      <c r="AI143" s="48"/>
      <c r="AK143" s="49"/>
    </row>
    <row r="144" spans="1:37" x14ac:dyDescent="0.25">
      <c r="A144" s="116" t="s">
        <v>151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8.4</v>
      </c>
      <c r="AH144" s="47"/>
      <c r="AI144" s="48"/>
      <c r="AK144" s="49"/>
    </row>
    <row r="145" spans="1:37" ht="13.5" customHeight="1" x14ac:dyDescent="0.25">
      <c r="A145" s="116" t="s">
        <v>152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</v>
      </c>
      <c r="AH145" s="47"/>
      <c r="AI145" s="48"/>
      <c r="AK145" s="49"/>
    </row>
    <row r="146" spans="1:37" x14ac:dyDescent="0.25">
      <c r="A146" s="116" t="s">
        <v>153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</v>
      </c>
      <c r="AH146" s="47"/>
      <c r="AI146" s="48"/>
      <c r="AK146" s="49"/>
    </row>
    <row r="147" spans="1:37" x14ac:dyDescent="0.25">
      <c r="A147" s="116" t="s">
        <v>154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155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7.8</v>
      </c>
      <c r="AH148" s="47"/>
      <c r="AI148" s="48"/>
      <c r="AK148" s="49"/>
    </row>
    <row r="149" spans="1:37" x14ac:dyDescent="0.25">
      <c r="A149" s="116" t="s">
        <v>156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7.6</v>
      </c>
      <c r="AH149" s="47"/>
      <c r="AI149" s="48"/>
      <c r="AK149" s="49"/>
    </row>
    <row r="150" spans="1:37" x14ac:dyDescent="0.25">
      <c r="A150" s="116" t="s">
        <v>157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7.5</v>
      </c>
      <c r="AH150" s="47"/>
      <c r="AI150" s="48"/>
      <c r="AK150" s="49"/>
    </row>
    <row r="151" spans="1:37" x14ac:dyDescent="0.25">
      <c r="A151" s="116" t="s">
        <v>158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7.5</v>
      </c>
      <c r="AH151" s="47"/>
      <c r="AI151" s="48"/>
      <c r="AK151" s="49"/>
    </row>
    <row r="152" spans="1:37" x14ac:dyDescent="0.25">
      <c r="A152" s="116" t="s">
        <v>159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</v>
      </c>
      <c r="AH152" s="47"/>
      <c r="AI152" s="48"/>
      <c r="AK152" s="49"/>
    </row>
    <row r="153" spans="1:37" x14ac:dyDescent="0.25">
      <c r="A153" s="116" t="s">
        <v>160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</v>
      </c>
      <c r="AH153" s="47"/>
      <c r="AI153" s="48"/>
      <c r="AK153" s="49"/>
    </row>
    <row r="154" spans="1:37" x14ac:dyDescent="0.25">
      <c r="A154" s="116" t="s">
        <v>161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162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163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6.6</v>
      </c>
      <c r="AH156" s="47"/>
      <c r="AI156" s="48"/>
      <c r="AK156" s="49"/>
    </row>
    <row r="157" spans="1:37" x14ac:dyDescent="0.25">
      <c r="A157" s="116" t="s">
        <v>164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6.6</v>
      </c>
      <c r="AH157" s="47"/>
      <c r="AI157" s="48"/>
      <c r="AK157" s="49"/>
    </row>
    <row r="158" spans="1:37" x14ac:dyDescent="0.25">
      <c r="A158" s="116" t="s">
        <v>165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6.4</v>
      </c>
      <c r="AH158" s="47"/>
      <c r="AI158" s="48"/>
      <c r="AK158" s="49"/>
    </row>
    <row r="159" spans="1:37" x14ac:dyDescent="0.25">
      <c r="A159" s="116" t="s">
        <v>166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</v>
      </c>
      <c r="AH159" s="47"/>
      <c r="AI159" s="48"/>
      <c r="AK159" s="49"/>
    </row>
    <row r="160" spans="1:37" x14ac:dyDescent="0.25">
      <c r="A160" s="116" t="s">
        <v>167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5.0999999999999996</v>
      </c>
      <c r="AH160" s="47"/>
      <c r="AI160" s="48"/>
      <c r="AK160" s="49"/>
    </row>
    <row r="161" spans="1:37" x14ac:dyDescent="0.25">
      <c r="A161" s="116" t="s">
        <v>168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03" t="s">
        <v>169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0">
        <v>5</v>
      </c>
      <c r="AH162" s="47"/>
      <c r="AI162" s="48"/>
      <c r="AK162" s="49"/>
    </row>
    <row r="163" spans="1:37" x14ac:dyDescent="0.25">
      <c r="A163" s="116" t="s">
        <v>170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16" t="s">
        <v>171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5</v>
      </c>
      <c r="AH164" s="47"/>
      <c r="AI164" s="48"/>
      <c r="AK164" s="49"/>
    </row>
    <row r="165" spans="1:37" x14ac:dyDescent="0.25">
      <c r="A165" s="116" t="s">
        <v>172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173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174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175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4.9930000000000003</v>
      </c>
      <c r="AH168" s="47"/>
      <c r="AI168" s="48"/>
      <c r="AK168" s="49"/>
    </row>
    <row r="169" spans="1:37" x14ac:dyDescent="0.25">
      <c r="A169" s="116" t="s">
        <v>176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4.9800000000000004</v>
      </c>
      <c r="AH169" s="47"/>
      <c r="AI169" s="48"/>
      <c r="AK169" s="49"/>
    </row>
    <row r="170" spans="1:37" x14ac:dyDescent="0.25">
      <c r="A170" s="116" t="s">
        <v>177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4.95</v>
      </c>
      <c r="AH170" s="47"/>
      <c r="AI170" s="48"/>
      <c r="AK170" s="49"/>
    </row>
    <row r="171" spans="1:37" x14ac:dyDescent="0.25">
      <c r="A171" s="116" t="s">
        <v>178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4.95</v>
      </c>
      <c r="AH171" s="47"/>
      <c r="AI171" s="48"/>
      <c r="AK171" s="49"/>
    </row>
    <row r="172" spans="1:37" x14ac:dyDescent="0.25">
      <c r="A172" s="116" t="s">
        <v>179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4.8</v>
      </c>
      <c r="AH172" s="47"/>
      <c r="AI172" s="48"/>
      <c r="AK172" s="49"/>
    </row>
    <row r="173" spans="1:37" x14ac:dyDescent="0.25">
      <c r="A173" s="116" t="s">
        <v>180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4.8</v>
      </c>
      <c r="AH173" s="47"/>
      <c r="AI173" s="48"/>
      <c r="AK173" s="49"/>
    </row>
    <row r="174" spans="1:37" x14ac:dyDescent="0.25">
      <c r="A174" s="116" t="s">
        <v>181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182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4.5</v>
      </c>
      <c r="AH175" s="47"/>
      <c r="AI175" s="48"/>
      <c r="AK175" s="49"/>
    </row>
    <row r="176" spans="1:37" x14ac:dyDescent="0.25">
      <c r="A176" s="116" t="s">
        <v>183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4.5</v>
      </c>
      <c r="AH176" s="47"/>
      <c r="AI176" s="48"/>
      <c r="AK176" s="49"/>
    </row>
    <row r="177" spans="1:37" x14ac:dyDescent="0.25">
      <c r="A177" s="116" t="s">
        <v>184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4.4550000000000001</v>
      </c>
      <c r="AH177" s="47"/>
      <c r="AI177" s="48"/>
      <c r="AK177" s="49"/>
    </row>
    <row r="178" spans="1:37" x14ac:dyDescent="0.25">
      <c r="A178" s="116" t="s">
        <v>185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4.41</v>
      </c>
      <c r="AH178" s="47"/>
      <c r="AI178" s="48"/>
      <c r="AK178" s="49"/>
    </row>
    <row r="179" spans="1:37" x14ac:dyDescent="0.25">
      <c r="A179" s="116" t="s">
        <v>186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4.4000000000000004</v>
      </c>
      <c r="AH179" s="47"/>
      <c r="AI179" s="48"/>
      <c r="AK179" s="49"/>
    </row>
    <row r="180" spans="1:37" x14ac:dyDescent="0.25">
      <c r="A180" s="116" t="s">
        <v>187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4.3600000000000003</v>
      </c>
      <c r="AH180" s="47"/>
      <c r="AI180" s="48"/>
      <c r="AK180" s="49"/>
    </row>
    <row r="181" spans="1:37" x14ac:dyDescent="0.25">
      <c r="A181" s="116" t="s">
        <v>188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4.2</v>
      </c>
      <c r="AH181" s="47"/>
      <c r="AI181" s="48"/>
      <c r="AK181" s="49"/>
    </row>
    <row r="182" spans="1:37" x14ac:dyDescent="0.25">
      <c r="A182" s="116" t="s">
        <v>189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190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191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192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193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194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195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196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197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3.75</v>
      </c>
      <c r="AH190" s="47"/>
      <c r="AI190" s="48"/>
      <c r="AK190" s="49"/>
    </row>
    <row r="191" spans="1:37" x14ac:dyDescent="0.25">
      <c r="A191" s="116" t="s">
        <v>198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3.52</v>
      </c>
      <c r="AH191" s="47"/>
      <c r="AI191" s="48"/>
      <c r="AK191" s="49"/>
    </row>
    <row r="192" spans="1:37" x14ac:dyDescent="0.25">
      <c r="A192" s="116" t="s">
        <v>199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3.33</v>
      </c>
      <c r="AH192" s="47"/>
      <c r="AI192" s="48"/>
      <c r="AK192" s="49"/>
    </row>
    <row r="193" spans="1:37" x14ac:dyDescent="0.25">
      <c r="A193" s="116" t="s">
        <v>200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3.2</v>
      </c>
      <c r="AH193" s="47"/>
      <c r="AI193" s="48"/>
      <c r="AK193" s="49"/>
    </row>
    <row r="194" spans="1:37" x14ac:dyDescent="0.25">
      <c r="A194" s="116" t="s">
        <v>201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202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203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204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205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206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207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208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209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2.83</v>
      </c>
      <c r="AH202" s="47"/>
      <c r="AI202" s="48"/>
      <c r="AK202" s="49"/>
    </row>
    <row r="203" spans="1:37" x14ac:dyDescent="0.25">
      <c r="A203" s="116" t="s">
        <v>210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2.5</v>
      </c>
      <c r="AH203" s="47"/>
      <c r="AI203" s="48"/>
      <c r="AK203" s="49"/>
    </row>
    <row r="204" spans="1:37" x14ac:dyDescent="0.25">
      <c r="A204" s="116" t="s">
        <v>211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2.5</v>
      </c>
      <c r="AH204" s="47"/>
      <c r="AI204" s="48"/>
      <c r="AK204" s="49"/>
    </row>
    <row r="205" spans="1:37" x14ac:dyDescent="0.25">
      <c r="A205" s="116" t="s">
        <v>212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2.4</v>
      </c>
      <c r="AH205" s="47"/>
      <c r="AI205" s="48"/>
      <c r="AK205" s="49"/>
    </row>
    <row r="206" spans="1:37" x14ac:dyDescent="0.25">
      <c r="A206" s="116" t="s">
        <v>213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2.4</v>
      </c>
      <c r="AH206" s="47"/>
      <c r="AI206" s="48"/>
      <c r="AK206" s="49"/>
    </row>
    <row r="207" spans="1:37" x14ac:dyDescent="0.25">
      <c r="A207" s="116" t="s">
        <v>214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2.2000000000000002</v>
      </c>
      <c r="AH207" s="47"/>
      <c r="AI207" s="48"/>
      <c r="AK207" s="49"/>
    </row>
    <row r="208" spans="1:37" x14ac:dyDescent="0.25">
      <c r="A208" s="116" t="s">
        <v>215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</v>
      </c>
      <c r="AH208" s="47"/>
      <c r="AI208" s="48"/>
      <c r="AK208" s="49"/>
    </row>
    <row r="209" spans="1:37" x14ac:dyDescent="0.25">
      <c r="A209" s="116" t="s">
        <v>216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</v>
      </c>
      <c r="AH209" s="47"/>
      <c r="AI209" s="48"/>
      <c r="AK209" s="49"/>
    </row>
    <row r="210" spans="1:37" x14ac:dyDescent="0.25">
      <c r="A210" s="116" t="s">
        <v>217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218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1.8</v>
      </c>
      <c r="AH211" s="47"/>
      <c r="AI211" s="48"/>
      <c r="AK211" s="49"/>
    </row>
    <row r="212" spans="1:37" x14ac:dyDescent="0.25">
      <c r="A212" s="116" t="s">
        <v>219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1.8</v>
      </c>
      <c r="AH212" s="47"/>
      <c r="AI212" s="48"/>
      <c r="AK212" s="49"/>
    </row>
    <row r="213" spans="1:37" x14ac:dyDescent="0.25">
      <c r="A213" s="116" t="s">
        <v>220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1.65</v>
      </c>
      <c r="AH213" s="47"/>
      <c r="AI213" s="48"/>
      <c r="AK213" s="49"/>
    </row>
    <row r="214" spans="1:37" x14ac:dyDescent="0.25">
      <c r="A214" s="116" t="s">
        <v>221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1.5</v>
      </c>
      <c r="AH214" s="47"/>
      <c r="AI214" s="48"/>
      <c r="AK214" s="49"/>
    </row>
    <row r="215" spans="1:37" x14ac:dyDescent="0.25">
      <c r="A215" s="116" t="s">
        <v>222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0.998</v>
      </c>
      <c r="AH215" s="47"/>
      <c r="AI215" s="48"/>
      <c r="AK215" s="49"/>
    </row>
    <row r="216" spans="1:37" x14ac:dyDescent="0.25">
      <c r="A216" s="116" t="s">
        <v>223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0.997</v>
      </c>
      <c r="AH216" s="47"/>
      <c r="AI216" s="48"/>
      <c r="AK216" s="49"/>
    </row>
    <row r="217" spans="1:37" x14ac:dyDescent="0.25">
      <c r="A217" s="116" t="s">
        <v>224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0.997</v>
      </c>
      <c r="AH217" s="47"/>
      <c r="AI217" s="48"/>
      <c r="AK217" s="49"/>
    </row>
    <row r="218" spans="1:37" x14ac:dyDescent="0.25">
      <c r="A218" s="116" t="s">
        <v>225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0.996</v>
      </c>
      <c r="AH218" s="47"/>
      <c r="AI218" s="48"/>
      <c r="AK218" s="49"/>
    </row>
    <row r="219" spans="1:37" x14ac:dyDescent="0.25">
      <c r="A219" s="116" t="s">
        <v>226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0.996</v>
      </c>
      <c r="AH219" s="47"/>
      <c r="AI219" s="48"/>
      <c r="AK219" s="49"/>
    </row>
    <row r="220" spans="1:37" x14ac:dyDescent="0.25">
      <c r="A220" s="116" t="s">
        <v>227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228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0.995</v>
      </c>
      <c r="AH221" s="47"/>
      <c r="AI221" s="48"/>
      <c r="AK221" s="49"/>
    </row>
    <row r="222" spans="1:37" x14ac:dyDescent="0.25">
      <c r="A222" s="116" t="s">
        <v>229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0.99299999999999999</v>
      </c>
      <c r="AH222" s="47"/>
      <c r="AI222" s="48"/>
      <c r="AK222" s="49"/>
    </row>
    <row r="223" spans="1:37" x14ac:dyDescent="0.25">
      <c r="A223" s="116" t="s">
        <v>230</v>
      </c>
      <c r="B223" s="128"/>
      <c r="C223" s="126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</v>
      </c>
      <c r="AH223" s="47"/>
      <c r="AI223" s="48"/>
      <c r="AK223" s="49"/>
    </row>
    <row r="224" spans="1:37" ht="15.75" thickBot="1" x14ac:dyDescent="0.3">
      <c r="A224" s="116" t="s">
        <v>231</v>
      </c>
      <c r="B224" s="132"/>
      <c r="C224" s="133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1">
        <v>0.97899999999999998</v>
      </c>
      <c r="AH224" s="47"/>
      <c r="AI224" s="48"/>
      <c r="AK224" s="49"/>
    </row>
    <row r="225" spans="1:37" ht="15.75" thickBot="1" x14ac:dyDescent="0.3">
      <c r="A225" s="134" t="s">
        <v>232</v>
      </c>
      <c r="B225" s="135">
        <f t="shared" ref="B225:AG225" si="17">SUM(B120:B224)</f>
        <v>0</v>
      </c>
      <c r="C225" s="136">
        <f t="shared" si="17"/>
        <v>0</v>
      </c>
      <c r="D225" s="136">
        <f t="shared" si="17"/>
        <v>0</v>
      </c>
      <c r="E225" s="136">
        <f t="shared" si="17"/>
        <v>0</v>
      </c>
      <c r="F225" s="136">
        <f t="shared" si="17"/>
        <v>0</v>
      </c>
      <c r="G225" s="136">
        <f t="shared" si="17"/>
        <v>0</v>
      </c>
      <c r="H225" s="136">
        <f t="shared" si="17"/>
        <v>0</v>
      </c>
      <c r="I225" s="136">
        <f t="shared" si="17"/>
        <v>0</v>
      </c>
      <c r="J225" s="136">
        <f t="shared" si="17"/>
        <v>0</v>
      </c>
      <c r="K225" s="136">
        <f t="shared" si="17"/>
        <v>0</v>
      </c>
      <c r="L225" s="136">
        <f t="shared" si="17"/>
        <v>0</v>
      </c>
      <c r="M225" s="136">
        <f t="shared" si="17"/>
        <v>0</v>
      </c>
      <c r="N225" s="136">
        <f t="shared" si="17"/>
        <v>0</v>
      </c>
      <c r="O225" s="136">
        <f t="shared" si="17"/>
        <v>0</v>
      </c>
      <c r="P225" s="136">
        <f t="shared" si="17"/>
        <v>0</v>
      </c>
      <c r="Q225" s="136">
        <f t="shared" si="17"/>
        <v>0</v>
      </c>
      <c r="R225" s="136">
        <f t="shared" si="17"/>
        <v>0</v>
      </c>
      <c r="S225" s="136">
        <f t="shared" si="17"/>
        <v>0</v>
      </c>
      <c r="T225" s="136">
        <f t="shared" si="17"/>
        <v>0</v>
      </c>
      <c r="U225" s="136">
        <f t="shared" si="17"/>
        <v>0</v>
      </c>
      <c r="V225" s="136">
        <f t="shared" si="17"/>
        <v>0</v>
      </c>
      <c r="W225" s="136">
        <f t="shared" si="17"/>
        <v>0</v>
      </c>
      <c r="X225" s="136">
        <f t="shared" si="17"/>
        <v>0</v>
      </c>
      <c r="Y225" s="136">
        <f t="shared" si="17"/>
        <v>0</v>
      </c>
      <c r="Z225" s="136">
        <f t="shared" si="17"/>
        <v>0</v>
      </c>
      <c r="AA225" s="136">
        <f t="shared" si="17"/>
        <v>0</v>
      </c>
      <c r="AB225" s="136">
        <f t="shared" si="17"/>
        <v>0</v>
      </c>
      <c r="AC225" s="136">
        <f t="shared" si="17"/>
        <v>0</v>
      </c>
      <c r="AD225" s="136">
        <f t="shared" si="17"/>
        <v>0</v>
      </c>
      <c r="AE225" s="136">
        <f t="shared" si="17"/>
        <v>0</v>
      </c>
      <c r="AF225" s="137">
        <f t="shared" si="17"/>
        <v>0</v>
      </c>
      <c r="AG225" s="138">
        <f t="shared" si="17"/>
        <v>412.72299999999984</v>
      </c>
      <c r="AH225" s="47"/>
      <c r="AI225" s="48"/>
      <c r="AK225" s="49"/>
    </row>
    <row r="226" spans="1:37" ht="15.75" thickBot="1" x14ac:dyDescent="0.3">
      <c r="A226" s="26" t="s">
        <v>73</v>
      </c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  <c r="AF226" s="139"/>
      <c r="AG226" s="119"/>
      <c r="AH226" s="47"/>
      <c r="AI226" s="48"/>
      <c r="AK226" s="49"/>
    </row>
    <row r="227" spans="1:37" x14ac:dyDescent="0.25">
      <c r="A227" s="100" t="s">
        <v>233</v>
      </c>
      <c r="B227" s="140">
        <f t="shared" ref="B227:B232" si="18">AF227</f>
        <v>0</v>
      </c>
      <c r="C227" s="140">
        <v>0.3</v>
      </c>
      <c r="D227" s="140">
        <f t="shared" ref="D227:P232" si="19">C227</f>
        <v>0.3</v>
      </c>
      <c r="E227" s="140">
        <f t="shared" si="19"/>
        <v>0.3</v>
      </c>
      <c r="F227" s="140">
        <f t="shared" si="19"/>
        <v>0.3</v>
      </c>
      <c r="G227" s="140">
        <f t="shared" si="19"/>
        <v>0.3</v>
      </c>
      <c r="H227" s="140">
        <f t="shared" si="19"/>
        <v>0.3</v>
      </c>
      <c r="I227" s="140">
        <f t="shared" si="19"/>
        <v>0.3</v>
      </c>
      <c r="J227" s="140">
        <f t="shared" si="19"/>
        <v>0.3</v>
      </c>
      <c r="K227" s="140">
        <f t="shared" si="19"/>
        <v>0.3</v>
      </c>
      <c r="L227" s="140">
        <f t="shared" si="19"/>
        <v>0.3</v>
      </c>
      <c r="M227" s="140">
        <f t="shared" si="19"/>
        <v>0.3</v>
      </c>
      <c r="N227" s="140">
        <f t="shared" si="19"/>
        <v>0.3</v>
      </c>
      <c r="O227" s="140">
        <f t="shared" si="19"/>
        <v>0.3</v>
      </c>
      <c r="P227" s="140">
        <f t="shared" si="19"/>
        <v>0.3</v>
      </c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1">
        <v>2.4</v>
      </c>
      <c r="AH227" s="47"/>
      <c r="AI227" s="48"/>
      <c r="AK227" s="49"/>
    </row>
    <row r="228" spans="1:37" ht="15.75" thickBot="1" x14ac:dyDescent="0.3">
      <c r="A228" s="103" t="s">
        <v>234</v>
      </c>
      <c r="B228" s="128">
        <f t="shared" si="18"/>
        <v>0</v>
      </c>
      <c r="C228" s="128">
        <v>0.4</v>
      </c>
      <c r="D228" s="128">
        <f t="shared" si="19"/>
        <v>0.4</v>
      </c>
      <c r="E228" s="128">
        <f t="shared" si="19"/>
        <v>0.4</v>
      </c>
      <c r="F228" s="128">
        <f t="shared" si="19"/>
        <v>0.4</v>
      </c>
      <c r="G228" s="128">
        <f t="shared" si="19"/>
        <v>0.4</v>
      </c>
      <c r="H228" s="128">
        <f t="shared" si="19"/>
        <v>0.4</v>
      </c>
      <c r="I228" s="128">
        <f t="shared" si="19"/>
        <v>0.4</v>
      </c>
      <c r="J228" s="128">
        <f t="shared" si="19"/>
        <v>0.4</v>
      </c>
      <c r="K228" s="128">
        <f t="shared" si="19"/>
        <v>0.4</v>
      </c>
      <c r="L228" s="128">
        <f t="shared" si="19"/>
        <v>0.4</v>
      </c>
      <c r="M228" s="128">
        <f t="shared" si="19"/>
        <v>0.4</v>
      </c>
      <c r="N228" s="128">
        <f t="shared" si="19"/>
        <v>0.4</v>
      </c>
      <c r="O228" s="128">
        <f t="shared" si="19"/>
        <v>0.4</v>
      </c>
      <c r="P228" s="128">
        <f t="shared" si="19"/>
        <v>0.4</v>
      </c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42">
        <v>2</v>
      </c>
      <c r="AH228" s="47"/>
      <c r="AI228" s="48"/>
      <c r="AK228" s="49"/>
    </row>
    <row r="229" spans="1:37" x14ac:dyDescent="0.25">
      <c r="A229" s="103" t="s">
        <v>235</v>
      </c>
      <c r="B229" s="128">
        <f t="shared" si="18"/>
        <v>0</v>
      </c>
      <c r="C229" s="128">
        <v>1.5</v>
      </c>
      <c r="D229" s="128">
        <f t="shared" si="19"/>
        <v>1.5</v>
      </c>
      <c r="E229" s="128">
        <f t="shared" si="19"/>
        <v>1.5</v>
      </c>
      <c r="F229" s="128">
        <f t="shared" si="19"/>
        <v>1.5</v>
      </c>
      <c r="G229" s="128">
        <f t="shared" si="19"/>
        <v>1.5</v>
      </c>
      <c r="H229" s="128">
        <f t="shared" si="19"/>
        <v>1.5</v>
      </c>
      <c r="I229" s="111">
        <f ca="1">SUM(I141,I147,I150:I151,I177,I179:I180,I182,I184,I230:I234,I256,I262,I268,I277,I279,I291,I298,I301:I302,I309,I311,I313,I317:I319,I321:I323,I328,I334:I335,I337:I339,I347,I352)</f>
        <v>123.21900000000009</v>
      </c>
      <c r="J229" s="128">
        <f t="shared" ca="1" si="19"/>
        <v>123.21900000000009</v>
      </c>
      <c r="K229" s="128">
        <f t="shared" ca="1" si="19"/>
        <v>123.21900000000009</v>
      </c>
      <c r="L229" s="128">
        <f t="shared" ca="1" si="19"/>
        <v>123.21900000000009</v>
      </c>
      <c r="M229" s="128">
        <f t="shared" ca="1" si="19"/>
        <v>123.21900000000009</v>
      </c>
      <c r="N229" s="128">
        <f t="shared" ca="1" si="19"/>
        <v>123.21900000000009</v>
      </c>
      <c r="O229" s="128">
        <f t="shared" ca="1" si="19"/>
        <v>123.21900000000009</v>
      </c>
      <c r="P229" s="128">
        <f t="shared" ca="1" si="19"/>
        <v>123.21900000000009</v>
      </c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42">
        <v>1.5</v>
      </c>
      <c r="AH229" s="47"/>
      <c r="AI229" s="48"/>
      <c r="AK229" s="49"/>
    </row>
    <row r="230" spans="1:37" x14ac:dyDescent="0.25">
      <c r="A230" s="103" t="s">
        <v>236</v>
      </c>
      <c r="B230" s="128">
        <f t="shared" si="18"/>
        <v>0</v>
      </c>
      <c r="C230" s="128">
        <v>0.3</v>
      </c>
      <c r="D230" s="128">
        <f t="shared" si="19"/>
        <v>0.3</v>
      </c>
      <c r="E230" s="128">
        <f t="shared" si="19"/>
        <v>0.3</v>
      </c>
      <c r="F230" s="128">
        <f t="shared" si="19"/>
        <v>0.3</v>
      </c>
      <c r="G230" s="128">
        <f t="shared" si="19"/>
        <v>0.3</v>
      </c>
      <c r="H230" s="128">
        <f t="shared" si="19"/>
        <v>0.3</v>
      </c>
      <c r="I230" s="128">
        <f t="shared" si="19"/>
        <v>0.3</v>
      </c>
      <c r="J230" s="128">
        <f t="shared" si="19"/>
        <v>0.3</v>
      </c>
      <c r="K230" s="128">
        <f t="shared" si="19"/>
        <v>0.3</v>
      </c>
      <c r="L230" s="128">
        <f t="shared" si="19"/>
        <v>0.3</v>
      </c>
      <c r="M230" s="128">
        <f t="shared" si="19"/>
        <v>0.3</v>
      </c>
      <c r="N230" s="128">
        <f t="shared" si="19"/>
        <v>0.3</v>
      </c>
      <c r="O230" s="128">
        <f t="shared" si="19"/>
        <v>0.3</v>
      </c>
      <c r="P230" s="128">
        <f t="shared" si="19"/>
        <v>0.3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1</v>
      </c>
      <c r="AH230" s="47"/>
      <c r="AI230" s="48"/>
      <c r="AK230" s="49"/>
    </row>
    <row r="231" spans="1:37" x14ac:dyDescent="0.25">
      <c r="A231" s="103" t="s">
        <v>237</v>
      </c>
      <c r="B231" s="128">
        <f t="shared" si="18"/>
        <v>0</v>
      </c>
      <c r="C231" s="128">
        <v>0.4</v>
      </c>
      <c r="D231" s="128">
        <f t="shared" si="19"/>
        <v>0.4</v>
      </c>
      <c r="E231" s="128">
        <f t="shared" si="19"/>
        <v>0.4</v>
      </c>
      <c r="F231" s="128">
        <f t="shared" si="19"/>
        <v>0.4</v>
      </c>
      <c r="G231" s="128">
        <f t="shared" si="19"/>
        <v>0.4</v>
      </c>
      <c r="H231" s="128">
        <f t="shared" si="19"/>
        <v>0.4</v>
      </c>
      <c r="I231" s="128">
        <f t="shared" si="19"/>
        <v>0.4</v>
      </c>
      <c r="J231" s="128">
        <f t="shared" si="19"/>
        <v>0.4</v>
      </c>
      <c r="K231" s="128">
        <f t="shared" si="19"/>
        <v>0.4</v>
      </c>
      <c r="L231" s="128">
        <f t="shared" si="19"/>
        <v>0.4</v>
      </c>
      <c r="M231" s="128">
        <f t="shared" si="19"/>
        <v>0.4</v>
      </c>
      <c r="N231" s="128">
        <f t="shared" si="19"/>
        <v>0.4</v>
      </c>
      <c r="O231" s="128">
        <f t="shared" si="19"/>
        <v>0.4</v>
      </c>
      <c r="P231" s="128">
        <f t="shared" si="19"/>
        <v>0.4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</v>
      </c>
      <c r="AH231" s="47"/>
      <c r="AI231" s="48"/>
      <c r="AK231" s="49"/>
    </row>
    <row r="232" spans="1:37" ht="15.75" thickBot="1" x14ac:dyDescent="0.3">
      <c r="A232" s="116" t="s">
        <v>238</v>
      </c>
      <c r="B232" s="132">
        <f t="shared" si="18"/>
        <v>0</v>
      </c>
      <c r="C232" s="132">
        <v>0.64</v>
      </c>
      <c r="D232" s="132">
        <f t="shared" si="19"/>
        <v>0.64</v>
      </c>
      <c r="E232" s="132">
        <f t="shared" si="19"/>
        <v>0.64</v>
      </c>
      <c r="F232" s="132">
        <f t="shared" si="19"/>
        <v>0.64</v>
      </c>
      <c r="G232" s="132">
        <f t="shared" si="19"/>
        <v>0.64</v>
      </c>
      <c r="H232" s="132">
        <f t="shared" si="19"/>
        <v>0.64</v>
      </c>
      <c r="I232" s="132">
        <f t="shared" si="19"/>
        <v>0.64</v>
      </c>
      <c r="J232" s="132">
        <f t="shared" si="19"/>
        <v>0.64</v>
      </c>
      <c r="K232" s="132">
        <f t="shared" si="19"/>
        <v>0.64</v>
      </c>
      <c r="L232" s="132">
        <f t="shared" si="19"/>
        <v>0.64</v>
      </c>
      <c r="M232" s="132">
        <f t="shared" si="19"/>
        <v>0.64</v>
      </c>
      <c r="N232" s="132">
        <f t="shared" si="19"/>
        <v>0.64</v>
      </c>
      <c r="O232" s="132">
        <f t="shared" si="19"/>
        <v>0.64</v>
      </c>
      <c r="P232" s="132">
        <f t="shared" si="19"/>
        <v>0.64</v>
      </c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43">
        <v>0.66</v>
      </c>
      <c r="AH232" s="47"/>
      <c r="AI232" s="48"/>
    </row>
    <row r="233" spans="1:37" ht="15.75" thickBot="1" x14ac:dyDescent="0.3">
      <c r="A233" s="144" t="s">
        <v>73</v>
      </c>
      <c r="B233" s="136">
        <f t="shared" ref="B233:AG233" si="20">SUM(B227:B232)</f>
        <v>0</v>
      </c>
      <c r="C233" s="136">
        <f t="shared" si="20"/>
        <v>3.54</v>
      </c>
      <c r="D233" s="136">
        <f t="shared" si="20"/>
        <v>3.54</v>
      </c>
      <c r="E233" s="136">
        <f t="shared" si="20"/>
        <v>3.54</v>
      </c>
      <c r="F233" s="136">
        <f t="shared" si="20"/>
        <v>3.54</v>
      </c>
      <c r="G233" s="136">
        <f t="shared" si="20"/>
        <v>3.54</v>
      </c>
      <c r="H233" s="136">
        <f t="shared" si="20"/>
        <v>3.54</v>
      </c>
      <c r="I233" s="136">
        <f t="shared" ca="1" si="20"/>
        <v>121.23900000000009</v>
      </c>
      <c r="J233" s="136">
        <f t="shared" ca="1" si="20"/>
        <v>121.23900000000009</v>
      </c>
      <c r="K233" s="136">
        <f t="shared" ca="1" si="20"/>
        <v>121.23900000000009</v>
      </c>
      <c r="L233" s="136">
        <f t="shared" ca="1" si="20"/>
        <v>121.23900000000009</v>
      </c>
      <c r="M233" s="136">
        <f t="shared" ca="1" si="20"/>
        <v>121.23900000000009</v>
      </c>
      <c r="N233" s="136">
        <f t="shared" ca="1" si="20"/>
        <v>117.21900000000008</v>
      </c>
      <c r="O233" s="136">
        <f t="shared" ca="1" si="20"/>
        <v>113.19900000000007</v>
      </c>
      <c r="P233" s="136">
        <f t="shared" ca="1" si="20"/>
        <v>125.2590000000001</v>
      </c>
      <c r="Q233" s="136">
        <f t="shared" si="20"/>
        <v>0</v>
      </c>
      <c r="R233" s="136">
        <f t="shared" si="20"/>
        <v>0</v>
      </c>
      <c r="S233" s="136">
        <f t="shared" si="20"/>
        <v>0</v>
      </c>
      <c r="T233" s="136">
        <f t="shared" si="20"/>
        <v>0</v>
      </c>
      <c r="U233" s="136">
        <f t="shared" si="20"/>
        <v>0</v>
      </c>
      <c r="V233" s="136">
        <f t="shared" si="20"/>
        <v>0</v>
      </c>
      <c r="W233" s="136">
        <f t="shared" si="20"/>
        <v>0</v>
      </c>
      <c r="X233" s="136">
        <f t="shared" si="20"/>
        <v>0</v>
      </c>
      <c r="Y233" s="136">
        <f t="shared" si="20"/>
        <v>0</v>
      </c>
      <c r="Z233" s="136">
        <f t="shared" si="20"/>
        <v>0</v>
      </c>
      <c r="AA233" s="136">
        <f t="shared" si="20"/>
        <v>0</v>
      </c>
      <c r="AB233" s="136">
        <f t="shared" si="20"/>
        <v>0</v>
      </c>
      <c r="AC233" s="136">
        <f t="shared" si="20"/>
        <v>0</v>
      </c>
      <c r="AD233" s="136">
        <f t="shared" si="20"/>
        <v>0</v>
      </c>
      <c r="AE233" s="136">
        <f t="shared" si="20"/>
        <v>0</v>
      </c>
      <c r="AF233" s="136">
        <f t="shared" si="20"/>
        <v>0</v>
      </c>
      <c r="AG233" s="145">
        <f t="shared" si="20"/>
        <v>8.56</v>
      </c>
      <c r="AH233" s="47"/>
      <c r="AI233" s="48"/>
    </row>
    <row r="234" spans="1:37" ht="15.75" thickBot="1" x14ac:dyDescent="0.3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139"/>
      <c r="AH234" s="43"/>
    </row>
    <row r="235" spans="1:37" x14ac:dyDescent="0.25">
      <c r="A235" s="146" t="s">
        <v>239</v>
      </c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8"/>
      <c r="AG235" s="43"/>
      <c r="AH235" s="47"/>
      <c r="AI235" s="48"/>
    </row>
    <row r="236" spans="1:37" x14ac:dyDescent="0.25">
      <c r="A236" s="149" t="s">
        <v>240</v>
      </c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1"/>
      <c r="AG236" s="152"/>
      <c r="AH236" s="47"/>
      <c r="AI236" s="48"/>
    </row>
    <row r="237" spans="1:37" x14ac:dyDescent="0.25">
      <c r="A237" s="153" t="s">
        <v>241</v>
      </c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5"/>
      <c r="AG237" s="152"/>
      <c r="AH237" s="47"/>
      <c r="AI237" s="48"/>
    </row>
    <row r="238" spans="1:37" x14ac:dyDescent="0.25">
      <c r="A238" s="153" t="s">
        <v>242</v>
      </c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5"/>
      <c r="AG238" s="152"/>
      <c r="AH238" s="47"/>
      <c r="AI238" s="48"/>
    </row>
    <row r="239" spans="1:37" ht="15.75" thickBot="1" x14ac:dyDescent="0.3">
      <c r="A239" s="156" t="s">
        <v>243</v>
      </c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8"/>
      <c r="AG239" s="152"/>
      <c r="AH239" s="47"/>
      <c r="AI239" s="48"/>
    </row>
    <row r="240" spans="1:37" x14ac:dyDescent="0.25"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x14ac:dyDescent="0.2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50" x14ac:dyDescent="0.25">
      <c r="A242" s="159" t="s">
        <v>244</v>
      </c>
      <c r="B242" s="160">
        <f>MAX(G89:N89)</f>
        <v>1496.44</v>
      </c>
      <c r="C242" s="161">
        <f>INDEX(G9:N9,1,MATCH(MAX(G89:N89),G89:N89,0))</f>
        <v>0.3125</v>
      </c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62" t="str">
        <f ca="1">MID(CELL("filename",C7),FIND("]",CELL("filename",C7))+1,600)</f>
        <v>11</v>
      </c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78" t="s">
        <v>245</v>
      </c>
      <c r="B244" s="178"/>
      <c r="C244" s="43"/>
      <c r="D244" s="162" t="str">
        <f ca="1">"Pie Chart of Daily Peak Demand(Inclusive of Export) of Nepal ("&amp;A4&amp;" "&amp;B4&amp;")"</f>
        <v>Pie Chart of Daily Peak Demand(Inclusive of Export) of Nepal (Nepali Date: 2080/02/11)</v>
      </c>
      <c r="E244" s="43"/>
      <c r="F244" s="43"/>
      <c r="G244" s="162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162" t="str">
        <f ca="1">"Daily Load Curve(Excluding of Export) of Nepal ("&amp;A4&amp;" "&amp;B4&amp;")"</f>
        <v>Daily Load Curve(Excluding of Export) of Nepal (Nepali Date: 2080/02/11)</v>
      </c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ht="12.75" customHeight="1" thickBot="1" x14ac:dyDescent="0.3">
      <c r="A245" s="163" t="s">
        <v>7</v>
      </c>
      <c r="B245" s="164"/>
      <c r="C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ht="15.75" thickTop="1" x14ac:dyDescent="0.25">
      <c r="A246" s="163" t="s">
        <v>246</v>
      </c>
      <c r="B246" s="16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5" t="s">
        <v>247</v>
      </c>
      <c r="T246" s="166">
        <v>0</v>
      </c>
      <c r="U246" s="167">
        <v>4.1666666666666664E-2</v>
      </c>
      <c r="V246" s="168">
        <v>8.3333333333333301E-2</v>
      </c>
      <c r="W246" s="168">
        <v>0.125</v>
      </c>
      <c r="X246" s="168">
        <v>0.16666666666666699</v>
      </c>
      <c r="Y246" s="168">
        <v>0.20833333333333301</v>
      </c>
      <c r="Z246" s="168">
        <v>0.22916666666666666</v>
      </c>
      <c r="AA246" s="168">
        <v>0.25</v>
      </c>
      <c r="AB246" s="168">
        <v>0.27083333333333331</v>
      </c>
      <c r="AC246" s="168">
        <v>0.29166666666666669</v>
      </c>
      <c r="AD246" s="168">
        <v>0.3125</v>
      </c>
      <c r="AE246" s="169">
        <v>0.33333333333333331</v>
      </c>
      <c r="AF246" s="169">
        <v>0.375</v>
      </c>
      <c r="AG246" s="169">
        <v>0.41666666666666702</v>
      </c>
      <c r="AH246" s="169">
        <v>0.45833333333333298</v>
      </c>
      <c r="AI246" s="169">
        <v>0.5</v>
      </c>
      <c r="AJ246" s="169">
        <v>0.54166666666666696</v>
      </c>
      <c r="AK246" s="169">
        <v>0.58333333333333304</v>
      </c>
      <c r="AL246" s="169">
        <v>0.625</v>
      </c>
      <c r="AM246" s="169">
        <v>0.66666666666666696</v>
      </c>
      <c r="AN246" s="169">
        <v>0.70833333333333304</v>
      </c>
      <c r="AO246" s="169">
        <v>0.72916666666666663</v>
      </c>
      <c r="AP246" s="169">
        <v>0.75</v>
      </c>
      <c r="AQ246" s="169">
        <v>0.77083333333333337</v>
      </c>
      <c r="AR246" s="169">
        <v>0.79166666666666663</v>
      </c>
      <c r="AS246" s="169">
        <v>0.8125</v>
      </c>
      <c r="AT246" s="168">
        <v>0.83333333333333337</v>
      </c>
      <c r="AU246" s="168">
        <v>0.85416666666666663</v>
      </c>
      <c r="AV246" s="168">
        <v>0.875</v>
      </c>
      <c r="AW246" s="168">
        <v>0.91666666666666696</v>
      </c>
      <c r="AX246" s="168">
        <v>0.95833333333333304</v>
      </c>
    </row>
    <row r="247" spans="1:50" x14ac:dyDescent="0.25">
      <c r="A247" s="163" t="s">
        <v>248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 t="s">
        <v>249</v>
      </c>
      <c r="T247" s="170">
        <f t="shared" ref="T247:AX247" si="21">B89</f>
        <v>1500.54</v>
      </c>
      <c r="U247" s="170">
        <f t="shared" si="21"/>
        <v>1481.54</v>
      </c>
      <c r="V247" s="170">
        <f t="shared" si="21"/>
        <v>1438.54</v>
      </c>
      <c r="W247" s="170">
        <f t="shared" si="21"/>
        <v>1392.54</v>
      </c>
      <c r="X247" s="170">
        <f t="shared" si="21"/>
        <v>1387.54</v>
      </c>
      <c r="Y247" s="170">
        <f t="shared" si="21"/>
        <v>1397.54</v>
      </c>
      <c r="Z247" s="170">
        <f t="shared" si="21"/>
        <v>1342.54</v>
      </c>
      <c r="AA247" s="170">
        <f t="shared" si="21"/>
        <v>1310.54</v>
      </c>
      <c r="AB247" s="170">
        <f t="shared" si="21"/>
        <v>1353.54</v>
      </c>
      <c r="AC247" s="170">
        <f t="shared" si="21"/>
        <v>1383.04</v>
      </c>
      <c r="AD247" s="170">
        <f t="shared" si="21"/>
        <v>1496.44</v>
      </c>
      <c r="AE247" s="170">
        <f t="shared" si="21"/>
        <v>1476.3400000000001</v>
      </c>
      <c r="AF247" s="170">
        <f t="shared" si="21"/>
        <v>1401.64</v>
      </c>
      <c r="AG247" s="170">
        <f t="shared" si="21"/>
        <v>1444.6399999999999</v>
      </c>
      <c r="AH247" s="170">
        <f t="shared" si="21"/>
        <v>1464.3400000000001</v>
      </c>
      <c r="AI247" s="170">
        <f t="shared" si="21"/>
        <v>1405.44</v>
      </c>
      <c r="AJ247" s="170">
        <f t="shared" si="21"/>
        <v>1411.3400000000001</v>
      </c>
      <c r="AK247" s="170">
        <f t="shared" si="21"/>
        <v>1381.74</v>
      </c>
      <c r="AL247" s="170">
        <f t="shared" si="21"/>
        <v>1337.6399999999999</v>
      </c>
      <c r="AM247" s="170">
        <f t="shared" si="21"/>
        <v>1367.54</v>
      </c>
      <c r="AN247" s="170">
        <f t="shared" si="21"/>
        <v>1349.0400000000002</v>
      </c>
      <c r="AO247" s="170">
        <f t="shared" si="21"/>
        <v>1200.8400000000001</v>
      </c>
      <c r="AP247" s="170">
        <f t="shared" si="21"/>
        <v>1161.6400000000001</v>
      </c>
      <c r="AQ247" s="170">
        <f t="shared" si="21"/>
        <v>1121.8400000000001</v>
      </c>
      <c r="AR247" s="170">
        <f t="shared" si="21"/>
        <v>1200.6400000000001</v>
      </c>
      <c r="AS247" s="170">
        <f t="shared" si="21"/>
        <v>1275.8400000000001</v>
      </c>
      <c r="AT247" s="170">
        <f t="shared" si="21"/>
        <v>1271.24</v>
      </c>
      <c r="AU247" s="170">
        <f t="shared" si="21"/>
        <v>1236.1400000000001</v>
      </c>
      <c r="AV247" s="170">
        <f t="shared" si="21"/>
        <v>1259.8399999999999</v>
      </c>
      <c r="AW247" s="170">
        <f t="shared" si="21"/>
        <v>1253.8400000000001</v>
      </c>
      <c r="AX247" s="170">
        <f t="shared" si="21"/>
        <v>1220.6400000000001</v>
      </c>
    </row>
    <row r="248" spans="1:50" x14ac:dyDescent="0.25">
      <c r="A248" s="163" t="s">
        <v>250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A250" s="163" t="s">
        <v>252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253</v>
      </c>
      <c r="B251" s="171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254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A268" s="172" t="s">
        <v>239</v>
      </c>
      <c r="B268" s="173">
        <f t="shared" ref="B268:AE268" si="22">C232</f>
        <v>0.64</v>
      </c>
      <c r="C268" s="173">
        <f t="shared" si="22"/>
        <v>0.64</v>
      </c>
      <c r="D268" s="173">
        <f t="shared" si="22"/>
        <v>0.64</v>
      </c>
      <c r="E268" s="173">
        <f t="shared" si="22"/>
        <v>0.64</v>
      </c>
      <c r="F268" s="173">
        <f t="shared" si="22"/>
        <v>0.64</v>
      </c>
      <c r="G268" s="173">
        <f t="shared" si="22"/>
        <v>0.64</v>
      </c>
      <c r="H268" s="173">
        <f t="shared" si="22"/>
        <v>0.64</v>
      </c>
      <c r="I268" s="173">
        <f t="shared" si="22"/>
        <v>0.64</v>
      </c>
      <c r="J268" s="173">
        <f t="shared" si="22"/>
        <v>0.64</v>
      </c>
      <c r="K268" s="173">
        <f t="shared" si="22"/>
        <v>0.64</v>
      </c>
      <c r="L268" s="173">
        <f t="shared" si="22"/>
        <v>0.64</v>
      </c>
      <c r="M268" s="173">
        <f t="shared" si="22"/>
        <v>0.64</v>
      </c>
      <c r="N268" s="173">
        <f t="shared" si="22"/>
        <v>0.64</v>
      </c>
      <c r="O268" s="173">
        <f t="shared" si="22"/>
        <v>0.64</v>
      </c>
      <c r="P268" s="173">
        <f t="shared" si="22"/>
        <v>0</v>
      </c>
      <c r="Q268" s="173">
        <f t="shared" si="22"/>
        <v>0</v>
      </c>
      <c r="R268" s="173">
        <f t="shared" si="22"/>
        <v>0</v>
      </c>
      <c r="S268" s="173">
        <f t="shared" si="22"/>
        <v>0</v>
      </c>
      <c r="T268" s="173">
        <f t="shared" si="22"/>
        <v>0</v>
      </c>
      <c r="U268" s="173">
        <f t="shared" si="22"/>
        <v>0</v>
      </c>
      <c r="V268" s="173">
        <f t="shared" si="22"/>
        <v>0</v>
      </c>
      <c r="W268" s="173">
        <f t="shared" si="22"/>
        <v>0</v>
      </c>
      <c r="X268" s="173">
        <f t="shared" si="22"/>
        <v>0</v>
      </c>
      <c r="Y268" s="173">
        <f t="shared" si="22"/>
        <v>0</v>
      </c>
      <c r="Z268" s="173">
        <f t="shared" si="22"/>
        <v>0</v>
      </c>
      <c r="AA268" s="173">
        <f t="shared" si="22"/>
        <v>0</v>
      </c>
      <c r="AB268" s="173">
        <f t="shared" si="22"/>
        <v>0</v>
      </c>
      <c r="AC268" s="173">
        <f t="shared" si="22"/>
        <v>0</v>
      </c>
      <c r="AD268" s="173">
        <f t="shared" si="22"/>
        <v>0</v>
      </c>
      <c r="AE268" s="173">
        <f t="shared" si="22"/>
        <v>0</v>
      </c>
      <c r="AF268" s="173">
        <f>B232</f>
        <v>0</v>
      </c>
      <c r="AG268" s="43"/>
      <c r="AH268" s="43"/>
    </row>
    <row r="269" spans="1:34" x14ac:dyDescent="0.25">
      <c r="A269" s="174" t="str">
        <f>A236</f>
        <v>KGA</v>
      </c>
      <c r="B269" s="174" t="str">
        <f t="shared" ref="B269:AF269" si="23">IF(B236&lt;100,"",B236-520)</f>
        <v/>
      </c>
      <c r="C269" s="174" t="str">
        <f t="shared" si="23"/>
        <v/>
      </c>
      <c r="D269" s="174" t="str">
        <f t="shared" si="23"/>
        <v/>
      </c>
      <c r="E269" s="174" t="str">
        <f t="shared" si="23"/>
        <v/>
      </c>
      <c r="F269" s="174" t="str">
        <f t="shared" si="23"/>
        <v/>
      </c>
      <c r="G269" s="174" t="str">
        <f t="shared" si="23"/>
        <v/>
      </c>
      <c r="H269" s="174" t="str">
        <f t="shared" si="23"/>
        <v/>
      </c>
      <c r="I269" s="174" t="str">
        <f t="shared" si="23"/>
        <v/>
      </c>
      <c r="J269" s="174" t="str">
        <f t="shared" si="23"/>
        <v/>
      </c>
      <c r="K269" s="174" t="str">
        <f t="shared" si="23"/>
        <v/>
      </c>
      <c r="L269" s="174" t="str">
        <f t="shared" si="23"/>
        <v/>
      </c>
      <c r="M269" s="174" t="str">
        <f t="shared" si="23"/>
        <v/>
      </c>
      <c r="N269" s="174" t="str">
        <f t="shared" si="23"/>
        <v/>
      </c>
      <c r="O269" s="174" t="str">
        <f t="shared" si="23"/>
        <v/>
      </c>
      <c r="P269" s="174" t="str">
        <f t="shared" si="23"/>
        <v/>
      </c>
      <c r="Q269" s="174" t="str">
        <f t="shared" si="23"/>
        <v/>
      </c>
      <c r="R269" s="174" t="str">
        <f t="shared" si="23"/>
        <v/>
      </c>
      <c r="S269" s="174" t="str">
        <f t="shared" si="23"/>
        <v/>
      </c>
      <c r="T269" s="174" t="str">
        <f t="shared" si="23"/>
        <v/>
      </c>
      <c r="U269" s="174" t="str">
        <f t="shared" si="23"/>
        <v/>
      </c>
      <c r="V269" s="174" t="str">
        <f t="shared" si="23"/>
        <v/>
      </c>
      <c r="W269" s="174" t="str">
        <f t="shared" si="23"/>
        <v/>
      </c>
      <c r="X269" s="174" t="str">
        <f t="shared" si="23"/>
        <v/>
      </c>
      <c r="Y269" s="174" t="str">
        <f t="shared" si="23"/>
        <v/>
      </c>
      <c r="Z269" s="174" t="str">
        <f t="shared" si="23"/>
        <v/>
      </c>
      <c r="AA269" s="174" t="str">
        <f t="shared" si="23"/>
        <v/>
      </c>
      <c r="AB269" s="174" t="str">
        <f t="shared" si="23"/>
        <v/>
      </c>
      <c r="AC269" s="174" t="str">
        <f t="shared" si="23"/>
        <v/>
      </c>
      <c r="AD269" s="174" t="str">
        <f t="shared" si="23"/>
        <v/>
      </c>
      <c r="AE269" s="174" t="str">
        <f t="shared" si="23"/>
        <v/>
      </c>
      <c r="AF269" s="174" t="str">
        <f t="shared" si="23"/>
        <v/>
      </c>
      <c r="AG269" s="43"/>
      <c r="AH269" s="43"/>
    </row>
    <row r="270" spans="1:34" x14ac:dyDescent="0.25">
      <c r="A270" s="174" t="str">
        <f>A237</f>
        <v>MMRS</v>
      </c>
      <c r="B270" s="174" t="str">
        <f t="shared" ref="B270:AF270" si="24">IF(B237&lt;100,"",B237-620)</f>
        <v/>
      </c>
      <c r="C270" s="174" t="str">
        <f t="shared" si="24"/>
        <v/>
      </c>
      <c r="D270" s="174" t="str">
        <f t="shared" si="24"/>
        <v/>
      </c>
      <c r="E270" s="174" t="str">
        <f t="shared" si="24"/>
        <v/>
      </c>
      <c r="F270" s="174" t="str">
        <f t="shared" si="24"/>
        <v/>
      </c>
      <c r="G270" s="174" t="str">
        <f t="shared" si="24"/>
        <v/>
      </c>
      <c r="H270" s="174" t="str">
        <f t="shared" si="24"/>
        <v/>
      </c>
      <c r="I270" s="174" t="str">
        <f t="shared" si="24"/>
        <v/>
      </c>
      <c r="J270" s="174" t="str">
        <f t="shared" si="24"/>
        <v/>
      </c>
      <c r="K270" s="174" t="str">
        <f t="shared" si="24"/>
        <v/>
      </c>
      <c r="L270" s="174" t="str">
        <f t="shared" si="24"/>
        <v/>
      </c>
      <c r="M270" s="174" t="str">
        <f t="shared" si="24"/>
        <v/>
      </c>
      <c r="N270" s="174" t="str">
        <f t="shared" si="24"/>
        <v/>
      </c>
      <c r="O270" s="174" t="str">
        <f t="shared" si="24"/>
        <v/>
      </c>
      <c r="P270" s="174" t="str">
        <f t="shared" si="24"/>
        <v/>
      </c>
      <c r="Q270" s="174" t="str">
        <f t="shared" si="24"/>
        <v/>
      </c>
      <c r="R270" s="174" t="str">
        <f t="shared" si="24"/>
        <v/>
      </c>
      <c r="S270" s="174" t="str">
        <f t="shared" si="24"/>
        <v/>
      </c>
      <c r="T270" s="174" t="str">
        <f t="shared" si="24"/>
        <v/>
      </c>
      <c r="U270" s="174" t="str">
        <f t="shared" si="24"/>
        <v/>
      </c>
      <c r="V270" s="174" t="str">
        <f t="shared" si="24"/>
        <v/>
      </c>
      <c r="W270" s="174" t="str">
        <f t="shared" si="24"/>
        <v/>
      </c>
      <c r="X270" s="174" t="str">
        <f t="shared" si="24"/>
        <v/>
      </c>
      <c r="Y270" s="174" t="str">
        <f t="shared" si="24"/>
        <v/>
      </c>
      <c r="Z270" s="174" t="str">
        <f t="shared" si="24"/>
        <v/>
      </c>
      <c r="AA270" s="174" t="str">
        <f t="shared" si="24"/>
        <v/>
      </c>
      <c r="AB270" s="174" t="str">
        <f t="shared" si="24"/>
        <v/>
      </c>
      <c r="AC270" s="174" t="str">
        <f t="shared" si="24"/>
        <v/>
      </c>
      <c r="AD270" s="174" t="str">
        <f t="shared" si="24"/>
        <v/>
      </c>
      <c r="AE270" s="174" t="str">
        <f t="shared" si="24"/>
        <v/>
      </c>
      <c r="AF270" s="174" t="str">
        <f t="shared" si="24"/>
        <v/>
      </c>
      <c r="AG270" s="43"/>
      <c r="AH270" s="43"/>
    </row>
    <row r="271" spans="1:34" x14ac:dyDescent="0.25">
      <c r="A271" s="174" t="str">
        <f>A238</f>
        <v>MRS</v>
      </c>
      <c r="B271" s="174" t="str">
        <f t="shared" ref="B271:AF271" si="25">IF(B238&lt;100,"",B238-330)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A272" s="174" t="str">
        <f>A239</f>
        <v>KL 1</v>
      </c>
      <c r="B272" s="174" t="str">
        <f t="shared" ref="B272:AF272" si="26">IF(B239&lt;100,"",B239-1500)</f>
        <v/>
      </c>
      <c r="C272" s="174" t="str">
        <f t="shared" si="26"/>
        <v/>
      </c>
      <c r="D272" s="174" t="str">
        <f t="shared" si="26"/>
        <v/>
      </c>
      <c r="E272" s="174" t="str">
        <f t="shared" si="26"/>
        <v/>
      </c>
      <c r="F272" s="174" t="str">
        <f t="shared" si="26"/>
        <v/>
      </c>
      <c r="G272" s="174" t="str">
        <f t="shared" si="26"/>
        <v/>
      </c>
      <c r="H272" s="174" t="str">
        <f t="shared" si="26"/>
        <v/>
      </c>
      <c r="I272" s="174" t="str">
        <f t="shared" si="26"/>
        <v/>
      </c>
      <c r="J272" s="174" t="str">
        <f t="shared" si="26"/>
        <v/>
      </c>
      <c r="K272" s="174" t="str">
        <f t="shared" si="26"/>
        <v/>
      </c>
      <c r="L272" s="174" t="str">
        <f t="shared" si="26"/>
        <v/>
      </c>
      <c r="M272" s="174" t="str">
        <f t="shared" si="26"/>
        <v/>
      </c>
      <c r="N272" s="174" t="str">
        <f t="shared" si="26"/>
        <v/>
      </c>
      <c r="O272" s="174" t="str">
        <f t="shared" si="26"/>
        <v/>
      </c>
      <c r="P272" s="174" t="str">
        <f t="shared" si="26"/>
        <v/>
      </c>
      <c r="Q272" s="174" t="str">
        <f t="shared" si="26"/>
        <v/>
      </c>
      <c r="R272" s="174" t="str">
        <f t="shared" si="26"/>
        <v/>
      </c>
      <c r="S272" s="174" t="str">
        <f t="shared" si="26"/>
        <v/>
      </c>
      <c r="T272" s="174" t="str">
        <f t="shared" si="26"/>
        <v/>
      </c>
      <c r="U272" s="174" t="str">
        <f t="shared" si="26"/>
        <v/>
      </c>
      <c r="V272" s="174" t="str">
        <f t="shared" si="26"/>
        <v/>
      </c>
      <c r="W272" s="174" t="str">
        <f t="shared" si="26"/>
        <v/>
      </c>
      <c r="X272" s="174" t="str">
        <f t="shared" si="26"/>
        <v/>
      </c>
      <c r="Y272" s="174" t="str">
        <f t="shared" si="26"/>
        <v/>
      </c>
      <c r="Z272" s="174" t="str">
        <f t="shared" si="26"/>
        <v/>
      </c>
      <c r="AA272" s="174" t="str">
        <f t="shared" si="26"/>
        <v/>
      </c>
      <c r="AB272" s="174" t="str">
        <f t="shared" si="26"/>
        <v/>
      </c>
      <c r="AC272" s="174" t="str">
        <f t="shared" si="26"/>
        <v/>
      </c>
      <c r="AD272" s="174" t="str">
        <f t="shared" si="26"/>
        <v/>
      </c>
      <c r="AE272" s="174" t="str">
        <f t="shared" si="26"/>
        <v/>
      </c>
      <c r="AF272" s="174" t="str">
        <f t="shared" si="26"/>
        <v/>
      </c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4:B244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7:AF228 B227:B233 B225:AF225 U246:AF246 B9:AF10 D230:AF233 D229:H229 J229:AF229 D109:AF109 E111:AF117">
    <cfRule type="expression" dxfId="9904" priority="339">
      <formula>B$9&gt;=20/24</formula>
    </cfRule>
    <cfRule type="expression" dxfId="9903" priority="340">
      <formula>AND(B$9&gt;=14/24,B$9&lt;20/24)</formula>
    </cfRule>
    <cfRule type="expression" dxfId="9902" priority="341">
      <formula>AND(B$9&gt;=8/24,B$9&lt;14/24)</formula>
    </cfRule>
    <cfRule type="expression" dxfId="9901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9900" priority="337">
      <formula>AG65&gt;$AG65</formula>
    </cfRule>
  </conditionalFormatting>
  <conditionalFormatting sqref="A99:A109 A59:A86 A95:A97 A203:A233 A46:A57 A119:A190 A41:A42 A91:A93 A88:A89 A111:A113 A38:A39 A19:A20 A12:A15 A22:A32 A17 A34:A36">
    <cfRule type="expression" dxfId="9899" priority="336">
      <formula>$AH12=0</formula>
    </cfRule>
  </conditionalFormatting>
  <conditionalFormatting sqref="A114">
    <cfRule type="expression" dxfId="9898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9897" priority="333">
      <formula>$AH45=0</formula>
    </cfRule>
  </conditionalFormatting>
  <conditionalFormatting sqref="A98">
    <cfRule type="expression" dxfId="9896" priority="332">
      <formula>$AH98=0</formula>
    </cfRule>
  </conditionalFormatting>
  <conditionalFormatting sqref="A18">
    <cfRule type="expression" dxfId="9895" priority="331">
      <formula>$AH18=0</formula>
    </cfRule>
  </conditionalFormatting>
  <conditionalFormatting sqref="A197:A202">
    <cfRule type="expression" dxfId="9894" priority="330">
      <formula>$AH197=0</formula>
    </cfRule>
  </conditionalFormatting>
  <conditionalFormatting sqref="A191:A196">
    <cfRule type="expression" dxfId="9893" priority="329">
      <formula>$AH191=0</formula>
    </cfRule>
  </conditionalFormatting>
  <conditionalFormatting sqref="A58">
    <cfRule type="expression" dxfId="9892" priority="328">
      <formula>$AH58=0</formula>
    </cfRule>
  </conditionalFormatting>
  <conditionalFormatting sqref="A94">
    <cfRule type="expression" dxfId="9891" priority="327">
      <formula>$AH94=0</formula>
    </cfRule>
  </conditionalFormatting>
  <conditionalFormatting sqref="AD99:AF99 E99:X99">
    <cfRule type="expression" dxfId="9890" priority="323">
      <formula>E$9&gt;=20/24</formula>
    </cfRule>
    <cfRule type="expression" dxfId="9889" priority="324">
      <formula>AND(E$9&gt;=14/24,E$9&lt;20/24)</formula>
    </cfRule>
    <cfRule type="expression" dxfId="9888" priority="325">
      <formula>AND(E$9&gt;=8/24,E$9&lt;14/24)</formula>
    </cfRule>
    <cfRule type="expression" dxfId="9887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886" priority="345">
      <formula>C$9&gt;=20/24</formula>
    </cfRule>
    <cfRule type="expression" dxfId="9885" priority="346">
      <formula>AND(C$9&gt;=14/24,C$9&lt;20/24)</formula>
    </cfRule>
    <cfRule type="expression" dxfId="9884" priority="347">
      <formula>AND(C$9&gt;=8/24,C$9&lt;14/24)</formula>
    </cfRule>
    <cfRule type="expression" dxfId="9883" priority="348">
      <formula>C$9&lt;8/24</formula>
    </cfRule>
  </conditionalFormatting>
  <conditionalFormatting sqref="A234">
    <cfRule type="expression" dxfId="9882" priority="349">
      <formula>$AH234=0</formula>
    </cfRule>
  </conditionalFormatting>
  <conditionalFormatting sqref="AG246">
    <cfRule type="expression" dxfId="9881" priority="350">
      <formula>B$9&gt;=20/24</formula>
    </cfRule>
    <cfRule type="expression" dxfId="9880" priority="351">
      <formula>AND(B$9&gt;=14/24,B$9&lt;20/24)</formula>
    </cfRule>
    <cfRule type="expression" dxfId="9879" priority="352">
      <formula>AND(B$9&gt;=8/24,B$9&lt;14/24)</formula>
    </cfRule>
    <cfRule type="expression" dxfId="9878" priority="353">
      <formula>B$9&lt;8/24</formula>
    </cfRule>
  </conditionalFormatting>
  <conditionalFormatting sqref="S8">
    <cfRule type="expression" dxfId="9877" priority="318">
      <formula>U$9&gt;=20/24</formula>
    </cfRule>
    <cfRule type="expression" dxfId="9876" priority="319">
      <formula>AND(U$9&gt;=14/24,U$9&lt;20/24)</formula>
    </cfRule>
    <cfRule type="expression" dxfId="9875" priority="320">
      <formula>AND(U$9&gt;=8/24,U$9&lt;14/24)</formula>
    </cfRule>
    <cfRule type="expression" dxfId="9874" priority="321">
      <formula>U$9&lt;8/24</formula>
    </cfRule>
  </conditionalFormatting>
  <conditionalFormatting sqref="AB8">
    <cfRule type="expression" dxfId="9873" priority="314">
      <formula>AD$9&gt;=20/24</formula>
    </cfRule>
    <cfRule type="expression" dxfId="9872" priority="315">
      <formula>AND(AD$9&gt;=14/24,AD$9&lt;20/24)</formula>
    </cfRule>
    <cfRule type="expression" dxfId="9871" priority="316">
      <formula>AND(AD$9&gt;=8/24,AD$9&lt;14/24)</formula>
    </cfRule>
    <cfRule type="expression" dxfId="9870" priority="317">
      <formula>AD$9&lt;8/24</formula>
    </cfRule>
  </conditionalFormatting>
  <conditionalFormatting sqref="AH246:AX246">
    <cfRule type="expression" dxfId="9869" priority="354">
      <formula>AG$9&gt;=20/24</formula>
    </cfRule>
    <cfRule type="expression" dxfId="9868" priority="355">
      <formula>AND(AG$9&gt;=14/24,AG$9&lt;20/24)</formula>
    </cfRule>
    <cfRule type="expression" dxfId="9867" priority="356">
      <formula>AND(AG$9&gt;=8/24,AG$9&lt;14/24)</formula>
    </cfRule>
    <cfRule type="expression" dxfId="9866" priority="357">
      <formula>AG$9&lt;8/24</formula>
    </cfRule>
  </conditionalFormatting>
  <conditionalFormatting sqref="T246">
    <cfRule type="expression" dxfId="9865" priority="358">
      <formula>AX$9&gt;=20/24</formula>
    </cfRule>
    <cfRule type="expression" dxfId="9864" priority="359">
      <formula>AND(AX$9&gt;=14/24,AX$9&lt;20/24)</formula>
    </cfRule>
    <cfRule type="expression" dxfId="9863" priority="360">
      <formula>AND(AX$9&gt;=8/24,AX$9&lt;14/24)</formula>
    </cfRule>
    <cfRule type="expression" dxfId="9862" priority="361">
      <formula>AX$9&lt;8/24</formula>
    </cfRule>
  </conditionalFormatting>
  <conditionalFormatting sqref="A115:A117">
    <cfRule type="expression" dxfId="9861" priority="313">
      <formula>$AH115=0</formula>
    </cfRule>
  </conditionalFormatting>
  <conditionalFormatting sqref="M56 N54:T58 N71:AF71 AB54:AF57">
    <cfRule type="expression" dxfId="9860" priority="309">
      <formula>M$9&gt;=20/24</formula>
    </cfRule>
    <cfRule type="expression" dxfId="9859" priority="310">
      <formula>AND(M$9&gt;=14/24,M$9&lt;20/24)</formula>
    </cfRule>
    <cfRule type="expression" dxfId="9858" priority="311">
      <formula>AND(M$9&gt;=8/24,M$9&lt;14/24)</formula>
    </cfRule>
    <cfRule type="expression" dxfId="9857" priority="312">
      <formula>M$9&lt;8/24</formula>
    </cfRule>
  </conditionalFormatting>
  <conditionalFormatting sqref="N53:T53 AB53:AF53">
    <cfRule type="expression" dxfId="9856" priority="305">
      <formula>N$9&gt;=20/24</formula>
    </cfRule>
    <cfRule type="expression" dxfId="9855" priority="306">
      <formula>AND(N$9&gt;=14/24,N$9&lt;20/24)</formula>
    </cfRule>
    <cfRule type="expression" dxfId="9854" priority="307">
      <formula>AND(N$9&gt;=8/24,N$9&lt;14/24)</formula>
    </cfRule>
    <cfRule type="expression" dxfId="9853" priority="308">
      <formula>N$9&lt;8/24</formula>
    </cfRule>
  </conditionalFormatting>
  <conditionalFormatting sqref="M56 N53:T58 AB53:AF57">
    <cfRule type="expression" dxfId="9852" priority="304">
      <formula>M53&gt;$AG53</formula>
    </cfRule>
  </conditionalFormatting>
  <conditionalFormatting sqref="D86:AF86 X96:AF96 AD100:AF106 Y74:AD74 AB67:AF69 O100:X106 N72:AF73 AB75:AB81 X47:AF47 AF74 AE74:AE81">
    <cfRule type="expression" dxfId="9851" priority="300">
      <formula>D$9&gt;=20/24</formula>
    </cfRule>
    <cfRule type="expression" dxfId="9850" priority="301">
      <formula>AND(D$9&gt;=14/24,D$9&lt;20/24)</formula>
    </cfRule>
    <cfRule type="expression" dxfId="9849" priority="302">
      <formula>AND(D$9&gt;=8/24,D$9&lt;14/24)</formula>
    </cfRule>
    <cfRule type="expression" dxfId="9848" priority="303">
      <formula>D$9&lt;8/24</formula>
    </cfRule>
  </conditionalFormatting>
  <conditionalFormatting sqref="AB67:AF69 X47:AF47">
    <cfRule type="expression" dxfId="9847" priority="299">
      <formula>X47&gt;$AG47</formula>
    </cfRule>
  </conditionalFormatting>
  <conditionalFormatting sqref="U53:AA58">
    <cfRule type="expression" dxfId="9846" priority="295">
      <formula>U$9&gt;=20/24</formula>
    </cfRule>
    <cfRule type="expression" dxfId="9845" priority="296">
      <formula>AND(U$9&gt;=14/24,U$9&lt;20/24)</formula>
    </cfRule>
    <cfRule type="expression" dxfId="9844" priority="297">
      <formula>AND(U$9&gt;=8/24,U$9&lt;14/24)</formula>
    </cfRule>
    <cfRule type="expression" dxfId="9843" priority="298">
      <formula>U$9&lt;8/24</formula>
    </cfRule>
  </conditionalFormatting>
  <conditionalFormatting sqref="U53:AA58">
    <cfRule type="expression" dxfId="9842" priority="294">
      <formula>U53&gt;$AG53</formula>
    </cfRule>
  </conditionalFormatting>
  <conditionalFormatting sqref="C97:AF97 D88:AF88">
    <cfRule type="expression" dxfId="9841" priority="290">
      <formula>C$9&gt;=20/24</formula>
    </cfRule>
    <cfRule type="expression" dxfId="9840" priority="291">
      <formula>AND(C$9&gt;=14/24,C$9&lt;20/24)</formula>
    </cfRule>
    <cfRule type="expression" dxfId="9839" priority="292">
      <formula>AND(C$9&gt;=8/24,C$9&lt;14/24)</formula>
    </cfRule>
    <cfRule type="expression" dxfId="9838" priority="293">
      <formula>C$9&lt;8/24</formula>
    </cfRule>
  </conditionalFormatting>
  <conditionalFormatting sqref="T47:W47">
    <cfRule type="expression" dxfId="9837" priority="286">
      <formula>T$9&gt;=20/24</formula>
    </cfRule>
    <cfRule type="expression" dxfId="9836" priority="287">
      <formula>AND(T$9&gt;=14/24,T$9&lt;20/24)</formula>
    </cfRule>
    <cfRule type="expression" dxfId="9835" priority="288">
      <formula>AND(T$9&gt;=8/24,T$9&lt;14/24)</formula>
    </cfRule>
    <cfRule type="expression" dxfId="9834" priority="289">
      <formula>T$9&lt;8/24</formula>
    </cfRule>
  </conditionalFormatting>
  <conditionalFormatting sqref="T47:W47">
    <cfRule type="expression" dxfId="9833" priority="285">
      <formula>T47&gt;$AG47</formula>
    </cfRule>
  </conditionalFormatting>
  <conditionalFormatting sqref="L54:M55">
    <cfRule type="expression" dxfId="9832" priority="281">
      <formula>L$9&gt;=20/24</formula>
    </cfRule>
    <cfRule type="expression" dxfId="9831" priority="282">
      <formula>AND(L$9&gt;=14/24,L$9&lt;20/24)</formula>
    </cfRule>
    <cfRule type="expression" dxfId="9830" priority="283">
      <formula>AND(L$9&gt;=8/24,L$9&lt;14/24)</formula>
    </cfRule>
    <cfRule type="expression" dxfId="9829" priority="284">
      <formula>L$9&lt;8/24</formula>
    </cfRule>
  </conditionalFormatting>
  <conditionalFormatting sqref="L53:M53">
    <cfRule type="expression" dxfId="9828" priority="277">
      <formula>L$9&gt;=20/24</formula>
    </cfRule>
    <cfRule type="expression" dxfId="9827" priority="278">
      <formula>AND(L$9&gt;=14/24,L$9&lt;20/24)</formula>
    </cfRule>
    <cfRule type="expression" dxfId="9826" priority="279">
      <formula>AND(L$9&gt;=8/24,L$9&lt;14/24)</formula>
    </cfRule>
    <cfRule type="expression" dxfId="9825" priority="280">
      <formula>L$9&lt;8/24</formula>
    </cfRule>
  </conditionalFormatting>
  <conditionalFormatting sqref="L53:M55">
    <cfRule type="expression" dxfId="9824" priority="276">
      <formula>L53&gt;$AG53</formula>
    </cfRule>
  </conditionalFormatting>
  <conditionalFormatting sqref="AG70 AG87 E100:N106 Q67:AA69">
    <cfRule type="expression" dxfId="9823" priority="272">
      <formula>E$9&gt;=20/24</formula>
    </cfRule>
    <cfRule type="expression" dxfId="9822" priority="273">
      <formula>AND(E$9&gt;=14/24,E$9&lt;20/24)</formula>
    </cfRule>
    <cfRule type="expression" dxfId="9821" priority="274">
      <formula>AND(E$9&gt;=8/24,E$9&lt;14/24)</formula>
    </cfRule>
    <cfRule type="expression" dxfId="9820" priority="275">
      <formula>E$9&lt;8/24</formula>
    </cfRule>
  </conditionalFormatting>
  <conditionalFormatting sqref="AG48 AG66 AG70 Q67:AA69">
    <cfRule type="expression" dxfId="9819" priority="271">
      <formula>Q48&gt;$AG48</formula>
    </cfRule>
  </conditionalFormatting>
  <conditionalFormatting sqref="AB58:AF58">
    <cfRule type="expression" dxfId="9818" priority="267">
      <formula>AB$9&gt;=20/24</formula>
    </cfRule>
    <cfRule type="expression" dxfId="9817" priority="268">
      <formula>AND(AB$9&gt;=14/24,AB$9&lt;20/24)</formula>
    </cfRule>
    <cfRule type="expression" dxfId="9816" priority="269">
      <formula>AND(AB$9&gt;=8/24,AB$9&lt;14/24)</formula>
    </cfRule>
    <cfRule type="expression" dxfId="9815" priority="270">
      <formula>AB$9&lt;8/24</formula>
    </cfRule>
  </conditionalFormatting>
  <conditionalFormatting sqref="AB58:AF58">
    <cfRule type="expression" dxfId="9814" priority="266">
      <formula>AB58&gt;$AG58</formula>
    </cfRule>
  </conditionalFormatting>
  <conditionalFormatting sqref="A43">
    <cfRule type="expression" dxfId="9813" priority="265">
      <formula>$AH43=0</formula>
    </cfRule>
  </conditionalFormatting>
  <conditionalFormatting sqref="X91:AF95">
    <cfRule type="expression" dxfId="9812" priority="261">
      <formula>X$9&gt;=20/24</formula>
    </cfRule>
    <cfRule type="expression" dxfId="9811" priority="262">
      <formula>AND(X$9&gt;=14/24,X$9&lt;20/24)</formula>
    </cfRule>
    <cfRule type="expression" dxfId="9810" priority="263">
      <formula>AND(X$9&gt;=8/24,X$9&lt;14/24)</formula>
    </cfRule>
    <cfRule type="expression" dxfId="9809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F49:L49 M49:AF51">
    <cfRule type="expression" dxfId="9808" priority="257">
      <formula>F$9&gt;=20/24</formula>
    </cfRule>
    <cfRule type="expression" dxfId="9807" priority="258">
      <formula>AND(F$9&gt;=14/24,F$9&lt;20/24)</formula>
    </cfRule>
    <cfRule type="expression" dxfId="9806" priority="259">
      <formula>AND(F$9&gt;=8/24,F$9&lt;14/24)</formula>
    </cfRule>
    <cfRule type="expression" dxfId="9805" priority="260">
      <formula>F$9&lt;8/24</formula>
    </cfRule>
  </conditionalFormatting>
  <conditionalFormatting sqref="F49:L49 M49:AF51">
    <cfRule type="expression" dxfId="9804" priority="256">
      <formula>F49&gt;$AG49</formula>
    </cfRule>
  </conditionalFormatting>
  <conditionalFormatting sqref="AG52">
    <cfRule type="expression" dxfId="9803" priority="252">
      <formula>AG$9&gt;=20/24</formula>
    </cfRule>
    <cfRule type="expression" dxfId="9802" priority="253">
      <formula>AND(AG$9&gt;=14/24,AG$9&lt;20/24)</formula>
    </cfRule>
    <cfRule type="expression" dxfId="9801" priority="254">
      <formula>AND(AG$9&gt;=8/24,AG$9&lt;14/24)</formula>
    </cfRule>
    <cfRule type="expression" dxfId="9800" priority="255">
      <formula>AG$9&lt;8/24</formula>
    </cfRule>
  </conditionalFormatting>
  <conditionalFormatting sqref="AG52">
    <cfRule type="expression" dxfId="9799" priority="251">
      <formula>AG52&gt;$AG52</formula>
    </cfRule>
  </conditionalFormatting>
  <conditionalFormatting sqref="C107:AF107">
    <cfRule type="expression" dxfId="9798" priority="247">
      <formula>C$9&gt;=20/24</formula>
    </cfRule>
    <cfRule type="expression" dxfId="9797" priority="248">
      <formula>AND(C$9&gt;=14/24,C$9&lt;20/24)</formula>
    </cfRule>
    <cfRule type="expression" dxfId="9796" priority="249">
      <formula>AND(C$9&gt;=8/24,C$9&lt;14/24)</formula>
    </cfRule>
    <cfRule type="expression" dxfId="9795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9794" priority="245">
      <formula>$AH40=0</formula>
    </cfRule>
  </conditionalFormatting>
  <conditionalFormatting sqref="A90">
    <cfRule type="expression" dxfId="9793" priority="243">
      <formula>$AH90=0</formula>
    </cfRule>
  </conditionalFormatting>
  <conditionalFormatting sqref="A87">
    <cfRule type="expression" dxfId="9792" priority="244">
      <formula>$AH87=0</formula>
    </cfRule>
  </conditionalFormatting>
  <conditionalFormatting sqref="D110:AF110">
    <cfRule type="expression" dxfId="9791" priority="239">
      <formula>D$9&gt;=20/24</formula>
    </cfRule>
    <cfRule type="expression" dxfId="9790" priority="240">
      <formula>AND(D$9&gt;=14/24,D$9&lt;20/24)</formula>
    </cfRule>
    <cfRule type="expression" dxfId="9789" priority="241">
      <formula>AND(D$9&gt;=8/24,D$9&lt;14/24)</formula>
    </cfRule>
    <cfRule type="expression" dxfId="9788" priority="242">
      <formula>D$9&lt;8/24</formula>
    </cfRule>
  </conditionalFormatting>
  <conditionalFormatting sqref="A110">
    <cfRule type="expression" dxfId="9787" priority="238">
      <formula>$AH110=0</formula>
    </cfRule>
  </conditionalFormatting>
  <conditionalFormatting sqref="A21">
    <cfRule type="expression" dxfId="9786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9785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9784" priority="230">
      <formula>Y$9&gt;=20/24</formula>
    </cfRule>
    <cfRule type="expression" dxfId="9783" priority="231">
      <formula>AND(Y$9&gt;=14/24,Y$9&lt;20/24)</formula>
    </cfRule>
    <cfRule type="expression" dxfId="9782" priority="232">
      <formula>AND(Y$9&gt;=8/24,Y$9&lt;14/24)</formula>
    </cfRule>
    <cfRule type="expression" dxfId="9781" priority="233">
      <formula>Y$9&lt;8/24</formula>
    </cfRule>
  </conditionalFormatting>
  <conditionalFormatting sqref="Y100:AC106">
    <cfRule type="expression" dxfId="9780" priority="226">
      <formula>Y$9&gt;=20/24</formula>
    </cfRule>
    <cfRule type="expression" dxfId="9779" priority="227">
      <formula>AND(Y$9&gt;=14/24,Y$9&lt;20/24)</formula>
    </cfRule>
    <cfRule type="expression" dxfId="9778" priority="228">
      <formula>AND(Y$9&gt;=8/24,Y$9&lt;14/24)</formula>
    </cfRule>
    <cfRule type="expression" dxfId="9777" priority="229">
      <formula>Y$9&lt;8/24</formula>
    </cfRule>
  </conditionalFormatting>
  <conditionalFormatting sqref="C109 C111:D117 AA17:AB23 AA25:AB32 AB24 AA34:AF43 AC17:AF32">
    <cfRule type="expression" dxfId="9776" priority="222">
      <formula>C$9&gt;=20/24</formula>
    </cfRule>
    <cfRule type="expression" dxfId="9775" priority="223">
      <formula>AND(C$9&gt;=14/24,C$9&lt;20/24)</formula>
    </cfRule>
    <cfRule type="expression" dxfId="9774" priority="224">
      <formula>AND(C$9&gt;=8/24,C$9&lt;14/24)</formula>
    </cfRule>
    <cfRule type="expression" dxfId="9773" priority="225">
      <formula>C$9&lt;8/24</formula>
    </cfRule>
  </conditionalFormatting>
  <conditionalFormatting sqref="C47:S47">
    <cfRule type="expression" dxfId="9772" priority="218">
      <formula>C$9&gt;=20/24</formula>
    </cfRule>
    <cfRule type="expression" dxfId="9771" priority="219">
      <formula>AND(C$9&gt;=14/24,C$9&lt;20/24)</formula>
    </cfRule>
    <cfRule type="expression" dxfId="9770" priority="220">
      <formula>AND(C$9&gt;=8/24,C$9&lt;14/24)</formula>
    </cfRule>
    <cfRule type="expression" dxfId="9769" priority="221">
      <formula>C$9&lt;8/24</formula>
    </cfRule>
  </conditionalFormatting>
  <conditionalFormatting sqref="C47:S47 AA17:AB23 AA25:AB32 AB24 AA34:AF43 AC17:AF32">
    <cfRule type="expression" dxfId="9768" priority="217">
      <formula>C17&gt;$AG17</formula>
    </cfRule>
  </conditionalFormatting>
  <conditionalFormatting sqref="C99:D99">
    <cfRule type="expression" dxfId="9767" priority="213">
      <formula>C$9&gt;=20/24</formula>
    </cfRule>
    <cfRule type="expression" dxfId="9766" priority="214">
      <formula>AND(C$9&gt;=14/24,C$9&lt;20/24)</formula>
    </cfRule>
    <cfRule type="expression" dxfId="9765" priority="215">
      <formula>AND(C$9&gt;=8/24,C$9&lt;14/24)</formula>
    </cfRule>
    <cfRule type="expression" dxfId="9764" priority="216">
      <formula>C$9&lt;8/24</formula>
    </cfRule>
  </conditionalFormatting>
  <conditionalFormatting sqref="C86 C96:W96 C83:AF85 Y75:AA76 E67:P69 N74:X76 AC75:AD76 AF75:AF81">
    <cfRule type="expression" dxfId="9763" priority="209">
      <formula>C$9&gt;=20/24</formula>
    </cfRule>
    <cfRule type="expression" dxfId="9762" priority="210">
      <formula>AND(C$9&gt;=14/24,C$9&lt;20/24)</formula>
    </cfRule>
    <cfRule type="expression" dxfId="9761" priority="211">
      <formula>AND(C$9&gt;=8/24,C$9&lt;14/24)</formula>
    </cfRule>
    <cfRule type="expression" dxfId="9760" priority="212">
      <formula>C$9&lt;8/24</formula>
    </cfRule>
  </conditionalFormatting>
  <conditionalFormatting sqref="L56 E67:P69">
    <cfRule type="expression" dxfId="9759" priority="208">
      <formula>E56&gt;$AG56</formula>
    </cfRule>
  </conditionalFormatting>
  <conditionalFormatting sqref="B54:K57 L57:M57 B71:M71">
    <cfRule type="expression" dxfId="9758" priority="132">
      <formula>B$9&gt;=20/24</formula>
    </cfRule>
    <cfRule type="expression" dxfId="9757" priority="133">
      <formula>AND(B$9&gt;=14/24,B$9&lt;20/24)</formula>
    </cfRule>
    <cfRule type="expression" dxfId="9756" priority="134">
      <formula>AND(B$9&gt;=8/24,B$9&lt;14/24)</formula>
    </cfRule>
    <cfRule type="expression" dxfId="9755" priority="135">
      <formula>B$9&lt;8/24</formula>
    </cfRule>
  </conditionalFormatting>
  <conditionalFormatting sqref="C87:AF87 C89:AF89 C98:AF98 C70:AF70">
    <cfRule type="expression" dxfId="9754" priority="199">
      <formula>C$9&gt;=20/24</formula>
    </cfRule>
    <cfRule type="expression" dxfId="9753" priority="200">
      <formula>AND(C$9&gt;=14/24,C$9&lt;20/24)</formula>
    </cfRule>
    <cfRule type="expression" dxfId="9752" priority="201">
      <formula>AND(C$9&gt;=8/24,C$9&lt;14/24)</formula>
    </cfRule>
    <cfRule type="expression" dxfId="9751" priority="202">
      <formula>C$9&lt;8/24</formula>
    </cfRule>
  </conditionalFormatting>
  <conditionalFormatting sqref="C70:AF70 C65:AF66">
    <cfRule type="expression" dxfId="9750" priority="198">
      <formula>C65&gt;$AG65</formula>
    </cfRule>
  </conditionalFormatting>
  <conditionalFormatting sqref="C82:AF82">
    <cfRule type="expression" dxfId="9749" priority="194">
      <formula>C$9&gt;=20/24</formula>
    </cfRule>
    <cfRule type="expression" dxfId="9748" priority="195">
      <formula>AND(C$9&gt;=14/24,C$9&lt;20/24)</formula>
    </cfRule>
    <cfRule type="expression" dxfId="9747" priority="196">
      <formula>AND(C$9&gt;=8/24,C$9&lt;14/24)</formula>
    </cfRule>
    <cfRule type="expression" dxfId="9746" priority="197">
      <formula>C$9&lt;8/24</formula>
    </cfRule>
  </conditionalFormatting>
  <conditionalFormatting sqref="C91:W95">
    <cfRule type="expression" dxfId="9745" priority="190">
      <formula>C$9&gt;=20/24</formula>
    </cfRule>
    <cfRule type="expression" dxfId="9744" priority="191">
      <formula>AND(C$9&gt;=14/24,C$9&lt;20/24)</formula>
    </cfRule>
    <cfRule type="expression" dxfId="9743" priority="192">
      <formula>AND(C$9&gt;=8/24,C$9&lt;14/24)</formula>
    </cfRule>
    <cfRule type="expression" dxfId="9742" priority="193">
      <formula>C$9&lt;8/24</formula>
    </cfRule>
  </conditionalFormatting>
  <conditionalFormatting sqref="C52:AF52">
    <cfRule type="expression" dxfId="9741" priority="186">
      <formula>C$9&gt;=20/24</formula>
    </cfRule>
    <cfRule type="expression" dxfId="9740" priority="187">
      <formula>AND(C$9&gt;=14/24,C$9&lt;20/24)</formula>
    </cfRule>
    <cfRule type="expression" dxfId="9739" priority="188">
      <formula>AND(C$9&gt;=8/24,C$9&lt;14/24)</formula>
    </cfRule>
    <cfRule type="expression" dxfId="9738" priority="189">
      <formula>C$9&lt;8/24</formula>
    </cfRule>
  </conditionalFormatting>
  <conditionalFormatting sqref="C52:AF52">
    <cfRule type="expression" dxfId="9737" priority="185">
      <formula>C52&gt;$AG52</formula>
    </cfRule>
  </conditionalFormatting>
  <conditionalFormatting sqref="B49:E51 F50:L51">
    <cfRule type="expression" dxfId="9736" priority="100">
      <formula>B$9&gt;=20/24</formula>
    </cfRule>
    <cfRule type="expression" dxfId="9735" priority="101">
      <formula>AND(B$9&gt;=14/24,B$9&lt;20/24)</formula>
    </cfRule>
    <cfRule type="expression" dxfId="9734" priority="102">
      <formula>AND(B$9&gt;=8/24,B$9&lt;14/24)</formula>
    </cfRule>
    <cfRule type="expression" dxfId="9733" priority="103">
      <formula>B$9&lt;8/24</formula>
    </cfRule>
  </conditionalFormatting>
  <conditionalFormatting sqref="C110">
    <cfRule type="expression" dxfId="9732" priority="177">
      <formula>C$9&gt;=20/24</formula>
    </cfRule>
    <cfRule type="expression" dxfId="9731" priority="178">
      <formula>AND(C$9&gt;=14/24,C$9&lt;20/24)</formula>
    </cfRule>
    <cfRule type="expression" dxfId="9730" priority="179">
      <formula>AND(C$9&gt;=8/24,C$9&lt;14/24)</formula>
    </cfRule>
    <cfRule type="expression" dxfId="9729" priority="180">
      <formula>C$9&lt;8/24</formula>
    </cfRule>
  </conditionalFormatting>
  <conditionalFormatting sqref="AB59:AF64">
    <cfRule type="expression" dxfId="9728" priority="173">
      <formula>AB$9&gt;=20/24</formula>
    </cfRule>
    <cfRule type="expression" dxfId="9727" priority="174">
      <formula>AND(AB$9&gt;=14/24,AB$9&lt;20/24)</formula>
    </cfRule>
    <cfRule type="expression" dxfId="9726" priority="175">
      <formula>AND(AB$9&gt;=8/24,AB$9&lt;14/24)</formula>
    </cfRule>
    <cfRule type="expression" dxfId="9725" priority="176">
      <formula>AB$9&lt;8/24</formula>
    </cfRule>
  </conditionalFormatting>
  <conditionalFormatting sqref="AB59:AF64">
    <cfRule type="expression" dxfId="9724" priority="172">
      <formula>AB59&gt;$AG59</formula>
    </cfRule>
  </conditionalFormatting>
  <conditionalFormatting sqref="M13:T14 AA45:AF45 U13:AF15">
    <cfRule type="expression" dxfId="9723" priority="171">
      <formula>M13&gt;$AG13</formula>
    </cfRule>
  </conditionalFormatting>
  <conditionalFormatting sqref="M12:AF12">
    <cfRule type="expression" dxfId="9722" priority="167">
      <formula>M$9&gt;=20/24</formula>
    </cfRule>
    <cfRule type="expression" dxfId="9721" priority="168">
      <formula>AND(M$9&gt;=14/24,M$9&lt;20/24)</formula>
    </cfRule>
    <cfRule type="expression" dxfId="9720" priority="169">
      <formula>AND(M$9&gt;=8/24,M$9&lt;14/24)</formula>
    </cfRule>
    <cfRule type="expression" dxfId="9719" priority="170">
      <formula>M$9&lt;8/24</formula>
    </cfRule>
  </conditionalFormatting>
  <conditionalFormatting sqref="M12:AF12">
    <cfRule type="expression" dxfId="9718" priority="166">
      <formula>M12&gt;$AG12</formula>
    </cfRule>
  </conditionalFormatting>
  <conditionalFormatting sqref="M13:T14 U13:AF15">
    <cfRule type="expression" dxfId="9717" priority="162">
      <formula>M$9&gt;=20/24</formula>
    </cfRule>
    <cfRule type="expression" dxfId="9716" priority="163">
      <formula>AND(M$9&gt;=14/24,M$9&lt;20/24)</formula>
    </cfRule>
    <cfRule type="expression" dxfId="9715" priority="164">
      <formula>AND(M$9&gt;=8/24,M$9&lt;14/24)</formula>
    </cfRule>
    <cfRule type="expression" dxfId="9714" priority="165">
      <formula>M$9&lt;8/24</formula>
    </cfRule>
  </conditionalFormatting>
  <conditionalFormatting sqref="AA45:AF45">
    <cfRule type="expression" dxfId="9713" priority="158">
      <formula>AA$9&gt;=20/24</formula>
    </cfRule>
    <cfRule type="expression" dxfId="9712" priority="159">
      <formula>AND(AA$9&gt;=14/24,AA$9&lt;20/24)</formula>
    </cfRule>
    <cfRule type="expression" dxfId="9711" priority="160">
      <formula>AND(AA$9&gt;=8/24,AA$9&lt;14/24)</formula>
    </cfRule>
    <cfRule type="expression" dxfId="9710" priority="161">
      <formula>AA$9&lt;8/24</formula>
    </cfRule>
  </conditionalFormatting>
  <conditionalFormatting sqref="N77:AA81 AC77:AD81">
    <cfRule type="expression" dxfId="9709" priority="154">
      <formula>N$9&gt;=20/24</formula>
    </cfRule>
    <cfRule type="expression" dxfId="9708" priority="155">
      <formula>AND(N$9&gt;=14/24,N$9&lt;20/24)</formula>
    </cfRule>
    <cfRule type="expression" dxfId="9707" priority="156">
      <formula>AND(N$9&gt;=8/24,N$9&lt;14/24)</formula>
    </cfRule>
    <cfRule type="expression" dxfId="9706" priority="157">
      <formula>N$9&lt;8/24</formula>
    </cfRule>
  </conditionalFormatting>
  <conditionalFormatting sqref="AL78:AN78 AL84:AN84 AN79:AN80">
    <cfRule type="expression" dxfId="9705" priority="150">
      <formula>AL$9&gt;=20/24</formula>
    </cfRule>
    <cfRule type="expression" dxfId="9704" priority="151">
      <formula>AND(AL$9&gt;=14/24,AL$9&lt;20/24)</formula>
    </cfRule>
    <cfRule type="expression" dxfId="9703" priority="152">
      <formula>AND(AL$9&gt;=8/24,AL$9&lt;14/24)</formula>
    </cfRule>
    <cfRule type="expression" dxfId="9702" priority="153">
      <formula>AL$9&lt;8/24</formula>
    </cfRule>
  </conditionalFormatting>
  <conditionalFormatting sqref="AN81:AN82">
    <cfRule type="expression" dxfId="9701" priority="146">
      <formula>AN$9&gt;=20/24</formula>
    </cfRule>
    <cfRule type="expression" dxfId="9700" priority="147">
      <formula>AND(AN$9&gt;=14/24,AN$9&lt;20/24)</formula>
    </cfRule>
    <cfRule type="expression" dxfId="9699" priority="148">
      <formula>AND(AN$9&gt;=8/24,AN$9&lt;14/24)</formula>
    </cfRule>
    <cfRule type="expression" dxfId="9698" priority="149">
      <formula>AN$9&lt;8/24</formula>
    </cfRule>
  </conditionalFormatting>
  <conditionalFormatting sqref="AL79:AM83">
    <cfRule type="expression" dxfId="9697" priority="363">
      <formula>AJ$9&gt;=20/24</formula>
    </cfRule>
    <cfRule type="expression" dxfId="9696" priority="364">
      <formula>AND(AJ$9&gt;=14/24,AJ$9&lt;20/24)</formula>
    </cfRule>
    <cfRule type="expression" dxfId="9695" priority="365">
      <formula>AND(AJ$9&gt;=8/24,AJ$9&lt;14/24)</formula>
    </cfRule>
    <cfRule type="expression" dxfId="9694" priority="366">
      <formula>AJ$9&lt;8/24</formula>
    </cfRule>
  </conditionalFormatting>
  <conditionalFormatting sqref="A118">
    <cfRule type="expression" dxfId="9693" priority="145">
      <formula>$AH118=0</formula>
    </cfRule>
  </conditionalFormatting>
  <conditionalFormatting sqref="B109 B111:B117 B12:L15 M15:T15 B17:Z23 B34:Z43 B45:Z45 B25:Z32 B24:AA24">
    <cfRule type="expression" dxfId="9692" priority="141">
      <formula>B$9&gt;=20/24</formula>
    </cfRule>
    <cfRule type="expression" dxfId="9691" priority="142">
      <formula>AND(B$9&gt;=14/24,B$9&lt;20/24)</formula>
    </cfRule>
    <cfRule type="expression" dxfId="9690" priority="143">
      <formula>AND(B$9&gt;=8/24,B$9&lt;14/24)</formula>
    </cfRule>
    <cfRule type="expression" dxfId="9689" priority="144">
      <formula>B$9&lt;8/24</formula>
    </cfRule>
  </conditionalFormatting>
  <conditionalFormatting sqref="B12:L15 M15:T15 B17:Z23 B34:Z43 B45:Z45 B25:Z32 B24:AA24">
    <cfRule type="expression" dxfId="9688" priority="140">
      <formula>B12&gt;$AG12</formula>
    </cfRule>
  </conditionalFormatting>
  <conditionalFormatting sqref="B99">
    <cfRule type="expression" dxfId="9687" priority="136">
      <formula>B$9&gt;=20/24</formula>
    </cfRule>
    <cfRule type="expression" dxfId="9686" priority="137">
      <formula>AND(B$9&gt;=14/24,B$9&lt;20/24)</formula>
    </cfRule>
    <cfRule type="expression" dxfId="9685" priority="138">
      <formula>AND(B$9&gt;=8/24,B$9&lt;14/24)</formula>
    </cfRule>
    <cfRule type="expression" dxfId="9684" priority="139">
      <formula>B$9&lt;8/24</formula>
    </cfRule>
  </conditionalFormatting>
  <conditionalFormatting sqref="B53:K53">
    <cfRule type="expression" dxfId="9683" priority="128">
      <formula>B$9&gt;=20/24</formula>
    </cfRule>
    <cfRule type="expression" dxfId="9682" priority="129">
      <formula>AND(B$9&gt;=14/24,B$9&lt;20/24)</formula>
    </cfRule>
    <cfRule type="expression" dxfId="9681" priority="130">
      <formula>AND(B$9&gt;=8/24,B$9&lt;14/24)</formula>
    </cfRule>
    <cfRule type="expression" dxfId="9680" priority="131">
      <formula>B$9&lt;8/24</formula>
    </cfRule>
  </conditionalFormatting>
  <conditionalFormatting sqref="B53:K57 L57:M57">
    <cfRule type="expression" dxfId="9679" priority="127">
      <formula>B53&gt;$AG53</formula>
    </cfRule>
  </conditionalFormatting>
  <conditionalFormatting sqref="B96 B86 B47 B67:D69 B100:D106 B72:M74">
    <cfRule type="expression" dxfId="9678" priority="123">
      <formula>B$9&gt;=20/24</formula>
    </cfRule>
    <cfRule type="expression" dxfId="9677" priority="124">
      <formula>AND(B$9&gt;=14/24,B$9&lt;20/24)</formula>
    </cfRule>
    <cfRule type="expression" dxfId="9676" priority="125">
      <formula>AND(B$9&gt;=8/24,B$9&lt;14/24)</formula>
    </cfRule>
    <cfRule type="expression" dxfId="9675" priority="126">
      <formula>B$9&lt;8/24</formula>
    </cfRule>
  </conditionalFormatting>
  <conditionalFormatting sqref="B47 B67:D69">
    <cfRule type="expression" dxfId="9674" priority="122">
      <formula>B47&gt;$AG47</formula>
    </cfRule>
  </conditionalFormatting>
  <conditionalFormatting sqref="B97 B88:C88">
    <cfRule type="expression" dxfId="9673" priority="118">
      <formula>B$9&gt;=20/24</formula>
    </cfRule>
    <cfRule type="expression" dxfId="9672" priority="119">
      <formula>AND(B$9&gt;=14/24,B$9&lt;20/24)</formula>
    </cfRule>
    <cfRule type="expression" dxfId="9671" priority="120">
      <formula>AND(B$9&gt;=8/24,B$9&lt;14/24)</formula>
    </cfRule>
    <cfRule type="expression" dxfId="9670" priority="121">
      <formula>B$9&lt;8/24</formula>
    </cfRule>
  </conditionalFormatting>
  <conditionalFormatting sqref="B46:AF46">
    <cfRule type="expression" dxfId="9669" priority="114">
      <formula>B$9&gt;=20/24</formula>
    </cfRule>
    <cfRule type="expression" dxfId="9668" priority="115">
      <formula>AND(B$9&gt;=14/24,B$9&lt;20/24)</formula>
    </cfRule>
    <cfRule type="expression" dxfId="9667" priority="116">
      <formula>AND(B$9&gt;=8/24,B$9&lt;14/24)</formula>
    </cfRule>
    <cfRule type="expression" dxfId="9666" priority="117">
      <formula>B$9&lt;8/24</formula>
    </cfRule>
  </conditionalFormatting>
  <conditionalFormatting sqref="B46:AF46">
    <cfRule type="expression" dxfId="9665" priority="113">
      <formula>B46&gt;$AG46</formula>
    </cfRule>
  </conditionalFormatting>
  <conditionalFormatting sqref="B58:M58">
    <cfRule type="expression" dxfId="9664" priority="109">
      <formula>B$9&gt;=20/24</formula>
    </cfRule>
    <cfRule type="expression" dxfId="9663" priority="110">
      <formula>AND(B$9&gt;=14/24,B$9&lt;20/24)</formula>
    </cfRule>
    <cfRule type="expression" dxfId="9662" priority="111">
      <formula>AND(B$9&gt;=8/24,B$9&lt;14/24)</formula>
    </cfRule>
    <cfRule type="expression" dxfId="9661" priority="112">
      <formula>B$9&lt;8/24</formula>
    </cfRule>
  </conditionalFormatting>
  <conditionalFormatting sqref="B58:M58">
    <cfRule type="expression" dxfId="9660" priority="108">
      <formula>B58&gt;$AG58</formula>
    </cfRule>
  </conditionalFormatting>
  <conditionalFormatting sqref="B91:B95">
    <cfRule type="expression" dxfId="9659" priority="104">
      <formula>B$9&gt;=20/24</formula>
    </cfRule>
    <cfRule type="expression" dxfId="9658" priority="105">
      <formula>AND(B$9&gt;=14/24,B$9&lt;20/24)</formula>
    </cfRule>
    <cfRule type="expression" dxfId="9657" priority="106">
      <formula>AND(B$9&gt;=8/24,B$9&lt;14/24)</formula>
    </cfRule>
    <cfRule type="expression" dxfId="9656" priority="107">
      <formula>B$9&lt;8/24</formula>
    </cfRule>
  </conditionalFormatting>
  <conditionalFormatting sqref="B49:E51 F50:L51">
    <cfRule type="expression" dxfId="9655" priority="99">
      <formula>B49&gt;$AG49</formula>
    </cfRule>
  </conditionalFormatting>
  <conditionalFormatting sqref="B107">
    <cfRule type="expression" dxfId="9654" priority="95">
      <formula>B$9&gt;=20/24</formula>
    </cfRule>
    <cfRule type="expression" dxfId="9653" priority="96">
      <formula>AND(B$9&gt;=14/24,B$9&lt;20/24)</formula>
    </cfRule>
    <cfRule type="expression" dxfId="9652" priority="97">
      <formula>AND(B$9&gt;=8/24,B$9&lt;14/24)</formula>
    </cfRule>
    <cfRule type="expression" dxfId="9651" priority="98">
      <formula>B$9&lt;8/24</formula>
    </cfRule>
  </conditionalFormatting>
  <conditionalFormatting sqref="B110">
    <cfRule type="expression" dxfId="9650" priority="91">
      <formula>B$9&gt;=20/24</formula>
    </cfRule>
    <cfRule type="expression" dxfId="9649" priority="92">
      <formula>AND(B$9&gt;=14/24,B$9&lt;20/24)</formula>
    </cfRule>
    <cfRule type="expression" dxfId="9648" priority="93">
      <formula>AND(B$9&gt;=8/24,B$9&lt;14/24)</formula>
    </cfRule>
    <cfRule type="expression" dxfId="9647" priority="94">
      <formula>B$9&lt;8/24</formula>
    </cfRule>
  </conditionalFormatting>
  <conditionalFormatting sqref="B83:B85 B75:M76">
    <cfRule type="expression" dxfId="9646" priority="87">
      <formula>B$9&gt;=20/24</formula>
    </cfRule>
    <cfRule type="expression" dxfId="9645" priority="88">
      <formula>AND(B$9&gt;=14/24,B$9&lt;20/24)</formula>
    </cfRule>
    <cfRule type="expression" dxfId="9644" priority="89">
      <formula>AND(B$9&gt;=8/24,B$9&lt;14/24)</formula>
    </cfRule>
    <cfRule type="expression" dxfId="9643" priority="90">
      <formula>B$9&lt;8/24</formula>
    </cfRule>
  </conditionalFormatting>
  <conditionalFormatting sqref="B89 B98 B70 B87">
    <cfRule type="expression" dxfId="9642" priority="83">
      <formula>B$9&gt;=20/24</formula>
    </cfRule>
    <cfRule type="expression" dxfId="9641" priority="84">
      <formula>AND(B$9&gt;=14/24,B$9&lt;20/24)</formula>
    </cfRule>
    <cfRule type="expression" dxfId="9640" priority="85">
      <formula>AND(B$9&gt;=8/24,B$9&lt;14/24)</formula>
    </cfRule>
    <cfRule type="expression" dxfId="9639" priority="86">
      <formula>B$9&lt;8/24</formula>
    </cfRule>
  </conditionalFormatting>
  <conditionalFormatting sqref="B65:B66 B70 B48:AF48">
    <cfRule type="expression" dxfId="9638" priority="82">
      <formula>B48&gt;$AG48</formula>
    </cfRule>
  </conditionalFormatting>
  <conditionalFormatting sqref="B82">
    <cfRule type="expression" dxfId="9637" priority="78">
      <formula>B$9&gt;=20/24</formula>
    </cfRule>
    <cfRule type="expression" dxfId="9636" priority="79">
      <formula>AND(B$9&gt;=14/24,B$9&lt;20/24)</formula>
    </cfRule>
    <cfRule type="expression" dxfId="9635" priority="80">
      <formula>AND(B$9&gt;=8/24,B$9&lt;14/24)</formula>
    </cfRule>
    <cfRule type="expression" dxfId="9634" priority="81">
      <formula>B$9&lt;8/24</formula>
    </cfRule>
  </conditionalFormatting>
  <conditionalFormatting sqref="B52">
    <cfRule type="expression" dxfId="9633" priority="74">
      <formula>B$9&gt;=20/24</formula>
    </cfRule>
    <cfRule type="expression" dxfId="9632" priority="75">
      <formula>AND(B$9&gt;=14/24,B$9&lt;20/24)</formula>
    </cfRule>
    <cfRule type="expression" dxfId="9631" priority="76">
      <formula>AND(B$9&gt;=8/24,B$9&lt;14/24)</formula>
    </cfRule>
    <cfRule type="expression" dxfId="9630" priority="77">
      <formula>B$9&lt;8/24</formula>
    </cfRule>
  </conditionalFormatting>
  <conditionalFormatting sqref="B52">
    <cfRule type="expression" dxfId="9629" priority="73">
      <formula>B52&gt;$AG52</formula>
    </cfRule>
  </conditionalFormatting>
  <conditionalFormatting sqref="B59:AA64">
    <cfRule type="expression" dxfId="9628" priority="65">
      <formula>B$9&gt;=20/24</formula>
    </cfRule>
    <cfRule type="expression" dxfId="9627" priority="66">
      <formula>AND(B$9&gt;=14/24,B$9&lt;20/24)</formula>
    </cfRule>
    <cfRule type="expression" dxfId="9626" priority="67">
      <formula>AND(B$9&gt;=8/24,B$9&lt;14/24)</formula>
    </cfRule>
    <cfRule type="expression" dxfId="9625" priority="68">
      <formula>B$9&lt;8/24</formula>
    </cfRule>
  </conditionalFormatting>
  <conditionalFormatting sqref="B59:AA64">
    <cfRule type="expression" dxfId="9624" priority="64">
      <formula>B59&gt;$AG59</formula>
    </cfRule>
  </conditionalFormatting>
  <conditionalFormatting sqref="B77:M81">
    <cfRule type="expression" dxfId="9623" priority="60">
      <formula>B$9&gt;=20/24</formula>
    </cfRule>
    <cfRule type="expression" dxfId="9622" priority="61">
      <formula>AND(B$9&gt;=14/24,B$9&lt;20/24)</formula>
    </cfRule>
    <cfRule type="expression" dxfId="9621" priority="62">
      <formula>AND(B$9&gt;=8/24,B$9&lt;14/24)</formula>
    </cfRule>
    <cfRule type="expression" dxfId="9620" priority="63">
      <formula>B$9&lt;8/24</formula>
    </cfRule>
  </conditionalFormatting>
  <conditionalFormatting sqref="A11">
    <cfRule type="expression" dxfId="9619" priority="59">
      <formula>$AH11=0</formula>
    </cfRule>
  </conditionalFormatting>
  <conditionalFormatting sqref="M11:AF11">
    <cfRule type="expression" dxfId="9618" priority="55">
      <formula>M$9&gt;=20/24</formula>
    </cfRule>
    <cfRule type="expression" dxfId="9617" priority="56">
      <formula>AND(M$9&gt;=14/24,M$9&lt;20/24)</formula>
    </cfRule>
    <cfRule type="expression" dxfId="9616" priority="57">
      <formula>AND(M$9&gt;=8/24,M$9&lt;14/24)</formula>
    </cfRule>
    <cfRule type="expression" dxfId="9615" priority="58">
      <formula>M$9&lt;8/24</formula>
    </cfRule>
  </conditionalFormatting>
  <conditionalFormatting sqref="M11:AF11">
    <cfRule type="expression" dxfId="9614" priority="54">
      <formula>M11&gt;$AG11</formula>
    </cfRule>
  </conditionalFormatting>
  <conditionalFormatting sqref="B11:L11">
    <cfRule type="expression" dxfId="9613" priority="50">
      <formula>B$9&gt;=20/24</formula>
    </cfRule>
    <cfRule type="expression" dxfId="9612" priority="51">
      <formula>AND(B$9&gt;=14/24,B$9&lt;20/24)</formula>
    </cfRule>
    <cfRule type="expression" dxfId="9611" priority="52">
      <formula>AND(B$9&gt;=8/24,B$9&lt;14/24)</formula>
    </cfRule>
    <cfRule type="expression" dxfId="9610" priority="53">
      <formula>B$9&lt;8/24</formula>
    </cfRule>
  </conditionalFormatting>
  <conditionalFormatting sqref="B11:L11">
    <cfRule type="expression" dxfId="9609" priority="49">
      <formula>B11&gt;$AG11</formula>
    </cfRule>
  </conditionalFormatting>
  <conditionalFormatting sqref="A16">
    <cfRule type="expression" dxfId="9608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U16:AF16">
    <cfRule type="expression" dxfId="9607" priority="43">
      <formula>U$9&gt;=20/24</formula>
    </cfRule>
    <cfRule type="expression" dxfId="9606" priority="44">
      <formula>AND(U$9&gt;=14/24,U$9&lt;20/24)</formula>
    </cfRule>
    <cfRule type="expression" dxfId="9605" priority="45">
      <formula>AND(U$9&gt;=8/24,U$9&lt;14/24)</formula>
    </cfRule>
    <cfRule type="expression" dxfId="9604" priority="46">
      <formula>U$9&lt;8/24</formula>
    </cfRule>
  </conditionalFormatting>
  <conditionalFormatting sqref="U16:AF16">
    <cfRule type="expression" dxfId="9603" priority="42">
      <formula>U16&gt;$AG16</formula>
    </cfRule>
  </conditionalFormatting>
  <conditionalFormatting sqref="B16:T16">
    <cfRule type="expression" dxfId="9602" priority="38">
      <formula>B$9&gt;=20/24</formula>
    </cfRule>
    <cfRule type="expression" dxfId="9601" priority="39">
      <formula>AND(B$9&gt;=14/24,B$9&lt;20/24)</formula>
    </cfRule>
    <cfRule type="expression" dxfId="9600" priority="40">
      <formula>AND(B$9&gt;=8/24,B$9&lt;14/24)</formula>
    </cfRule>
    <cfRule type="expression" dxfId="9599" priority="41">
      <formula>B$9&lt;8/24</formula>
    </cfRule>
  </conditionalFormatting>
  <conditionalFormatting sqref="B16:T16">
    <cfRule type="expression" dxfId="9598" priority="37">
      <formula>B16&gt;$AG16</formula>
    </cfRule>
  </conditionalFormatting>
  <conditionalFormatting sqref="A33">
    <cfRule type="expression" dxfId="9597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AA33:AF33">
    <cfRule type="expression" dxfId="9596" priority="31">
      <formula>AA$9&gt;=20/24</formula>
    </cfRule>
    <cfRule type="expression" dxfId="9595" priority="32">
      <formula>AND(AA$9&gt;=14/24,AA$9&lt;20/24)</formula>
    </cfRule>
    <cfRule type="expression" dxfId="9594" priority="33">
      <formula>AND(AA$9&gt;=8/24,AA$9&lt;14/24)</formula>
    </cfRule>
    <cfRule type="expression" dxfId="9593" priority="34">
      <formula>AA$9&lt;8/24</formula>
    </cfRule>
  </conditionalFormatting>
  <conditionalFormatting sqref="AA33:AF33">
    <cfRule type="expression" dxfId="9592" priority="30">
      <formula>AA33&gt;$AG33</formula>
    </cfRule>
  </conditionalFormatting>
  <conditionalFormatting sqref="B33:Z33">
    <cfRule type="expression" dxfId="9591" priority="26">
      <formula>B$9&gt;=20/24</formula>
    </cfRule>
    <cfRule type="expression" dxfId="9590" priority="27">
      <formula>AND(B$9&gt;=14/24,B$9&lt;20/24)</formula>
    </cfRule>
    <cfRule type="expression" dxfId="9589" priority="28">
      <formula>AND(B$9&gt;=8/24,B$9&lt;14/24)</formula>
    </cfRule>
    <cfRule type="expression" dxfId="9588" priority="29">
      <formula>B$9&lt;8/24</formula>
    </cfRule>
  </conditionalFormatting>
  <conditionalFormatting sqref="B33:Z33">
    <cfRule type="expression" dxfId="9587" priority="25">
      <formula>B33&gt;$AG33</formula>
    </cfRule>
  </conditionalFormatting>
  <conditionalFormatting sqref="A44">
    <cfRule type="expression" dxfId="9586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AA44:AF44">
    <cfRule type="expression" dxfId="9585" priority="22">
      <formula>AA44&gt;$AG44</formula>
    </cfRule>
  </conditionalFormatting>
  <conditionalFormatting sqref="AA44:AF44">
    <cfRule type="expression" dxfId="9584" priority="18">
      <formula>AA$9&gt;=20/24</formula>
    </cfRule>
    <cfRule type="expression" dxfId="9583" priority="19">
      <formula>AND(AA$9&gt;=14/24,AA$9&lt;20/24)</formula>
    </cfRule>
    <cfRule type="expression" dxfId="9582" priority="20">
      <formula>AND(AA$9&gt;=8/24,AA$9&lt;14/24)</formula>
    </cfRule>
    <cfRule type="expression" dxfId="9581" priority="21">
      <formula>AA$9&lt;8/24</formula>
    </cfRule>
  </conditionalFormatting>
  <conditionalFormatting sqref="B44:Z44">
    <cfRule type="expression" dxfId="9580" priority="14">
      <formula>B$9&gt;=20/24</formula>
    </cfRule>
    <cfRule type="expression" dxfId="9579" priority="15">
      <formula>AND(B$9&gt;=14/24,B$9&lt;20/24)</formula>
    </cfRule>
    <cfRule type="expression" dxfId="9578" priority="16">
      <formula>AND(B$9&gt;=8/24,B$9&lt;14/24)</formula>
    </cfRule>
    <cfRule type="expression" dxfId="9577" priority="17">
      <formula>B$9&lt;8/24</formula>
    </cfRule>
  </conditionalFormatting>
  <conditionalFormatting sqref="B44:Z44">
    <cfRule type="expression" dxfId="9576" priority="13">
      <formula>B44&gt;$AG44</formula>
    </cfRule>
  </conditionalFormatting>
  <conditionalFormatting sqref="B118">
    <cfRule type="expression" dxfId="9575" priority="1">
      <formula>B$9&gt;=20/24</formula>
    </cfRule>
    <cfRule type="expression" dxfId="9574" priority="2">
      <formula>AND(B$9&gt;=14/24,B$9&lt;20/24)</formula>
    </cfRule>
    <cfRule type="expression" dxfId="9573" priority="3">
      <formula>AND(B$9&gt;=8/24,B$9&lt;14/24)</formula>
    </cfRule>
    <cfRule type="expression" dxfId="9572" priority="4">
      <formula>B$9&lt;8/24</formula>
    </cfRule>
  </conditionalFormatting>
  <conditionalFormatting sqref="E118:AF118">
    <cfRule type="expression" dxfId="9571" priority="9">
      <formula>E$9&gt;=20/24</formula>
    </cfRule>
    <cfRule type="expression" dxfId="9570" priority="10">
      <formula>AND(E$9&gt;=14/24,E$9&lt;20/24)</formula>
    </cfRule>
    <cfRule type="expression" dxfId="9569" priority="11">
      <formula>AND(E$9&gt;=8/24,E$9&lt;14/24)</formula>
    </cfRule>
    <cfRule type="expression" dxfId="9568" priority="12">
      <formula>E$9&lt;8/24</formula>
    </cfRule>
  </conditionalFormatting>
  <conditionalFormatting sqref="C118:D118">
    <cfRule type="expression" dxfId="9567" priority="5">
      <formula>C$9&gt;=20/24</formula>
    </cfRule>
    <cfRule type="expression" dxfId="9566" priority="6">
      <formula>AND(C$9&gt;=14/24,C$9&lt;20/24)</formula>
    </cfRule>
    <cfRule type="expression" dxfId="9565" priority="7">
      <formula>AND(C$9&gt;=8/24,C$9&lt;14/24)</formula>
    </cfRule>
    <cfRule type="expression" dxfId="9564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F94AB497-7458-4196-B480-4ECC4046150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3C5EA0BD-FBFB-4572-87FA-E8A0CFF8A55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5EE836ED-9C82-4EAA-BBA8-C6C712FDFD4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BBCC4ECE-58A5-469C-9D3E-DA76BA3C532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C5935E16-4186-4E66-B185-E5F0A88E3D0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08818CC2-12BA-4FBD-B78C-B0CBF2BAD38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DB03121B-91CA-421B-8765-97C135BBA6D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B5FFA737-9FC1-4D17-BEB7-495B4A1A6D8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CJ281"/>
  <sheetViews>
    <sheetView workbookViewId="0">
      <pane ySplit="10" topLeftCell="A59" activePane="bottomLeft" state="frozen"/>
      <selection activeCell="Z85" sqref="Z85"/>
      <selection pane="bottomLeft" activeCell="Z78" sqref="Z7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919.68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2080/02/12</v>
      </c>
      <c r="C4" s="191"/>
      <c r="D4" s="191"/>
      <c r="E4" s="192" t="str">
        <f ca="1">"2079/"&amp;"12/"&amp;INT(MID(CELL("filename",G6),FIND("]",CELL("filename",G6))+1,200))</f>
        <v>2079/12/12</v>
      </c>
      <c r="F4" s="192"/>
      <c r="G4" s="192"/>
      <c r="H4" s="192" t="str">
        <f ca="1">TEXT(E4,"dddd")</f>
        <v>Tuesday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26</v>
      </c>
      <c r="C5" s="30">
        <f t="shared" si="0"/>
        <v>63.9</v>
      </c>
      <c r="D5" s="30">
        <f t="shared" si="0"/>
        <v>107.5</v>
      </c>
      <c r="E5" s="30">
        <f t="shared" si="0"/>
        <v>80.099999999999994</v>
      </c>
      <c r="F5" s="30">
        <f t="shared" si="0"/>
        <v>104.7</v>
      </c>
      <c r="G5" s="30">
        <f t="shared" si="0"/>
        <v>135.19999999999999</v>
      </c>
      <c r="H5" s="30">
        <f t="shared" si="0"/>
        <v>90.9</v>
      </c>
      <c r="I5" s="30">
        <f t="shared" si="0"/>
        <v>68.7</v>
      </c>
      <c r="J5" s="30">
        <f t="shared" si="0"/>
        <v>70.900000000000006</v>
      </c>
      <c r="K5" s="30">
        <f t="shared" si="0"/>
        <v>99</v>
      </c>
      <c r="L5" s="30">
        <f t="shared" si="0"/>
        <v>98.7</v>
      </c>
      <c r="M5" s="30">
        <f t="shared" si="0"/>
        <v>72.5</v>
      </c>
      <c r="N5" s="30">
        <f t="shared" si="0"/>
        <v>164</v>
      </c>
      <c r="O5" s="30">
        <f t="shared" si="0"/>
        <v>116.5</v>
      </c>
      <c r="P5" s="30">
        <f t="shared" si="0"/>
        <v>108</v>
      </c>
      <c r="Q5" s="30">
        <f t="shared" si="0"/>
        <v>136</v>
      </c>
      <c r="R5" s="30">
        <f t="shared" si="0"/>
        <v>233</v>
      </c>
      <c r="S5" s="30">
        <f t="shared" si="0"/>
        <v>248.5</v>
      </c>
      <c r="T5" s="30">
        <f t="shared" si="0"/>
        <v>265.8</v>
      </c>
      <c r="U5" s="30">
        <f t="shared" si="0"/>
        <v>233</v>
      </c>
      <c r="V5" s="30">
        <f t="shared" si="0"/>
        <v>250</v>
      </c>
      <c r="W5" s="30">
        <f t="shared" si="0"/>
        <v>256</v>
      </c>
      <c r="X5" s="30">
        <f t="shared" si="0"/>
        <v>236</v>
      </c>
      <c r="Y5" s="30">
        <f t="shared" si="0"/>
        <v>257.39999999999998</v>
      </c>
      <c r="Z5" s="30">
        <f t="shared" si="0"/>
        <v>238</v>
      </c>
      <c r="AA5" s="30">
        <f t="shared" si="0"/>
        <v>228.2</v>
      </c>
      <c r="AB5" s="30">
        <f t="shared" si="0"/>
        <v>210</v>
      </c>
      <c r="AC5" s="30">
        <f t="shared" si="0"/>
        <v>0</v>
      </c>
      <c r="AD5" s="30">
        <f t="shared" si="0"/>
        <v>103</v>
      </c>
      <c r="AE5" s="30">
        <f t="shared" si="0"/>
        <v>35.4</v>
      </c>
      <c r="AF5" s="30">
        <f>B84</f>
        <v>22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1422MW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1515.59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Load=757</v>
      </c>
      <c r="B7" s="35">
        <f t="shared" ref="B7:AF7" si="1">B91</f>
        <v>1264.94</v>
      </c>
      <c r="C7" s="35">
        <f t="shared" si="1"/>
        <v>1230.1400000000001</v>
      </c>
      <c r="D7" s="35">
        <f t="shared" si="1"/>
        <v>1244.1400000000001</v>
      </c>
      <c r="E7" s="35">
        <f t="shared" si="1"/>
        <v>1177.04</v>
      </c>
      <c r="F7" s="35">
        <f t="shared" si="1"/>
        <v>1182.24</v>
      </c>
      <c r="G7" s="35">
        <f t="shared" si="1"/>
        <v>1220.8400000000001</v>
      </c>
      <c r="H7" s="35">
        <f t="shared" si="1"/>
        <v>1282.6400000000001</v>
      </c>
      <c r="I7" s="35">
        <f t="shared" si="1"/>
        <v>1308.3400000000001</v>
      </c>
      <c r="J7" s="35">
        <f t="shared" si="1"/>
        <v>1354.94</v>
      </c>
      <c r="K7" s="35">
        <f t="shared" si="1"/>
        <v>1371.2400000000002</v>
      </c>
      <c r="L7" s="35">
        <f t="shared" si="1"/>
        <v>1402.0400000000002</v>
      </c>
      <c r="M7" s="35">
        <f t="shared" si="1"/>
        <v>1421.64</v>
      </c>
      <c r="N7" s="35">
        <f>N91</f>
        <v>1408.74</v>
      </c>
      <c r="O7" s="35">
        <f t="shared" si="1"/>
        <v>1498.44</v>
      </c>
      <c r="P7" s="35">
        <f t="shared" si="1"/>
        <v>1440.74</v>
      </c>
      <c r="Q7" s="35">
        <f t="shared" si="1"/>
        <v>1432.24</v>
      </c>
      <c r="R7" s="35">
        <f t="shared" si="1"/>
        <v>1463.24</v>
      </c>
      <c r="S7" s="35">
        <f t="shared" si="1"/>
        <v>1553.3400000000001</v>
      </c>
      <c r="T7" s="35">
        <f t="shared" si="1"/>
        <v>1461.44</v>
      </c>
      <c r="U7" s="35">
        <f t="shared" si="1"/>
        <v>1497.04</v>
      </c>
      <c r="V7" s="35">
        <f t="shared" si="1"/>
        <v>1470.44</v>
      </c>
      <c r="W7" s="35">
        <f t="shared" si="1"/>
        <v>1484.44</v>
      </c>
      <c r="X7" s="35">
        <f t="shared" si="1"/>
        <v>1490.44</v>
      </c>
      <c r="Y7" s="35">
        <f t="shared" si="1"/>
        <v>1467.94</v>
      </c>
      <c r="Z7" s="35">
        <f t="shared" si="1"/>
        <v>1552.3400000000001</v>
      </c>
      <c r="AA7" s="35">
        <f t="shared" si="1"/>
        <v>1684.54</v>
      </c>
      <c r="AB7" s="35">
        <f t="shared" si="1"/>
        <v>1664.74</v>
      </c>
      <c r="AC7" s="35">
        <f t="shared" si="1"/>
        <v>1616.54</v>
      </c>
      <c r="AD7" s="35">
        <f t="shared" si="1"/>
        <v>757.14</v>
      </c>
      <c r="AE7" s="35">
        <f t="shared" si="1"/>
        <v>1457.24</v>
      </c>
      <c r="AF7" s="35">
        <f t="shared" si="1"/>
        <v>1369.64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</v>
      </c>
      <c r="C11" s="45">
        <v>69</v>
      </c>
      <c r="D11" s="45">
        <v>69</v>
      </c>
      <c r="E11" s="45">
        <v>60</v>
      </c>
      <c r="F11" s="45">
        <v>60</v>
      </c>
      <c r="G11" s="45">
        <v>60</v>
      </c>
      <c r="H11" s="45">
        <v>50</v>
      </c>
      <c r="I11" s="45">
        <v>50</v>
      </c>
      <c r="J11" s="45">
        <v>50</v>
      </c>
      <c r="K11" s="45">
        <v>45</v>
      </c>
      <c r="L11" s="45">
        <v>45</v>
      </c>
      <c r="M11" s="45">
        <v>45</v>
      </c>
      <c r="N11" s="45">
        <v>45</v>
      </c>
      <c r="O11" s="45">
        <v>45</v>
      </c>
      <c r="P11" s="45">
        <v>45</v>
      </c>
      <c r="Q11" s="45">
        <v>45</v>
      </c>
      <c r="R11" s="45">
        <v>36</v>
      </c>
      <c r="S11" s="45">
        <v>26</v>
      </c>
      <c r="T11" s="45">
        <v>26</v>
      </c>
      <c r="U11" s="45">
        <v>30</v>
      </c>
      <c r="V11" s="45">
        <v>30</v>
      </c>
      <c r="W11" s="45">
        <v>34</v>
      </c>
      <c r="X11" s="45">
        <v>34</v>
      </c>
      <c r="Y11" s="45">
        <v>34</v>
      </c>
      <c r="Z11" s="45">
        <v>34</v>
      </c>
      <c r="AA11" s="45">
        <v>34</v>
      </c>
      <c r="AB11" s="45">
        <v>34</v>
      </c>
      <c r="AC11" s="45">
        <v>34</v>
      </c>
      <c r="AD11" s="45">
        <v>34</v>
      </c>
      <c r="AE11" s="45">
        <v>34</v>
      </c>
      <c r="AF11" s="45">
        <v>34</v>
      </c>
      <c r="AG11" s="46">
        <v>86</v>
      </c>
      <c r="AH11" s="47">
        <f>MAX(B11:AF11)</f>
        <v>69</v>
      </c>
      <c r="AI11" s="48">
        <f>MIN(B11:AF11)</f>
        <v>26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13</v>
      </c>
      <c r="AA12" s="45">
        <v>35</v>
      </c>
      <c r="AB12" s="45">
        <v>35</v>
      </c>
      <c r="AC12" s="45">
        <v>35</v>
      </c>
      <c r="AD12" s="45">
        <v>35</v>
      </c>
      <c r="AE12" s="45">
        <v>20</v>
      </c>
      <c r="AF12" s="45">
        <v>20</v>
      </c>
      <c r="AG12" s="50">
        <v>54</v>
      </c>
      <c r="AH12" s="47">
        <f>MAX(B12:AF12)</f>
        <v>35</v>
      </c>
      <c r="AI12" s="48">
        <f>MIN(B12:AF12)</f>
        <v>8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40.9</v>
      </c>
      <c r="C13" s="45">
        <v>38.9</v>
      </c>
      <c r="D13" s="45">
        <v>27.7</v>
      </c>
      <c r="E13" s="45">
        <v>32.799999999999997</v>
      </c>
      <c r="F13" s="45">
        <v>27.7</v>
      </c>
      <c r="G13" s="45">
        <v>27.7</v>
      </c>
      <c r="H13" s="45">
        <v>27.7</v>
      </c>
      <c r="I13" s="45">
        <v>27.7</v>
      </c>
      <c r="J13" s="45">
        <v>27.7</v>
      </c>
      <c r="K13" s="45">
        <v>27.7</v>
      </c>
      <c r="L13" s="45">
        <v>27.7</v>
      </c>
      <c r="M13" s="45">
        <v>27.7</v>
      </c>
      <c r="N13" s="45">
        <v>27.7</v>
      </c>
      <c r="O13" s="45">
        <v>27.7</v>
      </c>
      <c r="P13" s="45">
        <v>27.7</v>
      </c>
      <c r="Q13" s="45">
        <v>27.7</v>
      </c>
      <c r="R13" s="45">
        <v>27.7</v>
      </c>
      <c r="S13" s="45">
        <v>25.1</v>
      </c>
      <c r="T13" s="45">
        <v>25.1</v>
      </c>
      <c r="U13" s="45">
        <v>20</v>
      </c>
      <c r="V13" s="45">
        <v>20</v>
      </c>
      <c r="W13" s="45">
        <v>20</v>
      </c>
      <c r="X13" s="45">
        <v>20</v>
      </c>
      <c r="Y13" s="45">
        <v>20</v>
      </c>
      <c r="Z13" s="45">
        <v>22.1</v>
      </c>
      <c r="AA13" s="45">
        <v>22.1</v>
      </c>
      <c r="AB13" s="45">
        <v>22.1</v>
      </c>
      <c r="AC13" s="45">
        <v>22.1</v>
      </c>
      <c r="AD13" s="45">
        <v>22.1</v>
      </c>
      <c r="AE13" s="45">
        <v>19</v>
      </c>
      <c r="AF13" s="45">
        <v>19</v>
      </c>
      <c r="AG13" s="46">
        <v>52.4</v>
      </c>
      <c r="AH13" s="47">
        <f>MAX(B13:AF13)</f>
        <v>40.9</v>
      </c>
      <c r="AI13" s="48">
        <f>MIN(B13:AF13)</f>
        <v>19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50.3</v>
      </c>
      <c r="C14" s="58">
        <v>50.3</v>
      </c>
      <c r="D14" s="58">
        <v>50.1</v>
      </c>
      <c r="E14" s="58">
        <v>50.1</v>
      </c>
      <c r="F14" s="58">
        <v>50.1</v>
      </c>
      <c r="G14" s="58">
        <v>50.1</v>
      </c>
      <c r="H14" s="58">
        <v>50.1</v>
      </c>
      <c r="I14" s="58">
        <v>50.1</v>
      </c>
      <c r="J14" s="58">
        <v>50.1</v>
      </c>
      <c r="K14" s="58">
        <v>50.1</v>
      </c>
      <c r="L14" s="58">
        <v>50.1</v>
      </c>
      <c r="M14" s="58">
        <v>50.1</v>
      </c>
      <c r="N14" s="58">
        <v>50.1</v>
      </c>
      <c r="O14" s="58">
        <v>50.1</v>
      </c>
      <c r="P14" s="58">
        <v>50.1</v>
      </c>
      <c r="Q14" s="58">
        <v>50.1</v>
      </c>
      <c r="R14" s="58">
        <v>50.1</v>
      </c>
      <c r="S14" s="58">
        <v>50.1</v>
      </c>
      <c r="T14" s="58">
        <v>50.1</v>
      </c>
      <c r="U14" s="58">
        <v>50.3</v>
      </c>
      <c r="V14" s="58">
        <v>50.3</v>
      </c>
      <c r="W14" s="58">
        <v>50.3</v>
      </c>
      <c r="X14" s="58">
        <v>50.3</v>
      </c>
      <c r="Y14" s="58">
        <v>50.3</v>
      </c>
      <c r="Z14" s="45">
        <v>50.5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50">
        <v>50</v>
      </c>
      <c r="AH14" s="47">
        <f t="shared" ref="AH14:AH77" si="2">MAX(B14:AF14)</f>
        <v>50.5</v>
      </c>
      <c r="AI14" s="48">
        <f t="shared" ref="AI14:AI77" si="3">MIN(B14:AF14)</f>
        <v>50.1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36.6</v>
      </c>
      <c r="C15" s="45">
        <v>36.1</v>
      </c>
      <c r="D15" s="45">
        <v>32.799999999999997</v>
      </c>
      <c r="E15" s="45">
        <v>29.1</v>
      </c>
      <c r="F15" s="45">
        <v>29.2</v>
      </c>
      <c r="G15" s="45">
        <v>29.2</v>
      </c>
      <c r="H15" s="45">
        <v>29.2</v>
      </c>
      <c r="I15" s="45">
        <v>29.2</v>
      </c>
      <c r="J15" s="45">
        <v>29.2</v>
      </c>
      <c r="K15" s="45">
        <v>29.2</v>
      </c>
      <c r="L15" s="45">
        <v>29.2</v>
      </c>
      <c r="M15" s="45">
        <v>29.2</v>
      </c>
      <c r="N15" s="45">
        <v>29.2</v>
      </c>
      <c r="O15" s="45">
        <v>29.2</v>
      </c>
      <c r="P15" s="45">
        <v>29.2</v>
      </c>
      <c r="Q15" s="45">
        <v>29.2</v>
      </c>
      <c r="R15" s="45">
        <v>29.2</v>
      </c>
      <c r="S15" s="45">
        <v>29.2</v>
      </c>
      <c r="T15" s="45">
        <v>29.2</v>
      </c>
      <c r="U15" s="45">
        <v>26.9</v>
      </c>
      <c r="V15" s="45">
        <v>26.9</v>
      </c>
      <c r="W15" s="45">
        <v>26.9</v>
      </c>
      <c r="X15" s="45">
        <v>26.9</v>
      </c>
      <c r="Y15" s="45">
        <v>26.9</v>
      </c>
      <c r="Z15" s="45">
        <v>27.7</v>
      </c>
      <c r="AA15" s="45">
        <v>28</v>
      </c>
      <c r="AB15" s="45">
        <v>28</v>
      </c>
      <c r="AC15" s="45">
        <v>28</v>
      </c>
      <c r="AD15" s="45">
        <v>28</v>
      </c>
      <c r="AE15" s="45">
        <v>25</v>
      </c>
      <c r="AF15" s="45">
        <v>25</v>
      </c>
      <c r="AG15" s="50">
        <v>45</v>
      </c>
      <c r="AH15" s="47">
        <f t="shared" si="2"/>
        <v>36.6</v>
      </c>
      <c r="AI15" s="48">
        <f t="shared" si="3"/>
        <v>25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43</v>
      </c>
      <c r="C16" s="45">
        <v>43</v>
      </c>
      <c r="D16" s="45">
        <v>43</v>
      </c>
      <c r="E16" s="45">
        <v>43</v>
      </c>
      <c r="F16" s="45">
        <v>43</v>
      </c>
      <c r="G16" s="45">
        <v>43</v>
      </c>
      <c r="H16" s="45">
        <v>43</v>
      </c>
      <c r="I16" s="45">
        <v>43</v>
      </c>
      <c r="J16" s="45">
        <v>43</v>
      </c>
      <c r="K16" s="45">
        <v>43</v>
      </c>
      <c r="L16" s="45">
        <v>43</v>
      </c>
      <c r="M16" s="45">
        <v>43</v>
      </c>
      <c r="N16" s="45">
        <v>43</v>
      </c>
      <c r="O16" s="45">
        <v>43</v>
      </c>
      <c r="P16" s="45">
        <v>43</v>
      </c>
      <c r="Q16" s="45">
        <v>43</v>
      </c>
      <c r="R16" s="45">
        <v>43</v>
      </c>
      <c r="S16" s="45">
        <v>43</v>
      </c>
      <c r="T16" s="45">
        <v>43</v>
      </c>
      <c r="U16" s="45">
        <v>43</v>
      </c>
      <c r="V16" s="45">
        <v>43</v>
      </c>
      <c r="W16" s="45">
        <v>43</v>
      </c>
      <c r="X16" s="45">
        <v>43</v>
      </c>
      <c r="Y16" s="45">
        <v>43</v>
      </c>
      <c r="Z16" s="45">
        <v>43</v>
      </c>
      <c r="AA16" s="45">
        <v>43</v>
      </c>
      <c r="AB16" s="45">
        <v>43</v>
      </c>
      <c r="AC16" s="45">
        <v>43</v>
      </c>
      <c r="AD16" s="45">
        <v>43</v>
      </c>
      <c r="AE16" s="45">
        <v>43</v>
      </c>
      <c r="AF16" s="45">
        <v>43</v>
      </c>
      <c r="AG16" s="50">
        <v>44</v>
      </c>
      <c r="AH16" s="47">
        <f>MAX(B16:AG16)</f>
        <v>44</v>
      </c>
      <c r="AI16" s="48">
        <f>MIN(B16:AG16)</f>
        <v>43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25.5</v>
      </c>
      <c r="C17" s="45">
        <v>25.5</v>
      </c>
      <c r="D17" s="45">
        <v>25.5</v>
      </c>
      <c r="E17" s="45">
        <v>25.5</v>
      </c>
      <c r="F17" s="45">
        <v>25.5</v>
      </c>
      <c r="G17" s="45">
        <v>25.5</v>
      </c>
      <c r="H17" s="45">
        <v>25.5</v>
      </c>
      <c r="I17" s="45">
        <v>25.5</v>
      </c>
      <c r="J17" s="45">
        <v>25.5</v>
      </c>
      <c r="K17" s="45">
        <v>25.5</v>
      </c>
      <c r="L17" s="45">
        <v>25.5</v>
      </c>
      <c r="M17" s="45">
        <v>25.5</v>
      </c>
      <c r="N17" s="45">
        <v>25.5</v>
      </c>
      <c r="O17" s="45">
        <v>25.5</v>
      </c>
      <c r="P17" s="45">
        <v>25.5</v>
      </c>
      <c r="Q17" s="45">
        <v>25.5</v>
      </c>
      <c r="R17" s="45">
        <v>25.5</v>
      </c>
      <c r="S17" s="45">
        <v>25.5</v>
      </c>
      <c r="T17" s="45">
        <v>25.5</v>
      </c>
      <c r="U17" s="45">
        <v>24.5</v>
      </c>
      <c r="V17" s="45">
        <v>24.5</v>
      </c>
      <c r="W17" s="45">
        <v>24.5</v>
      </c>
      <c r="X17" s="45">
        <v>24.5</v>
      </c>
      <c r="Y17" s="45">
        <v>24.5</v>
      </c>
      <c r="Z17" s="45">
        <v>28</v>
      </c>
      <c r="AA17" s="45">
        <v>28</v>
      </c>
      <c r="AB17" s="45">
        <v>28</v>
      </c>
      <c r="AC17" s="45">
        <v>28</v>
      </c>
      <c r="AD17" s="45">
        <v>28</v>
      </c>
      <c r="AE17" s="45">
        <v>28</v>
      </c>
      <c r="AF17" s="45">
        <v>28</v>
      </c>
      <c r="AG17" s="50">
        <v>42</v>
      </c>
      <c r="AH17" s="47">
        <f t="shared" si="2"/>
        <v>28</v>
      </c>
      <c r="AI17" s="48">
        <f t="shared" si="3"/>
        <v>24.5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24</v>
      </c>
      <c r="C18" s="45">
        <v>24</v>
      </c>
      <c r="D18" s="45">
        <v>24</v>
      </c>
      <c r="E18" s="45">
        <v>24</v>
      </c>
      <c r="F18" s="45">
        <v>24</v>
      </c>
      <c r="G18" s="45">
        <v>24</v>
      </c>
      <c r="H18" s="45">
        <v>24</v>
      </c>
      <c r="I18" s="45">
        <v>24</v>
      </c>
      <c r="J18" s="45">
        <v>24</v>
      </c>
      <c r="K18" s="45">
        <v>24</v>
      </c>
      <c r="L18" s="45">
        <v>24</v>
      </c>
      <c r="M18" s="45">
        <v>24</v>
      </c>
      <c r="N18" s="45">
        <v>24</v>
      </c>
      <c r="O18" s="45">
        <v>24</v>
      </c>
      <c r="P18" s="45">
        <v>24</v>
      </c>
      <c r="Q18" s="45">
        <v>24</v>
      </c>
      <c r="R18" s="45">
        <v>24</v>
      </c>
      <c r="S18" s="45">
        <v>24</v>
      </c>
      <c r="T18" s="45">
        <v>24</v>
      </c>
      <c r="U18" s="45">
        <v>24</v>
      </c>
      <c r="V18" s="45">
        <v>24</v>
      </c>
      <c r="W18" s="45">
        <v>24</v>
      </c>
      <c r="X18" s="45">
        <v>24</v>
      </c>
      <c r="Y18" s="45">
        <v>24</v>
      </c>
      <c r="Z18" s="45">
        <v>24</v>
      </c>
      <c r="AA18" s="45">
        <v>24</v>
      </c>
      <c r="AB18" s="45">
        <v>24</v>
      </c>
      <c r="AC18" s="45">
        <v>24</v>
      </c>
      <c r="AD18" s="45">
        <v>24</v>
      </c>
      <c r="AE18" s="45">
        <v>24</v>
      </c>
      <c r="AF18" s="45">
        <v>24</v>
      </c>
      <c r="AG18" s="50">
        <v>36</v>
      </c>
      <c r="AH18" s="47">
        <f t="shared" si="2"/>
        <v>24</v>
      </c>
      <c r="AI18" s="48">
        <f t="shared" si="3"/>
        <v>24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50">
        <v>36</v>
      </c>
      <c r="AH19" s="47">
        <f t="shared" si="2"/>
        <v>0</v>
      </c>
      <c r="AI19" s="48">
        <f t="shared" si="3"/>
        <v>0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9.8000000000000007</v>
      </c>
      <c r="V20" s="45">
        <v>9.8000000000000007</v>
      </c>
      <c r="W20" s="45">
        <v>9.8000000000000007</v>
      </c>
      <c r="X20" s="45">
        <v>9.8000000000000007</v>
      </c>
      <c r="Y20" s="45">
        <v>9.8000000000000007</v>
      </c>
      <c r="Z20" s="45">
        <v>10</v>
      </c>
      <c r="AA20" s="45">
        <v>19.600000000000001</v>
      </c>
      <c r="AB20" s="45">
        <v>19.600000000000001</v>
      </c>
      <c r="AC20" s="45">
        <v>19.600000000000001</v>
      </c>
      <c r="AD20" s="45">
        <v>19.600000000000001</v>
      </c>
      <c r="AE20" s="45">
        <v>10</v>
      </c>
      <c r="AF20" s="45">
        <v>10</v>
      </c>
      <c r="AG20" s="51">
        <v>30</v>
      </c>
      <c r="AH20" s="47">
        <f t="shared" si="2"/>
        <v>19.600000000000001</v>
      </c>
      <c r="AI20" s="48">
        <f t="shared" si="3"/>
        <v>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10.1</v>
      </c>
      <c r="C21" s="45">
        <v>13.2</v>
      </c>
      <c r="D21" s="45">
        <v>13.2</v>
      </c>
      <c r="E21" s="45">
        <v>13.2</v>
      </c>
      <c r="F21" s="45">
        <v>13.2</v>
      </c>
      <c r="G21" s="45">
        <v>13.2</v>
      </c>
      <c r="H21" s="45">
        <v>13.2</v>
      </c>
      <c r="I21" s="45">
        <v>13.2</v>
      </c>
      <c r="J21" s="45">
        <v>13.2</v>
      </c>
      <c r="K21" s="45">
        <v>13.2</v>
      </c>
      <c r="L21" s="45">
        <v>13.2</v>
      </c>
      <c r="M21" s="45">
        <v>13.2</v>
      </c>
      <c r="N21" s="45">
        <v>13.2</v>
      </c>
      <c r="O21" s="45">
        <v>13.2</v>
      </c>
      <c r="P21" s="45">
        <v>13.2</v>
      </c>
      <c r="Q21" s="45">
        <v>13.2</v>
      </c>
      <c r="R21" s="45">
        <v>13.2</v>
      </c>
      <c r="S21" s="45">
        <v>13.2</v>
      </c>
      <c r="T21" s="45">
        <v>13.2</v>
      </c>
      <c r="U21" s="45">
        <v>11</v>
      </c>
      <c r="V21" s="45">
        <v>11</v>
      </c>
      <c r="W21" s="45">
        <v>11</v>
      </c>
      <c r="X21" s="45">
        <v>11</v>
      </c>
      <c r="Y21" s="45">
        <v>11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0</v>
      </c>
      <c r="AF21" s="45">
        <v>0</v>
      </c>
      <c r="AG21" s="50">
        <v>24.2</v>
      </c>
      <c r="AH21" s="47">
        <f t="shared" si="2"/>
        <v>13.2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13</v>
      </c>
      <c r="C22" s="45">
        <v>13</v>
      </c>
      <c r="D22" s="45">
        <v>13</v>
      </c>
      <c r="E22" s="45">
        <v>13</v>
      </c>
      <c r="F22" s="45">
        <v>13</v>
      </c>
      <c r="G22" s="45">
        <v>13</v>
      </c>
      <c r="H22" s="45">
        <v>13</v>
      </c>
      <c r="I22" s="45">
        <v>13</v>
      </c>
      <c r="J22" s="45">
        <v>13</v>
      </c>
      <c r="K22" s="45">
        <v>13</v>
      </c>
      <c r="L22" s="45">
        <v>13</v>
      </c>
      <c r="M22" s="45">
        <v>13</v>
      </c>
      <c r="N22" s="45">
        <v>13</v>
      </c>
      <c r="O22" s="45">
        <v>13</v>
      </c>
      <c r="P22" s="45">
        <v>13</v>
      </c>
      <c r="Q22" s="45">
        <v>13</v>
      </c>
      <c r="R22" s="45">
        <v>13</v>
      </c>
      <c r="S22" s="45">
        <v>13</v>
      </c>
      <c r="T22" s="45">
        <v>13</v>
      </c>
      <c r="U22" s="45">
        <v>13</v>
      </c>
      <c r="V22" s="45">
        <v>13</v>
      </c>
      <c r="W22" s="45">
        <v>13</v>
      </c>
      <c r="X22" s="45">
        <v>13</v>
      </c>
      <c r="Y22" s="45">
        <v>13</v>
      </c>
      <c r="Z22" s="45">
        <v>13</v>
      </c>
      <c r="AA22" s="45">
        <v>13</v>
      </c>
      <c r="AB22" s="45">
        <v>13</v>
      </c>
      <c r="AC22" s="45">
        <v>13</v>
      </c>
      <c r="AD22" s="45">
        <v>13</v>
      </c>
      <c r="AE22" s="45">
        <v>13</v>
      </c>
      <c r="AF22" s="45">
        <v>13</v>
      </c>
      <c r="AG22" s="50">
        <v>28</v>
      </c>
      <c r="AH22" s="47">
        <f t="shared" si="2"/>
        <v>13</v>
      </c>
      <c r="AI22" s="48">
        <f t="shared" si="3"/>
        <v>13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5</v>
      </c>
      <c r="V23" s="45">
        <v>5</v>
      </c>
      <c r="W23" s="45">
        <v>5</v>
      </c>
      <c r="X23" s="45">
        <v>5</v>
      </c>
      <c r="Y23" s="45">
        <v>5</v>
      </c>
      <c r="Z23" s="45">
        <v>10</v>
      </c>
      <c r="AA23" s="45">
        <v>18</v>
      </c>
      <c r="AB23" s="45">
        <v>18</v>
      </c>
      <c r="AC23" s="45">
        <v>18</v>
      </c>
      <c r="AD23" s="45">
        <v>18</v>
      </c>
      <c r="AE23" s="45">
        <v>10</v>
      </c>
      <c r="AF23" s="45">
        <v>10</v>
      </c>
      <c r="AG23" s="51">
        <v>30</v>
      </c>
      <c r="AH23" s="47">
        <f t="shared" si="2"/>
        <v>18</v>
      </c>
      <c r="AI23" s="48">
        <f t="shared" si="3"/>
        <v>0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21.7</v>
      </c>
      <c r="C24" s="45">
        <v>24.3</v>
      </c>
      <c r="D24" s="45">
        <v>24.3</v>
      </c>
      <c r="E24" s="45">
        <v>24.3</v>
      </c>
      <c r="F24" s="45">
        <v>24.3</v>
      </c>
      <c r="G24" s="45">
        <v>24.3</v>
      </c>
      <c r="H24" s="45">
        <v>24.3</v>
      </c>
      <c r="I24" s="45">
        <v>24.3</v>
      </c>
      <c r="J24" s="45">
        <v>24.3</v>
      </c>
      <c r="K24" s="45">
        <v>24.3</v>
      </c>
      <c r="L24" s="45">
        <v>24.3</v>
      </c>
      <c r="M24" s="45">
        <v>24.3</v>
      </c>
      <c r="N24" s="45">
        <v>24.3</v>
      </c>
      <c r="O24" s="45">
        <v>24.3</v>
      </c>
      <c r="P24" s="45">
        <v>24.3</v>
      </c>
      <c r="Q24" s="45">
        <v>24.3</v>
      </c>
      <c r="R24" s="45">
        <v>24.3</v>
      </c>
      <c r="S24" s="45">
        <v>21</v>
      </c>
      <c r="T24" s="45">
        <v>21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22</v>
      </c>
      <c r="AB24" s="45">
        <v>22</v>
      </c>
      <c r="AC24" s="45">
        <v>22</v>
      </c>
      <c r="AD24" s="45">
        <v>22</v>
      </c>
      <c r="AE24" s="45">
        <v>25</v>
      </c>
      <c r="AF24" s="45">
        <v>25</v>
      </c>
      <c r="AG24" s="50">
        <v>25</v>
      </c>
      <c r="AH24" s="47">
        <f t="shared" si="2"/>
        <v>25</v>
      </c>
      <c r="AI24" s="48">
        <f t="shared" si="3"/>
        <v>21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13</v>
      </c>
      <c r="C25" s="45">
        <v>13</v>
      </c>
      <c r="D25" s="45">
        <v>13</v>
      </c>
      <c r="E25" s="45">
        <v>13</v>
      </c>
      <c r="F25" s="45">
        <v>13</v>
      </c>
      <c r="G25" s="45">
        <v>13</v>
      </c>
      <c r="H25" s="45">
        <v>13</v>
      </c>
      <c r="I25" s="45">
        <v>13</v>
      </c>
      <c r="J25" s="45">
        <v>13</v>
      </c>
      <c r="K25" s="45">
        <v>13</v>
      </c>
      <c r="L25" s="45">
        <v>13</v>
      </c>
      <c r="M25" s="45">
        <v>13</v>
      </c>
      <c r="N25" s="45">
        <v>13</v>
      </c>
      <c r="O25" s="45">
        <v>13</v>
      </c>
      <c r="P25" s="45">
        <v>13</v>
      </c>
      <c r="Q25" s="45">
        <v>13</v>
      </c>
      <c r="R25" s="45">
        <v>13</v>
      </c>
      <c r="S25" s="45">
        <v>13</v>
      </c>
      <c r="T25" s="45">
        <v>13</v>
      </c>
      <c r="U25" s="45">
        <v>13</v>
      </c>
      <c r="V25" s="45">
        <v>13</v>
      </c>
      <c r="W25" s="45">
        <v>13</v>
      </c>
      <c r="X25" s="45">
        <v>13</v>
      </c>
      <c r="Y25" s="45">
        <v>13</v>
      </c>
      <c r="Z25" s="45">
        <v>13</v>
      </c>
      <c r="AA25" s="45">
        <v>13</v>
      </c>
      <c r="AB25" s="45">
        <v>13</v>
      </c>
      <c r="AC25" s="45">
        <v>13</v>
      </c>
      <c r="AD25" s="45">
        <v>13</v>
      </c>
      <c r="AE25" s="45">
        <v>13</v>
      </c>
      <c r="AF25" s="45">
        <v>13</v>
      </c>
      <c r="AG25" s="50">
        <v>25</v>
      </c>
      <c r="AH25" s="47">
        <f t="shared" si="2"/>
        <v>13</v>
      </c>
      <c r="AI25" s="48">
        <f t="shared" si="3"/>
        <v>13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50">
        <v>25</v>
      </c>
      <c r="AH26" s="47">
        <f t="shared" si="2"/>
        <v>25</v>
      </c>
      <c r="AI26" s="48">
        <f t="shared" si="3"/>
        <v>25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10</v>
      </c>
      <c r="AA27" s="45">
        <v>20</v>
      </c>
      <c r="AB27" s="45">
        <v>20</v>
      </c>
      <c r="AC27" s="45">
        <v>20</v>
      </c>
      <c r="AD27" s="45">
        <v>20</v>
      </c>
      <c r="AE27" s="45">
        <v>15</v>
      </c>
      <c r="AF27" s="45">
        <v>15</v>
      </c>
      <c r="AG27" s="50">
        <v>25</v>
      </c>
      <c r="AH27" s="47">
        <f t="shared" si="2"/>
        <v>20</v>
      </c>
      <c r="AI27" s="48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18.100000000000001</v>
      </c>
      <c r="C28" s="45">
        <v>18.100000000000001</v>
      </c>
      <c r="D28" s="45">
        <v>18.100000000000001</v>
      </c>
      <c r="E28" s="45">
        <v>18.100000000000001</v>
      </c>
      <c r="F28" s="45">
        <v>18.100000000000001</v>
      </c>
      <c r="G28" s="45">
        <v>18.100000000000001</v>
      </c>
      <c r="H28" s="45">
        <v>18.100000000000001</v>
      </c>
      <c r="I28" s="45">
        <v>18.100000000000001</v>
      </c>
      <c r="J28" s="45">
        <v>18.100000000000001</v>
      </c>
      <c r="K28" s="45">
        <v>18.100000000000001</v>
      </c>
      <c r="L28" s="45">
        <v>18.100000000000001</v>
      </c>
      <c r="M28" s="45">
        <v>18.100000000000001</v>
      </c>
      <c r="N28" s="45">
        <v>18.100000000000001</v>
      </c>
      <c r="O28" s="45">
        <v>18.100000000000001</v>
      </c>
      <c r="P28" s="45">
        <v>18.100000000000001</v>
      </c>
      <c r="Q28" s="45">
        <v>18.100000000000001</v>
      </c>
      <c r="R28" s="45">
        <v>18.100000000000001</v>
      </c>
      <c r="S28" s="45">
        <v>18.100000000000001</v>
      </c>
      <c r="T28" s="45">
        <v>18.100000000000001</v>
      </c>
      <c r="U28" s="45">
        <v>18.100000000000001</v>
      </c>
      <c r="V28" s="45">
        <v>18.100000000000001</v>
      </c>
      <c r="W28" s="45">
        <v>18.100000000000001</v>
      </c>
      <c r="X28" s="45">
        <v>18.100000000000001</v>
      </c>
      <c r="Y28" s="45">
        <v>18.100000000000001</v>
      </c>
      <c r="Z28" s="45">
        <v>8.6999999999999993</v>
      </c>
      <c r="AA28" s="45">
        <v>8.6999999999999993</v>
      </c>
      <c r="AB28" s="45">
        <v>8.6999999999999993</v>
      </c>
      <c r="AC28" s="45">
        <v>8.6999999999999993</v>
      </c>
      <c r="AD28" s="45">
        <v>8.6999999999999993</v>
      </c>
      <c r="AE28" s="45">
        <v>8.6999999999999993</v>
      </c>
      <c r="AF28" s="45">
        <v>8.6999999999999993</v>
      </c>
      <c r="AG28" s="50">
        <v>23.5</v>
      </c>
      <c r="AH28" s="47">
        <f t="shared" si="2"/>
        <v>18.100000000000001</v>
      </c>
      <c r="AI28" s="48">
        <f t="shared" si="3"/>
        <v>8.6999999999999993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22.2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3.5</v>
      </c>
      <c r="C30" s="45">
        <v>3.5</v>
      </c>
      <c r="D30" s="45">
        <v>3.5</v>
      </c>
      <c r="E30" s="45">
        <v>3.5</v>
      </c>
      <c r="F30" s="45">
        <v>3.5</v>
      </c>
      <c r="G30" s="45">
        <v>3.5</v>
      </c>
      <c r="H30" s="45">
        <v>3.5</v>
      </c>
      <c r="I30" s="45">
        <v>3.5</v>
      </c>
      <c r="J30" s="45">
        <v>3.5</v>
      </c>
      <c r="K30" s="45">
        <v>3.5</v>
      </c>
      <c r="L30" s="45">
        <v>3.5</v>
      </c>
      <c r="M30" s="45">
        <v>3.5</v>
      </c>
      <c r="N30" s="45">
        <v>3.5</v>
      </c>
      <c r="O30" s="45">
        <v>3.5</v>
      </c>
      <c r="P30" s="45">
        <v>3.5</v>
      </c>
      <c r="Q30" s="45">
        <v>3.5</v>
      </c>
      <c r="R30" s="45">
        <v>3.5</v>
      </c>
      <c r="S30" s="45">
        <v>3.5</v>
      </c>
      <c r="T30" s="45">
        <v>3.5</v>
      </c>
      <c r="U30" s="45">
        <v>3.5</v>
      </c>
      <c r="V30" s="45">
        <v>3.5</v>
      </c>
      <c r="W30" s="45">
        <v>3.5</v>
      </c>
      <c r="X30" s="45">
        <v>3.5</v>
      </c>
      <c r="Y30" s="45">
        <v>3.5</v>
      </c>
      <c r="Z30" s="45">
        <v>3.5</v>
      </c>
      <c r="AA30" s="45">
        <v>3.5</v>
      </c>
      <c r="AB30" s="45">
        <v>3.5</v>
      </c>
      <c r="AC30" s="45">
        <v>3.5</v>
      </c>
      <c r="AD30" s="45">
        <v>3.5</v>
      </c>
      <c r="AE30" s="45">
        <v>3.5</v>
      </c>
      <c r="AF30" s="45">
        <v>3.5</v>
      </c>
      <c r="AG30" s="50">
        <v>22.1</v>
      </c>
      <c r="AH30" s="47">
        <f t="shared" si="2"/>
        <v>3.5</v>
      </c>
      <c r="AI30" s="48">
        <f t="shared" si="3"/>
        <v>3.5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50">
        <v>22</v>
      </c>
      <c r="AH31" s="47">
        <f t="shared" si="2"/>
        <v>6</v>
      </c>
      <c r="AI31" s="48">
        <f t="shared" si="3"/>
        <v>6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17</v>
      </c>
      <c r="C32" s="45">
        <v>17</v>
      </c>
      <c r="D32" s="45">
        <v>17</v>
      </c>
      <c r="E32" s="45">
        <v>12.2</v>
      </c>
      <c r="F32" s="45">
        <v>12.2</v>
      </c>
      <c r="G32" s="45">
        <v>12.2</v>
      </c>
      <c r="H32" s="45">
        <v>12.2</v>
      </c>
      <c r="I32" s="45">
        <v>12.2</v>
      </c>
      <c r="J32" s="45">
        <v>12.2</v>
      </c>
      <c r="K32" s="45">
        <v>12.2</v>
      </c>
      <c r="L32" s="45">
        <v>12.2</v>
      </c>
      <c r="M32" s="45">
        <v>12.2</v>
      </c>
      <c r="N32" s="45">
        <v>12.2</v>
      </c>
      <c r="O32" s="45">
        <v>12.2</v>
      </c>
      <c r="P32" s="45">
        <v>12.2</v>
      </c>
      <c r="Q32" s="45">
        <v>12.2</v>
      </c>
      <c r="R32" s="45">
        <v>12.2</v>
      </c>
      <c r="S32" s="45">
        <v>12.2</v>
      </c>
      <c r="T32" s="45">
        <v>12.2</v>
      </c>
      <c r="U32" s="45">
        <v>12.2</v>
      </c>
      <c r="V32" s="45">
        <v>12.2</v>
      </c>
      <c r="W32" s="45">
        <v>12.2</v>
      </c>
      <c r="X32" s="45">
        <v>12.2</v>
      </c>
      <c r="Y32" s="45">
        <v>12.2</v>
      </c>
      <c r="Z32" s="45">
        <v>12.2</v>
      </c>
      <c r="AA32" s="45">
        <v>11.4</v>
      </c>
      <c r="AB32" s="45">
        <v>11.4</v>
      </c>
      <c r="AC32" s="45">
        <v>11.4</v>
      </c>
      <c r="AD32" s="45">
        <v>11.4</v>
      </c>
      <c r="AE32" s="45">
        <v>11.4</v>
      </c>
      <c r="AF32" s="45">
        <v>11.4</v>
      </c>
      <c r="AG32" s="50">
        <v>22</v>
      </c>
      <c r="AH32" s="47">
        <f t="shared" si="2"/>
        <v>17</v>
      </c>
      <c r="AI32" s="48">
        <f t="shared" si="3"/>
        <v>11.4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10</v>
      </c>
      <c r="AG33" s="50">
        <v>20</v>
      </c>
      <c r="AH33" s="47">
        <f t="shared" si="2"/>
        <v>10</v>
      </c>
      <c r="AI33" s="48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50">
        <v>18</v>
      </c>
      <c r="AH34" s="47">
        <f t="shared" si="2"/>
        <v>8</v>
      </c>
      <c r="AI34" s="48">
        <f t="shared" si="3"/>
        <v>8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14</v>
      </c>
      <c r="H35" s="45">
        <v>14</v>
      </c>
      <c r="I35" s="45">
        <v>14</v>
      </c>
      <c r="J35" s="45">
        <v>14</v>
      </c>
      <c r="K35" s="45">
        <v>14</v>
      </c>
      <c r="L35" s="45">
        <v>14</v>
      </c>
      <c r="M35" s="45">
        <v>14</v>
      </c>
      <c r="N35" s="45">
        <v>14</v>
      </c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14</v>
      </c>
      <c r="AC35" s="45">
        <v>14</v>
      </c>
      <c r="AD35" s="45">
        <v>14</v>
      </c>
      <c r="AE35" s="45">
        <v>14</v>
      </c>
      <c r="AF35" s="45">
        <v>14</v>
      </c>
      <c r="AG35" s="50">
        <v>14.9</v>
      </c>
      <c r="AH35" s="47">
        <f t="shared" si="2"/>
        <v>14</v>
      </c>
      <c r="AI35" s="48">
        <f t="shared" si="3"/>
        <v>14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6.2</v>
      </c>
      <c r="C36" s="45">
        <v>6.2</v>
      </c>
      <c r="D36" s="45">
        <v>6.2</v>
      </c>
      <c r="E36" s="45">
        <v>6.2</v>
      </c>
      <c r="F36" s="45">
        <v>6.2</v>
      </c>
      <c r="G36" s="45">
        <v>6.2</v>
      </c>
      <c r="H36" s="45">
        <v>6.2</v>
      </c>
      <c r="I36" s="45">
        <v>6.2</v>
      </c>
      <c r="J36" s="45">
        <v>6.2</v>
      </c>
      <c r="K36" s="45">
        <v>6.2</v>
      </c>
      <c r="L36" s="45">
        <v>6.2</v>
      </c>
      <c r="M36" s="45">
        <v>6.2</v>
      </c>
      <c r="N36" s="45">
        <v>6.2</v>
      </c>
      <c r="O36" s="45">
        <v>6.2</v>
      </c>
      <c r="P36" s="45">
        <v>6.2</v>
      </c>
      <c r="Q36" s="45">
        <v>6.2</v>
      </c>
      <c r="R36" s="45">
        <v>6.2</v>
      </c>
      <c r="S36" s="45">
        <v>6.2</v>
      </c>
      <c r="T36" s="45">
        <v>6.2</v>
      </c>
      <c r="U36" s="45">
        <v>6.2</v>
      </c>
      <c r="V36" s="45">
        <v>6.2</v>
      </c>
      <c r="W36" s="45">
        <v>6.2</v>
      </c>
      <c r="X36" s="45">
        <v>6.2</v>
      </c>
      <c r="Y36" s="45">
        <v>6.2</v>
      </c>
      <c r="Z36" s="45">
        <v>6.2</v>
      </c>
      <c r="AA36" s="45">
        <v>6.2</v>
      </c>
      <c r="AB36" s="45">
        <v>6.2</v>
      </c>
      <c r="AC36" s="45">
        <v>6.2</v>
      </c>
      <c r="AD36" s="45">
        <v>6.2</v>
      </c>
      <c r="AE36" s="45">
        <v>6.2</v>
      </c>
      <c r="AF36" s="45">
        <v>6.2</v>
      </c>
      <c r="AG36" s="50">
        <v>14.9</v>
      </c>
      <c r="AH36" s="47">
        <f t="shared" si="2"/>
        <v>6.2</v>
      </c>
      <c r="AI36" s="48">
        <f t="shared" si="3"/>
        <v>6.2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0">
        <v>13.6</v>
      </c>
      <c r="AH37" s="47">
        <f t="shared" si="2"/>
        <v>0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3</v>
      </c>
      <c r="C38" s="45">
        <v>3</v>
      </c>
      <c r="D38" s="45">
        <v>3</v>
      </c>
      <c r="E38" s="45">
        <v>3</v>
      </c>
      <c r="F38" s="45">
        <v>3</v>
      </c>
      <c r="G38" s="45">
        <v>3</v>
      </c>
      <c r="H38" s="45">
        <v>3</v>
      </c>
      <c r="I38" s="45">
        <v>3</v>
      </c>
      <c r="J38" s="45">
        <v>3</v>
      </c>
      <c r="K38" s="45">
        <v>3</v>
      </c>
      <c r="L38" s="45">
        <v>3</v>
      </c>
      <c r="M38" s="45">
        <v>3</v>
      </c>
      <c r="N38" s="45">
        <v>3</v>
      </c>
      <c r="O38" s="45">
        <v>3</v>
      </c>
      <c r="P38" s="45">
        <v>3</v>
      </c>
      <c r="Q38" s="45">
        <v>3</v>
      </c>
      <c r="R38" s="45">
        <v>3</v>
      </c>
      <c r="S38" s="45">
        <v>3</v>
      </c>
      <c r="T38" s="45">
        <v>3</v>
      </c>
      <c r="U38" s="45">
        <v>3</v>
      </c>
      <c r="V38" s="45">
        <v>3</v>
      </c>
      <c r="W38" s="45">
        <v>3</v>
      </c>
      <c r="X38" s="45">
        <v>3</v>
      </c>
      <c r="Y38" s="45">
        <v>3</v>
      </c>
      <c r="Z38" s="45">
        <v>3</v>
      </c>
      <c r="AA38" s="45">
        <v>3</v>
      </c>
      <c r="AB38" s="45">
        <v>3</v>
      </c>
      <c r="AC38" s="45">
        <v>3</v>
      </c>
      <c r="AD38" s="45">
        <v>3</v>
      </c>
      <c r="AE38" s="45">
        <v>3</v>
      </c>
      <c r="AF38" s="45">
        <v>3</v>
      </c>
      <c r="AG38" s="50">
        <v>13</v>
      </c>
      <c r="AH38" s="47">
        <f t="shared" si="2"/>
        <v>3</v>
      </c>
      <c r="AI38" s="48">
        <f t="shared" si="3"/>
        <v>3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50">
        <v>12</v>
      </c>
      <c r="AH39" s="47">
        <f t="shared" si="2"/>
        <v>0</v>
      </c>
      <c r="AI39" s="48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0">
        <v>12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11</v>
      </c>
      <c r="C41" s="45">
        <v>11</v>
      </c>
      <c r="D41" s="45">
        <v>11</v>
      </c>
      <c r="E41" s="45">
        <v>11</v>
      </c>
      <c r="F41" s="45">
        <v>11</v>
      </c>
      <c r="G41" s="45">
        <v>11</v>
      </c>
      <c r="H41" s="45">
        <v>11</v>
      </c>
      <c r="I41" s="45">
        <v>11</v>
      </c>
      <c r="J41" s="45">
        <v>11</v>
      </c>
      <c r="K41" s="45">
        <v>11</v>
      </c>
      <c r="L41" s="45">
        <v>11</v>
      </c>
      <c r="M41" s="45">
        <v>11</v>
      </c>
      <c r="N41" s="45">
        <v>11</v>
      </c>
      <c r="O41" s="45">
        <v>11</v>
      </c>
      <c r="P41" s="45">
        <v>11</v>
      </c>
      <c r="Q41" s="45">
        <v>11</v>
      </c>
      <c r="R41" s="45">
        <v>11</v>
      </c>
      <c r="S41" s="45">
        <v>11</v>
      </c>
      <c r="T41" s="45">
        <v>11</v>
      </c>
      <c r="U41" s="45">
        <v>11</v>
      </c>
      <c r="V41" s="45">
        <v>11</v>
      </c>
      <c r="W41" s="45">
        <v>11</v>
      </c>
      <c r="X41" s="45">
        <v>11</v>
      </c>
      <c r="Y41" s="45">
        <v>11</v>
      </c>
      <c r="Z41" s="45">
        <v>11</v>
      </c>
      <c r="AA41" s="45">
        <v>11</v>
      </c>
      <c r="AB41" s="45">
        <v>11</v>
      </c>
      <c r="AC41" s="45">
        <v>11</v>
      </c>
      <c r="AD41" s="45">
        <v>11</v>
      </c>
      <c r="AE41" s="45">
        <v>11</v>
      </c>
      <c r="AF41" s="45">
        <v>11</v>
      </c>
      <c r="AG41" s="50">
        <v>12</v>
      </c>
      <c r="AH41" s="47">
        <f t="shared" si="2"/>
        <v>11</v>
      </c>
      <c r="AI41" s="48">
        <f t="shared" si="3"/>
        <v>11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7</v>
      </c>
      <c r="C42" s="45">
        <v>7</v>
      </c>
      <c r="D42" s="45">
        <v>7</v>
      </c>
      <c r="E42" s="45">
        <v>7</v>
      </c>
      <c r="F42" s="45">
        <v>7</v>
      </c>
      <c r="G42" s="45">
        <v>7</v>
      </c>
      <c r="H42" s="45">
        <v>7</v>
      </c>
      <c r="I42" s="45">
        <v>7</v>
      </c>
      <c r="J42" s="45">
        <v>7</v>
      </c>
      <c r="K42" s="45">
        <v>7</v>
      </c>
      <c r="L42" s="45">
        <v>7</v>
      </c>
      <c r="M42" s="45">
        <v>7</v>
      </c>
      <c r="N42" s="45">
        <v>7</v>
      </c>
      <c r="O42" s="45">
        <v>7</v>
      </c>
      <c r="P42" s="45">
        <v>7</v>
      </c>
      <c r="Q42" s="45">
        <v>7</v>
      </c>
      <c r="R42" s="45">
        <v>7</v>
      </c>
      <c r="S42" s="45">
        <v>7</v>
      </c>
      <c r="T42" s="45">
        <v>7</v>
      </c>
      <c r="U42" s="45">
        <v>7</v>
      </c>
      <c r="V42" s="45">
        <v>7</v>
      </c>
      <c r="W42" s="45">
        <v>7</v>
      </c>
      <c r="X42" s="45">
        <v>7</v>
      </c>
      <c r="Y42" s="45">
        <v>7</v>
      </c>
      <c r="Z42" s="45">
        <v>7</v>
      </c>
      <c r="AA42" s="45">
        <v>7</v>
      </c>
      <c r="AB42" s="45">
        <v>7</v>
      </c>
      <c r="AC42" s="45">
        <v>7</v>
      </c>
      <c r="AD42" s="45">
        <v>7</v>
      </c>
      <c r="AE42" s="45">
        <v>7</v>
      </c>
      <c r="AF42" s="45">
        <v>7</v>
      </c>
      <c r="AG42" s="52">
        <v>22</v>
      </c>
      <c r="AH42" s="47">
        <f t="shared" si="2"/>
        <v>7</v>
      </c>
      <c r="AI42" s="48">
        <f t="shared" si="3"/>
        <v>7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3.6</v>
      </c>
      <c r="C43" s="45">
        <v>3.6</v>
      </c>
      <c r="D43" s="45">
        <v>3.6</v>
      </c>
      <c r="E43" s="45">
        <v>3.6</v>
      </c>
      <c r="F43" s="45">
        <v>3.6</v>
      </c>
      <c r="G43" s="45">
        <v>3.6</v>
      </c>
      <c r="H43" s="45">
        <v>3.6</v>
      </c>
      <c r="I43" s="45">
        <v>3.6</v>
      </c>
      <c r="J43" s="45">
        <v>3.6</v>
      </c>
      <c r="K43" s="45">
        <v>3.6</v>
      </c>
      <c r="L43" s="45">
        <v>3.6</v>
      </c>
      <c r="M43" s="45">
        <v>3.6</v>
      </c>
      <c r="N43" s="45">
        <v>3.6</v>
      </c>
      <c r="O43" s="45">
        <v>3.6</v>
      </c>
      <c r="P43" s="45">
        <v>3.6</v>
      </c>
      <c r="Q43" s="45">
        <v>3.6</v>
      </c>
      <c r="R43" s="45">
        <v>3.6</v>
      </c>
      <c r="S43" s="45">
        <v>3.6</v>
      </c>
      <c r="T43" s="45">
        <v>3.6</v>
      </c>
      <c r="U43" s="45">
        <v>3.6</v>
      </c>
      <c r="V43" s="45">
        <v>3.6</v>
      </c>
      <c r="W43" s="45">
        <v>3.6</v>
      </c>
      <c r="X43" s="45">
        <v>3.6</v>
      </c>
      <c r="Y43" s="45">
        <v>3.6</v>
      </c>
      <c r="Z43" s="45">
        <v>3.6</v>
      </c>
      <c r="AA43" s="45">
        <v>3.6</v>
      </c>
      <c r="AB43" s="45">
        <v>3.6</v>
      </c>
      <c r="AC43" s="45">
        <v>3.6</v>
      </c>
      <c r="AD43" s="45">
        <v>3.6</v>
      </c>
      <c r="AE43" s="45">
        <v>3.6</v>
      </c>
      <c r="AF43" s="45">
        <v>3.6</v>
      </c>
      <c r="AG43" s="51">
        <v>11.88</v>
      </c>
      <c r="AH43" s="47">
        <f t="shared" si="2"/>
        <v>3.6</v>
      </c>
      <c r="AI43" s="48">
        <f t="shared" si="3"/>
        <v>3.6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4">
        <v>11</v>
      </c>
      <c r="AH44" s="47">
        <f t="shared" si="2"/>
        <v>5</v>
      </c>
      <c r="AI44" s="48">
        <f t="shared" si="3"/>
        <v>5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225</v>
      </c>
      <c r="C48" s="56">
        <v>225</v>
      </c>
      <c r="D48" s="56">
        <v>225</v>
      </c>
      <c r="E48" s="56">
        <v>225</v>
      </c>
      <c r="F48" s="56">
        <v>225</v>
      </c>
      <c r="G48" s="56">
        <v>225</v>
      </c>
      <c r="H48" s="56">
        <v>225</v>
      </c>
      <c r="I48" s="56">
        <v>225</v>
      </c>
      <c r="J48" s="56">
        <v>225</v>
      </c>
      <c r="K48" s="56">
        <v>225</v>
      </c>
      <c r="L48" s="56">
        <v>225</v>
      </c>
      <c r="M48" s="56">
        <v>225</v>
      </c>
      <c r="N48" s="56">
        <v>225</v>
      </c>
      <c r="O48" s="56">
        <v>225</v>
      </c>
      <c r="P48" s="56">
        <v>225</v>
      </c>
      <c r="Q48" s="56">
        <v>225</v>
      </c>
      <c r="R48" s="56">
        <v>225</v>
      </c>
      <c r="S48" s="56">
        <v>225</v>
      </c>
      <c r="T48" s="56">
        <v>225</v>
      </c>
      <c r="U48" s="56">
        <v>225</v>
      </c>
      <c r="V48" s="56">
        <v>225</v>
      </c>
      <c r="W48" s="56">
        <v>225</v>
      </c>
      <c r="X48" s="56">
        <v>225</v>
      </c>
      <c r="Y48" s="56">
        <v>225</v>
      </c>
      <c r="Z48" s="56">
        <v>225</v>
      </c>
      <c r="AA48" s="56">
        <v>225</v>
      </c>
      <c r="AB48" s="56">
        <v>225</v>
      </c>
      <c r="AC48" s="56">
        <v>225</v>
      </c>
      <c r="AD48" s="56">
        <v>225</v>
      </c>
      <c r="AE48" s="56">
        <v>225</v>
      </c>
      <c r="AF48" s="56">
        <v>225</v>
      </c>
      <c r="AG48" s="54">
        <v>85</v>
      </c>
      <c r="AH48" s="47">
        <f t="shared" si="2"/>
        <v>225</v>
      </c>
      <c r="AI48" s="48">
        <f t="shared" si="3"/>
        <v>225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>
        <v>60</v>
      </c>
      <c r="AB49" s="56">
        <v>60</v>
      </c>
      <c r="AC49" s="56">
        <v>60</v>
      </c>
      <c r="AD49" s="56"/>
      <c r="AE49" s="56"/>
      <c r="AF49" s="56"/>
      <c r="AG49" s="54">
        <v>240</v>
      </c>
      <c r="AH49" s="47">
        <f t="shared" si="2"/>
        <v>60</v>
      </c>
      <c r="AI49" s="48">
        <f t="shared" si="3"/>
        <v>60</v>
      </c>
      <c r="AK49" s="49"/>
    </row>
    <row r="50" spans="1:41" ht="15.75" thickBot="1" x14ac:dyDescent="0.3">
      <c r="A50" s="59" t="s">
        <v>56</v>
      </c>
      <c r="B50" s="60">
        <f t="shared" ref="B50:AF50" si="4">SUM(B11:B48)</f>
        <v>716.5</v>
      </c>
      <c r="C50" s="60">
        <f t="shared" si="4"/>
        <v>728.7</v>
      </c>
      <c r="D50" s="60">
        <f t="shared" si="4"/>
        <v>714</v>
      </c>
      <c r="E50" s="60">
        <f t="shared" si="4"/>
        <v>701.6</v>
      </c>
      <c r="F50" s="60">
        <f t="shared" si="4"/>
        <v>696.6</v>
      </c>
      <c r="G50" s="60">
        <f t="shared" si="4"/>
        <v>696.6</v>
      </c>
      <c r="H50" s="60">
        <f t="shared" si="4"/>
        <v>686.6</v>
      </c>
      <c r="I50" s="60">
        <f t="shared" si="4"/>
        <v>686.6</v>
      </c>
      <c r="J50" s="60">
        <f t="shared" si="4"/>
        <v>686.6</v>
      </c>
      <c r="K50" s="60">
        <f t="shared" si="4"/>
        <v>681.6</v>
      </c>
      <c r="L50" s="60">
        <f t="shared" si="4"/>
        <v>681.6</v>
      </c>
      <c r="M50" s="60">
        <f t="shared" si="4"/>
        <v>681.6</v>
      </c>
      <c r="N50" s="60">
        <f t="shared" si="4"/>
        <v>681.6</v>
      </c>
      <c r="O50" s="60">
        <f t="shared" si="4"/>
        <v>681.6</v>
      </c>
      <c r="P50" s="60">
        <f t="shared" si="4"/>
        <v>681.6</v>
      </c>
      <c r="Q50" s="60">
        <f t="shared" si="4"/>
        <v>681.6</v>
      </c>
      <c r="R50" s="60">
        <f t="shared" si="4"/>
        <v>672.6</v>
      </c>
      <c r="S50" s="60">
        <f t="shared" si="4"/>
        <v>656.7</v>
      </c>
      <c r="T50" s="60">
        <f t="shared" si="4"/>
        <v>656.7</v>
      </c>
      <c r="U50" s="60">
        <f t="shared" si="4"/>
        <v>684.1</v>
      </c>
      <c r="V50" s="60">
        <f t="shared" si="4"/>
        <v>684.1</v>
      </c>
      <c r="W50" s="60">
        <f t="shared" si="4"/>
        <v>688.1</v>
      </c>
      <c r="X50" s="60">
        <f t="shared" si="4"/>
        <v>688.1</v>
      </c>
      <c r="Y50" s="60">
        <f t="shared" si="4"/>
        <v>688.1</v>
      </c>
      <c r="Z50" s="60">
        <f t="shared" si="4"/>
        <v>699.5</v>
      </c>
      <c r="AA50" s="60">
        <f t="shared" si="4"/>
        <v>753.6</v>
      </c>
      <c r="AB50" s="60">
        <f t="shared" si="4"/>
        <v>753.6</v>
      </c>
      <c r="AC50" s="60">
        <f t="shared" si="4"/>
        <v>753.6</v>
      </c>
      <c r="AD50" s="60">
        <f t="shared" si="4"/>
        <v>753.6</v>
      </c>
      <c r="AE50" s="60">
        <f t="shared" si="4"/>
        <v>702.9</v>
      </c>
      <c r="AF50" s="60">
        <f t="shared" si="4"/>
        <v>702.9</v>
      </c>
      <c r="AG50" s="61">
        <f>SUM(AG13:AG48)</f>
        <v>919.68</v>
      </c>
      <c r="AH50" s="47">
        <f t="shared" si="2"/>
        <v>753.6</v>
      </c>
      <c r="AI50" s="48">
        <f t="shared" si="3"/>
        <v>656.7</v>
      </c>
      <c r="AK50" s="49"/>
    </row>
    <row r="51" spans="1:41" x14ac:dyDescent="0.25">
      <c r="A51" s="62" t="s">
        <v>57</v>
      </c>
      <c r="B51" s="45">
        <v>90</v>
      </c>
      <c r="C51" s="45">
        <v>40</v>
      </c>
      <c r="D51" s="45">
        <v>40</v>
      </c>
      <c r="E51" s="45">
        <v>0</v>
      </c>
      <c r="F51" s="45">
        <v>0</v>
      </c>
      <c r="G51" s="45">
        <v>0</v>
      </c>
      <c r="H51" s="45">
        <v>40</v>
      </c>
      <c r="I51" s="45">
        <v>60</v>
      </c>
      <c r="J51" s="45">
        <v>130</v>
      </c>
      <c r="K51" s="45">
        <v>160</v>
      </c>
      <c r="L51" s="45">
        <v>160</v>
      </c>
      <c r="M51" s="45">
        <v>160</v>
      </c>
      <c r="N51" s="63">
        <v>170</v>
      </c>
      <c r="O51" s="63">
        <v>170</v>
      </c>
      <c r="P51" s="63">
        <v>170</v>
      </c>
      <c r="Q51" s="63">
        <v>170</v>
      </c>
      <c r="R51" s="63">
        <v>180</v>
      </c>
      <c r="S51" s="45">
        <v>220</v>
      </c>
      <c r="T51" s="45">
        <v>105</v>
      </c>
      <c r="U51" s="45">
        <v>121</v>
      </c>
      <c r="V51" s="45">
        <v>120</v>
      </c>
      <c r="W51" s="45">
        <v>117</v>
      </c>
      <c r="X51" s="45">
        <v>117</v>
      </c>
      <c r="Y51" s="45">
        <v>116</v>
      </c>
      <c r="Z51" s="45">
        <v>155</v>
      </c>
      <c r="AA51" s="45">
        <v>190</v>
      </c>
      <c r="AB51" s="45">
        <v>190</v>
      </c>
      <c r="AC51" s="45">
        <v>160</v>
      </c>
      <c r="AD51" s="45"/>
      <c r="AE51" s="45">
        <v>220</v>
      </c>
      <c r="AF51" s="45">
        <v>200</v>
      </c>
      <c r="AG51" s="51">
        <v>456</v>
      </c>
      <c r="AH51" s="47">
        <f t="shared" si="2"/>
        <v>220</v>
      </c>
      <c r="AI51" s="48">
        <f t="shared" si="3"/>
        <v>0</v>
      </c>
      <c r="AK51" s="49"/>
    </row>
    <row r="52" spans="1:41" x14ac:dyDescent="0.25">
      <c r="A52" s="64" t="s">
        <v>58</v>
      </c>
      <c r="B52" s="65">
        <v>55</v>
      </c>
      <c r="C52" s="65">
        <v>55</v>
      </c>
      <c r="D52" s="65">
        <v>55</v>
      </c>
      <c r="E52" s="65">
        <v>55</v>
      </c>
      <c r="F52" s="65">
        <v>56</v>
      </c>
      <c r="G52" s="65">
        <v>56</v>
      </c>
      <c r="H52" s="65">
        <v>56</v>
      </c>
      <c r="I52" s="65">
        <v>56</v>
      </c>
      <c r="J52" s="65">
        <v>55</v>
      </c>
      <c r="K52" s="65">
        <v>55</v>
      </c>
      <c r="L52" s="65">
        <v>55</v>
      </c>
      <c r="M52" s="65">
        <v>55</v>
      </c>
      <c r="N52" s="65">
        <v>55</v>
      </c>
      <c r="O52" s="65">
        <v>55</v>
      </c>
      <c r="P52" s="65">
        <v>55</v>
      </c>
      <c r="Q52" s="65">
        <v>55</v>
      </c>
      <c r="R52" s="65">
        <v>55</v>
      </c>
      <c r="S52" s="65">
        <v>44</v>
      </c>
      <c r="T52" s="65">
        <v>45</v>
      </c>
      <c r="U52" s="65">
        <v>45</v>
      </c>
      <c r="V52" s="65">
        <v>45</v>
      </c>
      <c r="W52" s="65">
        <v>45</v>
      </c>
      <c r="X52" s="65">
        <v>45</v>
      </c>
      <c r="Y52" s="65">
        <v>45</v>
      </c>
      <c r="Z52" s="65">
        <v>45</v>
      </c>
      <c r="AA52" s="65">
        <v>45</v>
      </c>
      <c r="AB52" s="65">
        <v>45</v>
      </c>
      <c r="AC52" s="65">
        <v>45</v>
      </c>
      <c r="AD52" s="65"/>
      <c r="AE52" s="65">
        <v>45</v>
      </c>
      <c r="AF52" s="65">
        <v>45</v>
      </c>
      <c r="AG52" s="54">
        <v>60</v>
      </c>
      <c r="AH52" s="47">
        <f t="shared" si="2"/>
        <v>56</v>
      </c>
      <c r="AI52" s="48">
        <f t="shared" si="3"/>
        <v>44</v>
      </c>
      <c r="AK52" s="49"/>
    </row>
    <row r="53" spans="1:41" ht="15.75" thickBot="1" x14ac:dyDescent="0.3">
      <c r="A53" s="66" t="s">
        <v>59</v>
      </c>
      <c r="B53" s="67">
        <v>22.1</v>
      </c>
      <c r="C53" s="67">
        <v>20.100000000000001</v>
      </c>
      <c r="D53" s="67">
        <v>20.100000000000001</v>
      </c>
      <c r="E53" s="67">
        <v>22.2</v>
      </c>
      <c r="F53" s="67">
        <v>22.2</v>
      </c>
      <c r="G53" s="67">
        <v>22.2</v>
      </c>
      <c r="H53" s="67">
        <v>22.3</v>
      </c>
      <c r="I53" s="67">
        <v>22.2</v>
      </c>
      <c r="J53" s="67">
        <v>22</v>
      </c>
      <c r="K53" s="67">
        <v>11.1</v>
      </c>
      <c r="L53" s="67">
        <v>11.1</v>
      </c>
      <c r="M53" s="67">
        <v>11.1</v>
      </c>
      <c r="N53" s="67">
        <v>11.1</v>
      </c>
      <c r="O53" s="67">
        <v>11.1</v>
      </c>
      <c r="P53" s="67">
        <v>11.1</v>
      </c>
      <c r="Q53" s="67">
        <v>11.1</v>
      </c>
      <c r="R53" s="67">
        <v>11.1</v>
      </c>
      <c r="S53" s="67">
        <v>20.2</v>
      </c>
      <c r="T53" s="67">
        <v>20.2</v>
      </c>
      <c r="U53" s="67">
        <v>18.2</v>
      </c>
      <c r="V53" s="67">
        <v>18.2</v>
      </c>
      <c r="W53" s="67">
        <v>18.2</v>
      </c>
      <c r="X53" s="67">
        <v>18.2</v>
      </c>
      <c r="Y53" s="67">
        <v>18.2</v>
      </c>
      <c r="Z53" s="67">
        <v>18.2</v>
      </c>
      <c r="AA53" s="67">
        <v>18.2</v>
      </c>
      <c r="AB53" s="67">
        <v>18.2</v>
      </c>
      <c r="AC53" s="67">
        <v>18.2</v>
      </c>
      <c r="AD53" s="67"/>
      <c r="AE53" s="67">
        <v>18</v>
      </c>
      <c r="AF53" s="67">
        <v>18</v>
      </c>
      <c r="AG53" s="68">
        <v>22.1</v>
      </c>
      <c r="AH53" s="47">
        <f t="shared" si="2"/>
        <v>22.3</v>
      </c>
      <c r="AI53" s="48">
        <f t="shared" si="3"/>
        <v>11.1</v>
      </c>
      <c r="AK53" s="49"/>
    </row>
    <row r="54" spans="1:41" ht="15.75" thickBot="1" x14ac:dyDescent="0.3">
      <c r="A54" s="69" t="s">
        <v>60</v>
      </c>
      <c r="B54" s="60">
        <f>SUM(B51:B53)</f>
        <v>167.1</v>
      </c>
      <c r="C54" s="60">
        <f>SUM(C51:C53)</f>
        <v>115.1</v>
      </c>
      <c r="D54" s="60">
        <f t="shared" ref="D54:AG54" si="5">SUM(D51:D53)</f>
        <v>115.1</v>
      </c>
      <c r="E54" s="60">
        <f t="shared" si="5"/>
        <v>77.2</v>
      </c>
      <c r="F54" s="60">
        <f t="shared" si="5"/>
        <v>78.2</v>
      </c>
      <c r="G54" s="60">
        <f t="shared" si="5"/>
        <v>78.2</v>
      </c>
      <c r="H54" s="60">
        <f t="shared" si="5"/>
        <v>118.3</v>
      </c>
      <c r="I54" s="60">
        <f t="shared" si="5"/>
        <v>138.19999999999999</v>
      </c>
      <c r="J54" s="60">
        <f t="shared" si="5"/>
        <v>207</v>
      </c>
      <c r="K54" s="60">
        <f t="shared" si="5"/>
        <v>226.1</v>
      </c>
      <c r="L54" s="60">
        <f t="shared" si="5"/>
        <v>226.1</v>
      </c>
      <c r="M54" s="60">
        <f t="shared" si="5"/>
        <v>226.1</v>
      </c>
      <c r="N54" s="60">
        <f t="shared" si="5"/>
        <v>236.1</v>
      </c>
      <c r="O54" s="60">
        <f t="shared" si="5"/>
        <v>236.1</v>
      </c>
      <c r="P54" s="60">
        <f t="shared" si="5"/>
        <v>236.1</v>
      </c>
      <c r="Q54" s="60">
        <f t="shared" si="5"/>
        <v>236.1</v>
      </c>
      <c r="R54" s="60">
        <f t="shared" si="5"/>
        <v>246.1</v>
      </c>
      <c r="S54" s="60">
        <f t="shared" si="5"/>
        <v>284.2</v>
      </c>
      <c r="T54" s="60">
        <f t="shared" si="5"/>
        <v>170.2</v>
      </c>
      <c r="U54" s="60">
        <f t="shared" si="5"/>
        <v>184.2</v>
      </c>
      <c r="V54" s="60">
        <f t="shared" si="5"/>
        <v>183.2</v>
      </c>
      <c r="W54" s="60">
        <f t="shared" si="5"/>
        <v>180.2</v>
      </c>
      <c r="X54" s="60">
        <f t="shared" si="5"/>
        <v>180.2</v>
      </c>
      <c r="Y54" s="60">
        <f t="shared" si="5"/>
        <v>179.2</v>
      </c>
      <c r="Z54" s="60">
        <f t="shared" si="5"/>
        <v>218.2</v>
      </c>
      <c r="AA54" s="60">
        <f t="shared" si="5"/>
        <v>253.2</v>
      </c>
      <c r="AB54" s="60">
        <f t="shared" si="5"/>
        <v>253.2</v>
      </c>
      <c r="AC54" s="60">
        <f t="shared" si="5"/>
        <v>223.2</v>
      </c>
      <c r="AD54" s="60">
        <f t="shared" si="5"/>
        <v>0</v>
      </c>
      <c r="AE54" s="60">
        <f t="shared" si="5"/>
        <v>283</v>
      </c>
      <c r="AF54" s="60">
        <f t="shared" si="5"/>
        <v>263</v>
      </c>
      <c r="AG54" s="61">
        <f t="shared" si="5"/>
        <v>538.1</v>
      </c>
      <c r="AH54" s="47">
        <f t="shared" si="2"/>
        <v>284.2</v>
      </c>
      <c r="AI54" s="48">
        <f t="shared" si="3"/>
        <v>0</v>
      </c>
      <c r="AK54" s="49"/>
    </row>
    <row r="55" spans="1:41" x14ac:dyDescent="0.25">
      <c r="A55" s="44" t="s">
        <v>61</v>
      </c>
      <c r="B55" s="45">
        <v>91.4</v>
      </c>
      <c r="C55" s="45">
        <v>91.6</v>
      </c>
      <c r="D55" s="45">
        <v>81.400000000000006</v>
      </c>
      <c r="E55" s="45">
        <v>61.1</v>
      </c>
      <c r="F55" s="45">
        <v>81.5</v>
      </c>
      <c r="G55" s="45">
        <v>97.7</v>
      </c>
      <c r="H55" s="45">
        <v>97.7</v>
      </c>
      <c r="I55" s="45">
        <v>148.30000000000001</v>
      </c>
      <c r="J55" s="45">
        <v>148.30000000000001</v>
      </c>
      <c r="K55" s="45">
        <v>148.30000000000001</v>
      </c>
      <c r="L55" s="45">
        <v>148.30000000000001</v>
      </c>
      <c r="M55" s="45">
        <v>148.1</v>
      </c>
      <c r="N55" s="45">
        <v>147</v>
      </c>
      <c r="O55" s="45">
        <v>147</v>
      </c>
      <c r="P55" s="45">
        <v>147</v>
      </c>
      <c r="Q55" s="45">
        <v>147</v>
      </c>
      <c r="R55" s="45">
        <v>147</v>
      </c>
      <c r="S55" s="45">
        <v>131</v>
      </c>
      <c r="T55" s="45">
        <v>145.80000000000001</v>
      </c>
      <c r="U55" s="45">
        <v>146</v>
      </c>
      <c r="V55" s="45">
        <v>146.1</v>
      </c>
      <c r="W55" s="45">
        <v>146.1</v>
      </c>
      <c r="X55" s="45">
        <v>146.1</v>
      </c>
      <c r="Y55" s="45">
        <v>146.1</v>
      </c>
      <c r="Z55" s="45">
        <v>146.1</v>
      </c>
      <c r="AA55" s="45">
        <v>146.1</v>
      </c>
      <c r="AB55" s="45">
        <v>146.1</v>
      </c>
      <c r="AC55" s="45">
        <v>146.1</v>
      </c>
      <c r="AD55" s="45"/>
      <c r="AE55" s="45">
        <v>135</v>
      </c>
      <c r="AF55" s="45">
        <v>135</v>
      </c>
      <c r="AG55" s="51">
        <v>144</v>
      </c>
      <c r="AH55" s="47">
        <f t="shared" si="2"/>
        <v>148.30000000000001</v>
      </c>
      <c r="AI55" s="48">
        <f t="shared" si="3"/>
        <v>61.1</v>
      </c>
      <c r="AK55" s="49"/>
    </row>
    <row r="56" spans="1:41" x14ac:dyDescent="0.25">
      <c r="A56" s="53" t="s">
        <v>62</v>
      </c>
      <c r="B56" s="65">
        <v>70.900000000000006</v>
      </c>
      <c r="C56" s="65">
        <v>71.3</v>
      </c>
      <c r="D56" s="65">
        <v>71.099999999999994</v>
      </c>
      <c r="E56" s="65">
        <v>71.2</v>
      </c>
      <c r="F56" s="65">
        <v>49.4</v>
      </c>
      <c r="G56" s="65">
        <v>49</v>
      </c>
      <c r="H56" s="65">
        <v>50.2</v>
      </c>
      <c r="I56" s="65">
        <v>50.1</v>
      </c>
      <c r="J56" s="65">
        <v>50.1</v>
      </c>
      <c r="K56" s="65">
        <v>50.1</v>
      </c>
      <c r="L56" s="65">
        <v>50.1</v>
      </c>
      <c r="M56" s="65">
        <v>67.8</v>
      </c>
      <c r="N56" s="65">
        <v>70</v>
      </c>
      <c r="O56" s="65">
        <v>69</v>
      </c>
      <c r="P56" s="65">
        <v>69</v>
      </c>
      <c r="Q56" s="65">
        <v>69</v>
      </c>
      <c r="R56" s="65">
        <v>71</v>
      </c>
      <c r="S56" s="45">
        <v>50.7</v>
      </c>
      <c r="T56" s="45">
        <v>63.3</v>
      </c>
      <c r="U56" s="45">
        <v>50</v>
      </c>
      <c r="V56" s="45">
        <v>61</v>
      </c>
      <c r="W56" s="45">
        <v>61</v>
      </c>
      <c r="X56" s="45">
        <v>61</v>
      </c>
      <c r="Y56" s="45">
        <v>59</v>
      </c>
      <c r="Z56" s="45">
        <v>71.599999999999994</v>
      </c>
      <c r="AA56" s="45">
        <v>71.599999999999994</v>
      </c>
      <c r="AB56" s="45">
        <v>71.599999999999994</v>
      </c>
      <c r="AC56" s="45">
        <v>71.599999999999994</v>
      </c>
      <c r="AD56" s="65"/>
      <c r="AE56" s="45">
        <v>53</v>
      </c>
      <c r="AF56" s="45">
        <v>53</v>
      </c>
      <c r="AG56" s="54">
        <v>70</v>
      </c>
      <c r="AH56" s="47">
        <f t="shared" si="2"/>
        <v>71.599999999999994</v>
      </c>
      <c r="AI56" s="48">
        <f t="shared" si="3"/>
        <v>49</v>
      </c>
      <c r="AK56" s="49"/>
    </row>
    <row r="57" spans="1:41" x14ac:dyDescent="0.25">
      <c r="A57" s="53" t="s">
        <v>63</v>
      </c>
      <c r="B57" s="65">
        <v>68</v>
      </c>
      <c r="C57" s="65">
        <v>68.5</v>
      </c>
      <c r="D57" s="65">
        <v>70.8</v>
      </c>
      <c r="E57" s="65">
        <v>40.5</v>
      </c>
      <c r="F57" s="65">
        <v>71.5</v>
      </c>
      <c r="G57" s="65">
        <v>71.599999999999994</v>
      </c>
      <c r="H57" s="65">
        <v>71.599999999999994</v>
      </c>
      <c r="I57" s="65">
        <v>71.2</v>
      </c>
      <c r="J57" s="65">
        <v>71.2</v>
      </c>
      <c r="K57" s="65">
        <v>71.2</v>
      </c>
      <c r="L57" s="65">
        <v>71.2</v>
      </c>
      <c r="M57" s="65">
        <v>72</v>
      </c>
      <c r="N57" s="65">
        <v>71</v>
      </c>
      <c r="O57" s="65">
        <v>70.2</v>
      </c>
      <c r="P57" s="65">
        <v>60</v>
      </c>
      <c r="Q57" s="65">
        <v>60</v>
      </c>
      <c r="R57" s="65">
        <v>69</v>
      </c>
      <c r="S57" s="45">
        <v>68.900000000000006</v>
      </c>
      <c r="T57" s="45">
        <v>69.7</v>
      </c>
      <c r="U57" s="45">
        <v>70</v>
      </c>
      <c r="V57" s="45">
        <v>69.5</v>
      </c>
      <c r="W57" s="45">
        <v>69.5</v>
      </c>
      <c r="X57" s="45">
        <v>69.5</v>
      </c>
      <c r="Y57" s="45">
        <v>70</v>
      </c>
      <c r="Z57" s="45">
        <v>70</v>
      </c>
      <c r="AA57" s="45">
        <v>70</v>
      </c>
      <c r="AB57" s="45">
        <v>70</v>
      </c>
      <c r="AC57" s="45">
        <v>70</v>
      </c>
      <c r="AD57" s="65"/>
      <c r="AE57" s="45">
        <v>55</v>
      </c>
      <c r="AF57" s="45">
        <v>55</v>
      </c>
      <c r="AG57" s="54">
        <v>69</v>
      </c>
      <c r="AH57" s="47">
        <f t="shared" si="2"/>
        <v>72</v>
      </c>
      <c r="AI57" s="48">
        <f t="shared" si="3"/>
        <v>40.5</v>
      </c>
      <c r="AK57" s="49"/>
    </row>
    <row r="58" spans="1:41" x14ac:dyDescent="0.25">
      <c r="A58" s="53" t="s">
        <v>64</v>
      </c>
      <c r="B58" s="65">
        <v>60.4</v>
      </c>
      <c r="C58" s="65">
        <v>60.5</v>
      </c>
      <c r="D58" s="65">
        <v>60.5</v>
      </c>
      <c r="E58" s="56">
        <v>50.6</v>
      </c>
      <c r="F58" s="56">
        <v>50.6</v>
      </c>
      <c r="G58" s="56">
        <v>50.6</v>
      </c>
      <c r="H58" s="56">
        <v>50.6</v>
      </c>
      <c r="I58" s="56">
        <v>50.6</v>
      </c>
      <c r="J58" s="56">
        <v>50.6</v>
      </c>
      <c r="K58" s="56">
        <v>50.6</v>
      </c>
      <c r="L58" s="56">
        <v>50.6</v>
      </c>
      <c r="M58" s="65">
        <v>50.2</v>
      </c>
      <c r="N58" s="65">
        <v>61</v>
      </c>
      <c r="O58" s="65">
        <v>61</v>
      </c>
      <c r="P58" s="65">
        <v>61</v>
      </c>
      <c r="Q58" s="65">
        <v>61</v>
      </c>
      <c r="R58" s="65">
        <v>61</v>
      </c>
      <c r="S58" s="45">
        <v>61</v>
      </c>
      <c r="T58" s="45">
        <v>61.4</v>
      </c>
      <c r="U58" s="45">
        <v>61.4</v>
      </c>
      <c r="V58" s="45">
        <v>61</v>
      </c>
      <c r="W58" s="45">
        <v>61</v>
      </c>
      <c r="X58" s="45">
        <v>61</v>
      </c>
      <c r="Y58" s="45">
        <v>61</v>
      </c>
      <c r="Z58" s="45">
        <v>61</v>
      </c>
      <c r="AA58" s="45">
        <v>61.7</v>
      </c>
      <c r="AB58" s="45">
        <v>61.7</v>
      </c>
      <c r="AC58" s="45">
        <v>61.7</v>
      </c>
      <c r="AD58" s="65"/>
      <c r="AE58" s="45">
        <v>60</v>
      </c>
      <c r="AF58" s="45">
        <v>60</v>
      </c>
      <c r="AG58" s="54">
        <v>60</v>
      </c>
      <c r="AH58" s="47">
        <f t="shared" si="2"/>
        <v>61.7</v>
      </c>
      <c r="AI58" s="48">
        <f t="shared" si="3"/>
        <v>50.2</v>
      </c>
      <c r="AK58" s="49"/>
    </row>
    <row r="59" spans="1:41" x14ac:dyDescent="0.25">
      <c r="A59" s="53" t="s">
        <v>65</v>
      </c>
      <c r="B59" s="65">
        <v>15</v>
      </c>
      <c r="C59" s="65">
        <v>15</v>
      </c>
      <c r="D59" s="65">
        <v>15</v>
      </c>
      <c r="E59" s="56">
        <v>15</v>
      </c>
      <c r="F59" s="56">
        <v>22</v>
      </c>
      <c r="G59" s="56">
        <v>22</v>
      </c>
      <c r="H59" s="56">
        <v>22</v>
      </c>
      <c r="I59" s="56">
        <v>22</v>
      </c>
      <c r="J59" s="56">
        <v>22</v>
      </c>
      <c r="K59" s="56">
        <v>22</v>
      </c>
      <c r="L59" s="56">
        <v>22</v>
      </c>
      <c r="M59" s="56">
        <v>22</v>
      </c>
      <c r="N59" s="56">
        <v>22</v>
      </c>
      <c r="O59" s="56">
        <v>22</v>
      </c>
      <c r="P59" s="56">
        <v>22</v>
      </c>
      <c r="Q59" s="56">
        <v>22</v>
      </c>
      <c r="R59" s="56">
        <v>22</v>
      </c>
      <c r="S59" s="45">
        <v>22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30</v>
      </c>
      <c r="AB59" s="45">
        <v>30</v>
      </c>
      <c r="AC59" s="45">
        <v>30</v>
      </c>
      <c r="AD59" s="65"/>
      <c r="AE59" s="45">
        <v>15</v>
      </c>
      <c r="AF59" s="45">
        <v>15</v>
      </c>
      <c r="AG59" s="54">
        <v>30</v>
      </c>
      <c r="AH59" s="47">
        <f t="shared" si="2"/>
        <v>30</v>
      </c>
      <c r="AI59" s="48">
        <f t="shared" si="3"/>
        <v>0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8</v>
      </c>
      <c r="M60" s="65">
        <v>10</v>
      </c>
      <c r="N60" s="65">
        <v>10</v>
      </c>
      <c r="O60" s="65">
        <v>10</v>
      </c>
      <c r="P60" s="65">
        <v>10</v>
      </c>
      <c r="Q60" s="65">
        <v>10</v>
      </c>
      <c r="R60" s="65">
        <v>10</v>
      </c>
      <c r="S60" s="45">
        <v>17.3</v>
      </c>
      <c r="T60" s="45">
        <v>17.3</v>
      </c>
      <c r="U60" s="45">
        <v>7</v>
      </c>
      <c r="V60" s="45">
        <v>4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65"/>
      <c r="AE60" s="45">
        <v>0</v>
      </c>
      <c r="AF60" s="45">
        <v>0</v>
      </c>
      <c r="AG60" s="54">
        <v>25</v>
      </c>
      <c r="AH60" s="47">
        <f t="shared" si="2"/>
        <v>17.3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17</v>
      </c>
      <c r="N61" s="65">
        <v>17</v>
      </c>
      <c r="O61" s="65">
        <v>17</v>
      </c>
      <c r="P61" s="65">
        <v>17</v>
      </c>
      <c r="Q61" s="65">
        <v>17</v>
      </c>
      <c r="R61" s="65">
        <v>8</v>
      </c>
      <c r="S61" s="65">
        <v>8</v>
      </c>
      <c r="T61" s="65">
        <v>8</v>
      </c>
      <c r="U61" s="65">
        <v>8</v>
      </c>
      <c r="V61" s="65">
        <v>8</v>
      </c>
      <c r="W61" s="65">
        <v>8</v>
      </c>
      <c r="X61" s="65">
        <v>8</v>
      </c>
      <c r="Y61" s="65">
        <v>8</v>
      </c>
      <c r="Z61" s="65">
        <v>8</v>
      </c>
      <c r="AA61" s="65">
        <v>17</v>
      </c>
      <c r="AB61" s="65">
        <v>17</v>
      </c>
      <c r="AC61" s="65">
        <v>17</v>
      </c>
      <c r="AD61" s="65"/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8</v>
      </c>
      <c r="AK61" s="49"/>
    </row>
    <row r="62" spans="1:41" x14ac:dyDescent="0.25">
      <c r="A62" s="53" t="s">
        <v>68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/>
      <c r="AE62" s="65">
        <v>0</v>
      </c>
      <c r="AF62" s="65">
        <v>0</v>
      </c>
      <c r="AG62" s="54">
        <v>15</v>
      </c>
      <c r="AH62" s="47">
        <f t="shared" si="2"/>
        <v>0</v>
      </c>
      <c r="AI62" s="48">
        <f t="shared" si="3"/>
        <v>0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12.5</v>
      </c>
      <c r="C63" s="65">
        <v>13</v>
      </c>
      <c r="D63" s="65">
        <v>12.9</v>
      </c>
      <c r="E63" s="65">
        <v>12.9</v>
      </c>
      <c r="F63" s="65">
        <v>12.9</v>
      </c>
      <c r="G63" s="65">
        <v>12.9</v>
      </c>
      <c r="H63" s="65">
        <v>12.9</v>
      </c>
      <c r="I63" s="65">
        <v>12.9</v>
      </c>
      <c r="J63" s="65">
        <v>12.9</v>
      </c>
      <c r="K63" s="65">
        <v>12.9</v>
      </c>
      <c r="L63" s="65">
        <v>7.6</v>
      </c>
      <c r="M63" s="65">
        <v>7.6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12.4</v>
      </c>
      <c r="AB63" s="65">
        <v>12.4</v>
      </c>
      <c r="AC63" s="65">
        <v>12.4</v>
      </c>
      <c r="AD63" s="65"/>
      <c r="AE63" s="65">
        <v>12.4</v>
      </c>
      <c r="AF63" s="65">
        <v>12.4</v>
      </c>
      <c r="AG63" s="54">
        <v>14.1</v>
      </c>
      <c r="AH63" s="47">
        <f t="shared" si="2"/>
        <v>13</v>
      </c>
      <c r="AI63" s="48">
        <f t="shared" si="3"/>
        <v>0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12.9</v>
      </c>
      <c r="C64" s="65">
        <v>12.1</v>
      </c>
      <c r="D64" s="65">
        <v>10.9</v>
      </c>
      <c r="E64" s="65">
        <v>10.9</v>
      </c>
      <c r="F64" s="65">
        <v>10.9</v>
      </c>
      <c r="G64" s="65">
        <v>10.9</v>
      </c>
      <c r="H64" s="65">
        <v>10.9</v>
      </c>
      <c r="I64" s="65">
        <v>10.9</v>
      </c>
      <c r="J64" s="65">
        <v>10.9</v>
      </c>
      <c r="K64" s="65">
        <v>10.9</v>
      </c>
      <c r="L64" s="65">
        <v>10.9</v>
      </c>
      <c r="M64" s="65">
        <v>10.9</v>
      </c>
      <c r="N64" s="65">
        <v>10.9</v>
      </c>
      <c r="O64" s="65">
        <v>10.9</v>
      </c>
      <c r="P64" s="65">
        <v>10.9</v>
      </c>
      <c r="Q64" s="65">
        <v>10.9</v>
      </c>
      <c r="R64" s="65">
        <v>10.9</v>
      </c>
      <c r="S64" s="65">
        <v>10.9</v>
      </c>
      <c r="T64" s="65">
        <v>10.9</v>
      </c>
      <c r="U64" s="65">
        <v>10.9</v>
      </c>
      <c r="V64" s="65">
        <v>10.9</v>
      </c>
      <c r="W64" s="65">
        <v>10.9</v>
      </c>
      <c r="X64" s="65">
        <v>10.9</v>
      </c>
      <c r="Y64" s="65">
        <v>10.9</v>
      </c>
      <c r="Z64" s="65">
        <v>10.9</v>
      </c>
      <c r="AA64" s="65">
        <v>10.9</v>
      </c>
      <c r="AB64" s="65">
        <v>10.9</v>
      </c>
      <c r="AC64" s="65">
        <v>10.9</v>
      </c>
      <c r="AD64" s="65"/>
      <c r="AE64" s="65">
        <v>10.9</v>
      </c>
      <c r="AF64" s="65">
        <v>10.9</v>
      </c>
      <c r="AG64" s="54">
        <v>14</v>
      </c>
      <c r="AH64" s="47">
        <f t="shared" si="2"/>
        <v>12.9</v>
      </c>
      <c r="AI64" s="48">
        <f t="shared" si="3"/>
        <v>10.9</v>
      </c>
      <c r="AK64" s="49"/>
    </row>
    <row r="65" spans="1:40" x14ac:dyDescent="0.25">
      <c r="A65" s="53" t="s">
        <v>71</v>
      </c>
      <c r="B65" s="65">
        <v>5.7</v>
      </c>
      <c r="C65" s="65">
        <v>5.8</v>
      </c>
      <c r="D65" s="65">
        <v>6</v>
      </c>
      <c r="E65" s="65">
        <v>6</v>
      </c>
      <c r="F65" s="65">
        <v>6</v>
      </c>
      <c r="G65" s="65">
        <v>4.0999999999999996</v>
      </c>
      <c r="H65" s="65">
        <v>4.0999999999999996</v>
      </c>
      <c r="I65" s="65">
        <v>4.0999999999999996</v>
      </c>
      <c r="J65" s="65">
        <v>4.0999999999999996</v>
      </c>
      <c r="K65" s="65">
        <v>4.0999999999999996</v>
      </c>
      <c r="L65" s="65">
        <v>4.0999999999999996</v>
      </c>
      <c r="M65" s="65">
        <v>4.0999999999999996</v>
      </c>
      <c r="N65" s="65">
        <v>4.0999999999999996</v>
      </c>
      <c r="O65" s="65">
        <v>4.0999999999999996</v>
      </c>
      <c r="P65" s="65">
        <v>4.0999999999999996</v>
      </c>
      <c r="Q65" s="65">
        <v>4.0999999999999996</v>
      </c>
      <c r="R65" s="65">
        <v>4.0999999999999996</v>
      </c>
      <c r="S65" s="65">
        <v>4.0999999999999996</v>
      </c>
      <c r="T65" s="65">
        <v>4.0999999999999996</v>
      </c>
      <c r="U65" s="65">
        <v>4.0999999999999996</v>
      </c>
      <c r="V65" s="65">
        <v>4.0999999999999996</v>
      </c>
      <c r="W65" s="65">
        <v>4.0999999999999996</v>
      </c>
      <c r="X65" s="65">
        <v>4.0999999999999996</v>
      </c>
      <c r="Y65" s="65">
        <v>4.0999999999999996</v>
      </c>
      <c r="Z65" s="65">
        <v>4.0999999999999996</v>
      </c>
      <c r="AA65" s="65">
        <v>4.5</v>
      </c>
      <c r="AB65" s="65">
        <v>4.5</v>
      </c>
      <c r="AC65" s="65">
        <v>4.5</v>
      </c>
      <c r="AD65" s="65"/>
      <c r="AE65" s="65">
        <v>4.5</v>
      </c>
      <c r="AF65" s="65">
        <v>4.5</v>
      </c>
      <c r="AG65" s="54">
        <v>10.050000000000001</v>
      </c>
      <c r="AH65" s="47">
        <f t="shared" si="2"/>
        <v>6</v>
      </c>
      <c r="AI65" s="48">
        <f t="shared" si="3"/>
        <v>4.0999999999999996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/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>SUM(B55:B67)</f>
        <v>359.34</v>
      </c>
      <c r="C68" s="60">
        <f>SUM(C55:C67)</f>
        <v>360.34000000000003</v>
      </c>
      <c r="D68" s="60">
        <f t="shared" ref="D68:AG68" si="6">SUM(D55:D67)</f>
        <v>351.14</v>
      </c>
      <c r="E68" s="60">
        <f t="shared" si="6"/>
        <v>290.74</v>
      </c>
      <c r="F68" s="60">
        <f t="shared" si="6"/>
        <v>327.33999999999997</v>
      </c>
      <c r="G68" s="60">
        <f t="shared" si="6"/>
        <v>341.34</v>
      </c>
      <c r="H68" s="60">
        <f t="shared" si="6"/>
        <v>342.54</v>
      </c>
      <c r="I68" s="60">
        <f t="shared" si="6"/>
        <v>392.64000000000004</v>
      </c>
      <c r="J68" s="60">
        <f t="shared" si="6"/>
        <v>392.64000000000004</v>
      </c>
      <c r="K68" s="60">
        <f t="shared" si="6"/>
        <v>392.64000000000004</v>
      </c>
      <c r="L68" s="60">
        <f t="shared" si="6"/>
        <v>395.34000000000009</v>
      </c>
      <c r="M68" s="60">
        <f t="shared" si="6"/>
        <v>415.24</v>
      </c>
      <c r="N68" s="60">
        <f t="shared" si="6"/>
        <v>418.54</v>
      </c>
      <c r="O68" s="60">
        <f t="shared" si="6"/>
        <v>416.74</v>
      </c>
      <c r="P68" s="60">
        <f t="shared" si="6"/>
        <v>406.54</v>
      </c>
      <c r="Q68" s="60">
        <f t="shared" si="6"/>
        <v>406.54</v>
      </c>
      <c r="R68" s="60">
        <f t="shared" si="6"/>
        <v>408.54</v>
      </c>
      <c r="S68" s="60">
        <f t="shared" si="6"/>
        <v>379.44000000000005</v>
      </c>
      <c r="T68" s="60">
        <f t="shared" si="6"/>
        <v>386.04</v>
      </c>
      <c r="U68" s="60">
        <f t="shared" si="6"/>
        <v>362.94</v>
      </c>
      <c r="V68" s="60">
        <f t="shared" si="6"/>
        <v>370.14000000000004</v>
      </c>
      <c r="W68" s="60">
        <f t="shared" si="6"/>
        <v>366.14000000000004</v>
      </c>
      <c r="X68" s="60">
        <f t="shared" si="6"/>
        <v>366.14000000000004</v>
      </c>
      <c r="Y68" s="60">
        <f t="shared" si="6"/>
        <v>364.64000000000004</v>
      </c>
      <c r="Z68" s="60">
        <f t="shared" si="6"/>
        <v>377.24</v>
      </c>
      <c r="AA68" s="60">
        <f t="shared" si="6"/>
        <v>429.73999999999995</v>
      </c>
      <c r="AB68" s="60">
        <f t="shared" si="6"/>
        <v>429.73999999999995</v>
      </c>
      <c r="AC68" s="60">
        <f t="shared" si="6"/>
        <v>429.73999999999995</v>
      </c>
      <c r="AD68" s="60">
        <f t="shared" si="6"/>
        <v>3.54</v>
      </c>
      <c r="AE68" s="60">
        <f t="shared" si="6"/>
        <v>368.34</v>
      </c>
      <c r="AF68" s="60">
        <f t="shared" si="6"/>
        <v>368.34</v>
      </c>
      <c r="AG68" s="61">
        <f t="shared" si="6"/>
        <v>489.91</v>
      </c>
      <c r="AH68" s="47">
        <f t="shared" si="2"/>
        <v>429.73999999999995</v>
      </c>
      <c r="AI68" s="48">
        <f t="shared" si="3"/>
        <v>3.54</v>
      </c>
      <c r="AK68" s="49"/>
    </row>
    <row r="69" spans="1:40" x14ac:dyDescent="0.25">
      <c r="A69" s="44" t="s">
        <v>75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10</v>
      </c>
      <c r="AB69" s="45">
        <v>0</v>
      </c>
      <c r="AC69" s="45">
        <v>0</v>
      </c>
      <c r="AD69" s="45"/>
      <c r="AE69" s="45">
        <v>0</v>
      </c>
      <c r="AF69" s="45">
        <v>0</v>
      </c>
      <c r="AG69" s="51">
        <v>60</v>
      </c>
      <c r="AH69" s="47">
        <f t="shared" si="2"/>
        <v>10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0</v>
      </c>
      <c r="C70" s="4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/>
      <c r="AE70" s="65">
        <v>0</v>
      </c>
      <c r="AF70" s="65">
        <v>0</v>
      </c>
      <c r="AG70" s="54">
        <v>32</v>
      </c>
      <c r="AH70" s="47">
        <f t="shared" si="2"/>
        <v>0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0</v>
      </c>
      <c r="C71" s="45">
        <v>0</v>
      </c>
      <c r="D71" s="67">
        <v>0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0</v>
      </c>
      <c r="M71" s="67">
        <v>0</v>
      </c>
      <c r="N71" s="67">
        <v>0</v>
      </c>
      <c r="O71" s="67">
        <v>0</v>
      </c>
      <c r="P71" s="67">
        <v>0</v>
      </c>
      <c r="Q71" s="67">
        <v>0</v>
      </c>
      <c r="R71" s="67">
        <v>0</v>
      </c>
      <c r="S71" s="67">
        <v>0</v>
      </c>
      <c r="T71" s="67">
        <v>0</v>
      </c>
      <c r="U71" s="67">
        <v>0</v>
      </c>
      <c r="V71" s="67">
        <v>0</v>
      </c>
      <c r="W71" s="67">
        <v>0</v>
      </c>
      <c r="X71" s="67">
        <v>0</v>
      </c>
      <c r="Y71" s="67">
        <v>0</v>
      </c>
      <c r="Z71" s="67">
        <v>0</v>
      </c>
      <c r="AA71" s="67">
        <v>0</v>
      </c>
      <c r="AB71" s="67">
        <v>0</v>
      </c>
      <c r="AC71" s="67">
        <v>0</v>
      </c>
      <c r="AD71" s="67"/>
      <c r="AE71" s="67">
        <v>0</v>
      </c>
      <c r="AF71" s="67">
        <v>0</v>
      </c>
      <c r="AG71" s="68">
        <v>14</v>
      </c>
      <c r="AH71" s="47">
        <f t="shared" si="2"/>
        <v>0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7">M69+M70+M71</f>
        <v>0</v>
      </c>
      <c r="N72" s="60">
        <f t="shared" si="7"/>
        <v>0</v>
      </c>
      <c r="O72" s="60">
        <f t="shared" si="7"/>
        <v>0</v>
      </c>
      <c r="P72" s="60">
        <f t="shared" si="7"/>
        <v>0</v>
      </c>
      <c r="Q72" s="60">
        <f t="shared" si="7"/>
        <v>0</v>
      </c>
      <c r="R72" s="60">
        <f t="shared" si="7"/>
        <v>0</v>
      </c>
      <c r="S72" s="60">
        <f t="shared" si="7"/>
        <v>0</v>
      </c>
      <c r="T72" s="60">
        <f t="shared" si="7"/>
        <v>0</v>
      </c>
      <c r="U72" s="60">
        <f t="shared" si="7"/>
        <v>0</v>
      </c>
      <c r="V72" s="60">
        <f t="shared" si="7"/>
        <v>0</v>
      </c>
      <c r="W72" s="60">
        <f t="shared" si="7"/>
        <v>0</v>
      </c>
      <c r="X72" s="60">
        <f t="shared" si="7"/>
        <v>0</v>
      </c>
      <c r="Y72" s="60">
        <f t="shared" si="7"/>
        <v>0</v>
      </c>
      <c r="Z72" s="60">
        <f t="shared" si="7"/>
        <v>0</v>
      </c>
      <c r="AA72" s="60">
        <f t="shared" si="7"/>
        <v>10</v>
      </c>
      <c r="AB72" s="60">
        <f t="shared" si="7"/>
        <v>0</v>
      </c>
      <c r="AC72" s="60">
        <f t="shared" si="7"/>
        <v>0</v>
      </c>
      <c r="AD72" s="60">
        <f t="shared" si="7"/>
        <v>0</v>
      </c>
      <c r="AE72" s="60">
        <f t="shared" si="7"/>
        <v>0</v>
      </c>
      <c r="AF72" s="60">
        <f t="shared" si="7"/>
        <v>0</v>
      </c>
      <c r="AG72" s="61">
        <f>SUM(AG69:AG71)</f>
        <v>106</v>
      </c>
      <c r="AH72" s="47">
        <f t="shared" si="2"/>
        <v>10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22</v>
      </c>
      <c r="C73" s="45">
        <v>26</v>
      </c>
      <c r="D73" s="45">
        <v>18.899999999999999</v>
      </c>
      <c r="E73" s="45">
        <v>12.5</v>
      </c>
      <c r="F73" s="45">
        <v>28</v>
      </c>
      <c r="G73" s="45">
        <v>24.7</v>
      </c>
      <c r="H73" s="45">
        <v>28.1</v>
      </c>
      <c r="I73" s="45">
        <v>22</v>
      </c>
      <c r="J73" s="45">
        <v>16</v>
      </c>
      <c r="K73" s="45">
        <v>18.7</v>
      </c>
      <c r="L73" s="45">
        <v>29</v>
      </c>
      <c r="M73" s="45">
        <v>28.5</v>
      </c>
      <c r="N73" s="45">
        <v>28.5</v>
      </c>
      <c r="O73" s="45">
        <v>38</v>
      </c>
      <c r="P73" s="45">
        <v>28.5</v>
      </c>
      <c r="Q73" s="45">
        <v>30</v>
      </c>
      <c r="R73" s="45">
        <v>28</v>
      </c>
      <c r="S73" s="45">
        <v>30</v>
      </c>
      <c r="T73" s="45">
        <v>43</v>
      </c>
      <c r="U73" s="45">
        <v>37.799999999999997</v>
      </c>
      <c r="V73" s="45">
        <v>33</v>
      </c>
      <c r="W73" s="45">
        <v>30</v>
      </c>
      <c r="X73" s="45">
        <v>30</v>
      </c>
      <c r="Y73" s="45">
        <v>36</v>
      </c>
      <c r="Z73" s="45">
        <v>34.4</v>
      </c>
      <c r="AA73" s="45">
        <v>42</v>
      </c>
      <c r="AB73" s="45">
        <v>32.200000000000003</v>
      </c>
      <c r="AC73" s="45">
        <v>30</v>
      </c>
      <c r="AD73" s="45"/>
      <c r="AE73" s="45">
        <v>43</v>
      </c>
      <c r="AF73" s="45">
        <v>35.4</v>
      </c>
      <c r="AG73" s="51"/>
      <c r="AH73" s="47">
        <f t="shared" si="2"/>
        <v>43</v>
      </c>
      <c r="AI73" s="48">
        <f t="shared" si="3"/>
        <v>12.5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/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0</v>
      </c>
      <c r="C75" s="65">
        <v>0</v>
      </c>
      <c r="D75" s="65">
        <v>45</v>
      </c>
      <c r="E75" s="65">
        <v>95</v>
      </c>
      <c r="F75" s="65">
        <v>52.1</v>
      </c>
      <c r="G75" s="65">
        <v>80</v>
      </c>
      <c r="H75" s="65">
        <v>107.1</v>
      </c>
      <c r="I75" s="65">
        <v>68.900000000000006</v>
      </c>
      <c r="J75" s="65">
        <v>52.7</v>
      </c>
      <c r="K75" s="65">
        <v>52.2</v>
      </c>
      <c r="L75" s="65">
        <v>70</v>
      </c>
      <c r="M75" s="65">
        <v>70.2</v>
      </c>
      <c r="N75" s="65">
        <v>44</v>
      </c>
      <c r="O75" s="65">
        <v>126</v>
      </c>
      <c r="P75" s="65">
        <v>88</v>
      </c>
      <c r="Q75" s="65">
        <v>78</v>
      </c>
      <c r="R75" s="65">
        <v>108</v>
      </c>
      <c r="S75" s="65">
        <v>203</v>
      </c>
      <c r="T75" s="65">
        <v>205.5</v>
      </c>
      <c r="U75" s="65">
        <v>228</v>
      </c>
      <c r="V75" s="65">
        <v>200</v>
      </c>
      <c r="W75" s="65">
        <v>220</v>
      </c>
      <c r="X75" s="65">
        <v>226</v>
      </c>
      <c r="Y75" s="65">
        <v>200</v>
      </c>
      <c r="Z75" s="65">
        <v>223</v>
      </c>
      <c r="AA75" s="65">
        <v>196</v>
      </c>
      <c r="AB75" s="65">
        <v>196</v>
      </c>
      <c r="AC75" s="65">
        <v>180</v>
      </c>
      <c r="AD75" s="65"/>
      <c r="AE75" s="65">
        <v>60</v>
      </c>
      <c r="AF75" s="65">
        <v>0</v>
      </c>
      <c r="AG75" s="75"/>
      <c r="AH75" s="47">
        <f t="shared" si="2"/>
        <v>228</v>
      </c>
      <c r="AI75" s="48">
        <f t="shared" si="3"/>
        <v>0</v>
      </c>
      <c r="AK75" s="49"/>
    </row>
    <row r="76" spans="1:40" x14ac:dyDescent="0.25">
      <c r="A76" s="53" t="s">
        <v>82</v>
      </c>
      <c r="B76" s="65">
        <v>0</v>
      </c>
      <c r="C76" s="65">
        <v>0</v>
      </c>
      <c r="D76" s="65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65"/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6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/>
      <c r="AE77" s="45">
        <v>0</v>
      </c>
      <c r="AF77" s="45">
        <v>0</v>
      </c>
      <c r="AG77" s="75"/>
      <c r="AH77" s="47">
        <f t="shared" si="2"/>
        <v>0</v>
      </c>
      <c r="AI77" s="48">
        <f t="shared" si="3"/>
        <v>0</v>
      </c>
      <c r="AK77" s="49"/>
    </row>
    <row r="78" spans="1:40" x14ac:dyDescent="0.25">
      <c r="A78" s="53" t="s">
        <v>84</v>
      </c>
      <c r="B78" s="45">
        <v>0</v>
      </c>
      <c r="C78" s="77">
        <v>0</v>
      </c>
      <c r="D78" s="65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/>
      <c r="AE78" s="77">
        <v>0</v>
      </c>
      <c r="AF78" s="77">
        <v>0</v>
      </c>
      <c r="AG78" s="75"/>
      <c r="AH78" s="47">
        <f t="shared" ref="AH78:AH120" si="8">MAX(B78:AF78)</f>
        <v>0</v>
      </c>
      <c r="AI78" s="48">
        <f t="shared" ref="AI78:AI120" si="9">MIN(B78:AF78)</f>
        <v>0</v>
      </c>
      <c r="AK78" s="49"/>
    </row>
    <row r="79" spans="1:40" ht="15.75" thickBot="1" x14ac:dyDescent="0.3">
      <c r="A79" s="53" t="s">
        <v>85</v>
      </c>
      <c r="B79" s="45">
        <v>0</v>
      </c>
      <c r="C79" s="77">
        <v>0</v>
      </c>
      <c r="D79" s="65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/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0</v>
      </c>
      <c r="C80" s="77">
        <v>0</v>
      </c>
      <c r="D80" s="65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/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0</v>
      </c>
      <c r="C81" s="77">
        <v>0</v>
      </c>
      <c r="D81" s="65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/>
      <c r="AE81" s="77">
        <v>0</v>
      </c>
      <c r="AF81" s="77">
        <v>0</v>
      </c>
      <c r="AG81" s="75"/>
      <c r="AH81" s="47">
        <f t="shared" si="8"/>
        <v>0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>
        <v>0</v>
      </c>
      <c r="C82" s="77">
        <v>0</v>
      </c>
      <c r="D82" s="65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/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>
        <v>0</v>
      </c>
      <c r="C83" s="77">
        <v>0</v>
      </c>
      <c r="D83" s="65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/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>SUMIF(B73:B83,"&gt;0")</f>
        <v>22</v>
      </c>
      <c r="C84" s="60">
        <f t="shared" ref="C84:AF84" si="10">SUMIF(C73:C83,"&gt;0")</f>
        <v>26</v>
      </c>
      <c r="D84" s="60">
        <f t="shared" si="10"/>
        <v>63.9</v>
      </c>
      <c r="E84" s="60">
        <f t="shared" si="10"/>
        <v>107.5</v>
      </c>
      <c r="F84" s="60">
        <f t="shared" si="10"/>
        <v>80.099999999999994</v>
      </c>
      <c r="G84" s="60">
        <f t="shared" si="10"/>
        <v>104.7</v>
      </c>
      <c r="H84" s="60">
        <f t="shared" si="10"/>
        <v>135.19999999999999</v>
      </c>
      <c r="I84" s="60">
        <f t="shared" si="10"/>
        <v>90.9</v>
      </c>
      <c r="J84" s="60">
        <f t="shared" si="10"/>
        <v>68.7</v>
      </c>
      <c r="K84" s="60">
        <f t="shared" si="10"/>
        <v>70.900000000000006</v>
      </c>
      <c r="L84" s="60">
        <f t="shared" si="10"/>
        <v>99</v>
      </c>
      <c r="M84" s="60">
        <f t="shared" si="10"/>
        <v>98.7</v>
      </c>
      <c r="N84" s="60">
        <f t="shared" si="10"/>
        <v>72.5</v>
      </c>
      <c r="O84" s="60">
        <f t="shared" si="10"/>
        <v>164</v>
      </c>
      <c r="P84" s="60">
        <f t="shared" si="10"/>
        <v>116.5</v>
      </c>
      <c r="Q84" s="60">
        <f t="shared" si="10"/>
        <v>108</v>
      </c>
      <c r="R84" s="60">
        <f t="shared" si="10"/>
        <v>136</v>
      </c>
      <c r="S84" s="60">
        <f t="shared" si="10"/>
        <v>233</v>
      </c>
      <c r="T84" s="60">
        <f t="shared" si="10"/>
        <v>248.5</v>
      </c>
      <c r="U84" s="60">
        <f t="shared" si="10"/>
        <v>265.8</v>
      </c>
      <c r="V84" s="60">
        <f t="shared" si="10"/>
        <v>233</v>
      </c>
      <c r="W84" s="60">
        <f t="shared" si="10"/>
        <v>250</v>
      </c>
      <c r="X84" s="60">
        <f t="shared" si="10"/>
        <v>256</v>
      </c>
      <c r="Y84" s="60">
        <f t="shared" si="10"/>
        <v>236</v>
      </c>
      <c r="Z84" s="60">
        <f t="shared" si="10"/>
        <v>257.39999999999998</v>
      </c>
      <c r="AA84" s="60">
        <f t="shared" si="10"/>
        <v>238</v>
      </c>
      <c r="AB84" s="60">
        <f t="shared" si="10"/>
        <v>228.2</v>
      </c>
      <c r="AC84" s="60">
        <f t="shared" si="10"/>
        <v>210</v>
      </c>
      <c r="AD84" s="60">
        <f t="shared" si="10"/>
        <v>0</v>
      </c>
      <c r="AE84" s="60">
        <f t="shared" si="10"/>
        <v>103</v>
      </c>
      <c r="AF84" s="60">
        <f t="shared" si="10"/>
        <v>35.4</v>
      </c>
      <c r="AG84" s="88">
        <f>SUM(AG73:AG83)</f>
        <v>0</v>
      </c>
      <c r="AH84" s="47">
        <f t="shared" si="8"/>
        <v>265.8</v>
      </c>
      <c r="AI84" s="48">
        <f t="shared" si="9"/>
        <v>0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>B50+B54+B72+B68+B84+B88</f>
        <v>1264.94</v>
      </c>
      <c r="C89" s="95">
        <f t="shared" ref="C89:AG89" si="11">C50+C54+C72+C68+C84+C88</f>
        <v>1230.1400000000001</v>
      </c>
      <c r="D89" s="95">
        <f t="shared" si="11"/>
        <v>1244.1400000000001</v>
      </c>
      <c r="E89" s="95">
        <f t="shared" si="11"/>
        <v>1177.04</v>
      </c>
      <c r="F89" s="95">
        <f t="shared" si="11"/>
        <v>1182.24</v>
      </c>
      <c r="G89" s="95">
        <f t="shared" si="11"/>
        <v>1220.8400000000001</v>
      </c>
      <c r="H89" s="95">
        <f t="shared" si="11"/>
        <v>1282.6400000000001</v>
      </c>
      <c r="I89" s="95">
        <f t="shared" si="11"/>
        <v>1308.3400000000001</v>
      </c>
      <c r="J89" s="95">
        <f t="shared" si="11"/>
        <v>1354.94</v>
      </c>
      <c r="K89" s="95">
        <f t="shared" si="11"/>
        <v>1371.2400000000002</v>
      </c>
      <c r="L89" s="95">
        <f t="shared" si="11"/>
        <v>1402.0400000000002</v>
      </c>
      <c r="M89" s="95">
        <f t="shared" si="11"/>
        <v>1421.64</v>
      </c>
      <c r="N89" s="95">
        <f t="shared" si="11"/>
        <v>1408.74</v>
      </c>
      <c r="O89" s="95">
        <f t="shared" si="11"/>
        <v>1498.44</v>
      </c>
      <c r="P89" s="95">
        <f t="shared" si="11"/>
        <v>1440.74</v>
      </c>
      <c r="Q89" s="95">
        <f t="shared" si="11"/>
        <v>1432.24</v>
      </c>
      <c r="R89" s="95">
        <f t="shared" si="11"/>
        <v>1463.24</v>
      </c>
      <c r="S89" s="95">
        <f t="shared" si="11"/>
        <v>1553.3400000000001</v>
      </c>
      <c r="T89" s="95">
        <f t="shared" si="11"/>
        <v>1461.44</v>
      </c>
      <c r="U89" s="95">
        <f t="shared" si="11"/>
        <v>1497.04</v>
      </c>
      <c r="V89" s="95">
        <f t="shared" si="11"/>
        <v>1470.44</v>
      </c>
      <c r="W89" s="95">
        <f t="shared" si="11"/>
        <v>1484.44</v>
      </c>
      <c r="X89" s="95">
        <f t="shared" si="11"/>
        <v>1490.44</v>
      </c>
      <c r="Y89" s="95">
        <f t="shared" si="11"/>
        <v>1467.94</v>
      </c>
      <c r="Z89" s="95">
        <f t="shared" si="11"/>
        <v>1552.3400000000001</v>
      </c>
      <c r="AA89" s="95">
        <f t="shared" si="11"/>
        <v>1684.54</v>
      </c>
      <c r="AB89" s="95">
        <f t="shared" si="11"/>
        <v>1664.74</v>
      </c>
      <c r="AC89" s="95">
        <f t="shared" si="11"/>
        <v>1616.54</v>
      </c>
      <c r="AD89" s="95">
        <f t="shared" si="11"/>
        <v>757.14</v>
      </c>
      <c r="AE89" s="95">
        <f t="shared" si="11"/>
        <v>1457.24</v>
      </c>
      <c r="AF89" s="95">
        <f t="shared" si="11"/>
        <v>1369.64</v>
      </c>
      <c r="AG89" s="61">
        <f t="shared" si="11"/>
        <v>2109.09</v>
      </c>
      <c r="AH89" s="47">
        <f t="shared" si="8"/>
        <v>1684.54</v>
      </c>
      <c r="AI89" s="48">
        <f t="shared" si="9"/>
        <v>757.14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8"/>
        <v>0</v>
      </c>
      <c r="AI90" s="48">
        <f t="shared" si="9"/>
        <v>0</v>
      </c>
    </row>
    <row r="91" spans="1:40" ht="15.75" thickBot="1" x14ac:dyDescent="0.3">
      <c r="A91" s="74" t="s">
        <v>100</v>
      </c>
      <c r="B91" s="95">
        <f>B89+B90</f>
        <v>1264.94</v>
      </c>
      <c r="C91" s="95">
        <f t="shared" ref="C91:AF91" si="12">C89+C90</f>
        <v>1230.1400000000001</v>
      </c>
      <c r="D91" s="95">
        <f t="shared" si="12"/>
        <v>1244.1400000000001</v>
      </c>
      <c r="E91" s="95">
        <f t="shared" si="12"/>
        <v>1177.04</v>
      </c>
      <c r="F91" s="95">
        <f t="shared" si="12"/>
        <v>1182.24</v>
      </c>
      <c r="G91" s="95">
        <f t="shared" si="12"/>
        <v>1220.8400000000001</v>
      </c>
      <c r="H91" s="95">
        <f t="shared" si="12"/>
        <v>1282.6400000000001</v>
      </c>
      <c r="I91" s="95">
        <f t="shared" si="12"/>
        <v>1308.3400000000001</v>
      </c>
      <c r="J91" s="95">
        <f t="shared" si="12"/>
        <v>1354.94</v>
      </c>
      <c r="K91" s="95">
        <f t="shared" si="12"/>
        <v>1371.2400000000002</v>
      </c>
      <c r="L91" s="95">
        <f t="shared" si="12"/>
        <v>1402.0400000000002</v>
      </c>
      <c r="M91" s="95">
        <f t="shared" si="12"/>
        <v>1421.64</v>
      </c>
      <c r="N91" s="95">
        <f t="shared" si="12"/>
        <v>1408.74</v>
      </c>
      <c r="O91" s="95">
        <f t="shared" si="12"/>
        <v>1498.44</v>
      </c>
      <c r="P91" s="95">
        <f t="shared" si="12"/>
        <v>1440.74</v>
      </c>
      <c r="Q91" s="95">
        <f t="shared" si="12"/>
        <v>1432.24</v>
      </c>
      <c r="R91" s="95">
        <f t="shared" si="12"/>
        <v>1463.24</v>
      </c>
      <c r="S91" s="95">
        <f t="shared" si="12"/>
        <v>1553.3400000000001</v>
      </c>
      <c r="T91" s="95">
        <f t="shared" si="12"/>
        <v>1461.44</v>
      </c>
      <c r="U91" s="95">
        <f t="shared" si="12"/>
        <v>1497.04</v>
      </c>
      <c r="V91" s="95">
        <f t="shared" si="12"/>
        <v>1470.44</v>
      </c>
      <c r="W91" s="95">
        <f t="shared" si="12"/>
        <v>1484.44</v>
      </c>
      <c r="X91" s="95">
        <f t="shared" si="12"/>
        <v>1490.44</v>
      </c>
      <c r="Y91" s="95">
        <f t="shared" si="12"/>
        <v>1467.94</v>
      </c>
      <c r="Z91" s="95">
        <f t="shared" si="12"/>
        <v>1552.3400000000001</v>
      </c>
      <c r="AA91" s="95">
        <f t="shared" si="12"/>
        <v>1684.54</v>
      </c>
      <c r="AB91" s="95">
        <f t="shared" si="12"/>
        <v>1664.74</v>
      </c>
      <c r="AC91" s="95">
        <f t="shared" si="12"/>
        <v>1616.54</v>
      </c>
      <c r="AD91" s="95">
        <f t="shared" si="12"/>
        <v>757.14</v>
      </c>
      <c r="AE91" s="95">
        <f t="shared" si="12"/>
        <v>1457.24</v>
      </c>
      <c r="AF91" s="95">
        <f t="shared" si="12"/>
        <v>1369.64</v>
      </c>
      <c r="AG91" s="88">
        <f>AG88+AG84+AG72+AG68+AG50+AG90</f>
        <v>1570.99</v>
      </c>
      <c r="AH91" s="47">
        <f t="shared" si="8"/>
        <v>1684.54</v>
      </c>
      <c r="AI91" s="48">
        <f t="shared" si="9"/>
        <v>757.14</v>
      </c>
    </row>
    <row r="92" spans="1:40" ht="15.75" thickBot="1" x14ac:dyDescent="0.3">
      <c r="A92" s="74" t="s">
        <v>101</v>
      </c>
      <c r="B92" s="95">
        <f>B91-B99</f>
        <v>1264.94</v>
      </c>
      <c r="C92" s="95">
        <f t="shared" ref="C92:AF92" si="13">C91-C99</f>
        <v>1230.1400000000001</v>
      </c>
      <c r="D92" s="95">
        <f t="shared" si="13"/>
        <v>1244.1400000000001</v>
      </c>
      <c r="E92" s="95">
        <f t="shared" si="13"/>
        <v>1177.04</v>
      </c>
      <c r="F92" s="95">
        <f t="shared" si="13"/>
        <v>1182.24</v>
      </c>
      <c r="G92" s="95">
        <f t="shared" si="13"/>
        <v>1220.8400000000001</v>
      </c>
      <c r="H92" s="95">
        <f t="shared" si="13"/>
        <v>1282.6400000000001</v>
      </c>
      <c r="I92" s="95">
        <f t="shared" si="13"/>
        <v>1308.3400000000001</v>
      </c>
      <c r="J92" s="95">
        <f t="shared" si="13"/>
        <v>1354.94</v>
      </c>
      <c r="K92" s="95">
        <f t="shared" si="13"/>
        <v>1371.2400000000002</v>
      </c>
      <c r="L92" s="95">
        <f t="shared" si="13"/>
        <v>1402.0400000000002</v>
      </c>
      <c r="M92" s="95">
        <f t="shared" si="13"/>
        <v>1421.64</v>
      </c>
      <c r="N92" s="95">
        <f t="shared" si="13"/>
        <v>1408.74</v>
      </c>
      <c r="O92" s="95">
        <f t="shared" si="13"/>
        <v>1498.44</v>
      </c>
      <c r="P92" s="95">
        <f t="shared" si="13"/>
        <v>1440.74</v>
      </c>
      <c r="Q92" s="95">
        <f t="shared" si="13"/>
        <v>1432.24</v>
      </c>
      <c r="R92" s="95">
        <f t="shared" si="13"/>
        <v>1463.24</v>
      </c>
      <c r="S92" s="95">
        <f t="shared" si="13"/>
        <v>1553.3400000000001</v>
      </c>
      <c r="T92" s="95">
        <f t="shared" si="13"/>
        <v>1461.44</v>
      </c>
      <c r="U92" s="95">
        <f t="shared" si="13"/>
        <v>1497.04</v>
      </c>
      <c r="V92" s="95">
        <f t="shared" si="13"/>
        <v>1470.44</v>
      </c>
      <c r="W92" s="95">
        <f t="shared" si="13"/>
        <v>1484.44</v>
      </c>
      <c r="X92" s="95">
        <f t="shared" si="13"/>
        <v>1490.44</v>
      </c>
      <c r="Y92" s="95">
        <f t="shared" si="13"/>
        <v>1467.94</v>
      </c>
      <c r="Z92" s="95">
        <f t="shared" si="13"/>
        <v>1552.3400000000001</v>
      </c>
      <c r="AA92" s="95">
        <f t="shared" si="13"/>
        <v>1684.54</v>
      </c>
      <c r="AB92" s="95">
        <f t="shared" si="13"/>
        <v>1664.74</v>
      </c>
      <c r="AC92" s="95">
        <f t="shared" si="13"/>
        <v>1616.54</v>
      </c>
      <c r="AD92" s="95">
        <f t="shared" si="13"/>
        <v>757.14</v>
      </c>
      <c r="AE92" s="95">
        <f t="shared" si="13"/>
        <v>1457.24</v>
      </c>
      <c r="AF92" s="95">
        <f t="shared" si="13"/>
        <v>1369.64</v>
      </c>
      <c r="AG92" s="88"/>
      <c r="AH92" s="47">
        <f t="shared" si="8"/>
        <v>1684.54</v>
      </c>
      <c r="AI92" s="48">
        <f t="shared" si="9"/>
        <v>757.14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>B84-B99</f>
        <v>22</v>
      </c>
      <c r="C100" s="60">
        <f t="shared" ref="C100:AF100" si="14">C84-C99</f>
        <v>26</v>
      </c>
      <c r="D100" s="60">
        <f t="shared" si="14"/>
        <v>63.9</v>
      </c>
      <c r="E100" s="60">
        <f t="shared" si="14"/>
        <v>107.5</v>
      </c>
      <c r="F100" s="60">
        <f t="shared" si="14"/>
        <v>80.099999999999994</v>
      </c>
      <c r="G100" s="60">
        <f t="shared" si="14"/>
        <v>104.7</v>
      </c>
      <c r="H100" s="60">
        <f t="shared" si="14"/>
        <v>135.19999999999999</v>
      </c>
      <c r="I100" s="60">
        <f t="shared" si="14"/>
        <v>90.9</v>
      </c>
      <c r="J100" s="60">
        <f t="shared" si="14"/>
        <v>68.7</v>
      </c>
      <c r="K100" s="60">
        <f t="shared" si="14"/>
        <v>70.900000000000006</v>
      </c>
      <c r="L100" s="60">
        <f t="shared" si="14"/>
        <v>99</v>
      </c>
      <c r="M100" s="60">
        <f t="shared" si="14"/>
        <v>98.7</v>
      </c>
      <c r="N100" s="60">
        <f t="shared" si="14"/>
        <v>72.5</v>
      </c>
      <c r="O100" s="60">
        <f t="shared" si="14"/>
        <v>164</v>
      </c>
      <c r="P100" s="60">
        <f t="shared" si="14"/>
        <v>116.5</v>
      </c>
      <c r="Q100" s="60">
        <f t="shared" si="14"/>
        <v>108</v>
      </c>
      <c r="R100" s="60">
        <f t="shared" si="14"/>
        <v>136</v>
      </c>
      <c r="S100" s="60">
        <f t="shared" si="14"/>
        <v>233</v>
      </c>
      <c r="T100" s="60">
        <f t="shared" si="14"/>
        <v>248.5</v>
      </c>
      <c r="U100" s="60">
        <f t="shared" si="14"/>
        <v>265.8</v>
      </c>
      <c r="V100" s="60">
        <f t="shared" si="14"/>
        <v>233</v>
      </c>
      <c r="W100" s="60">
        <f t="shared" si="14"/>
        <v>250</v>
      </c>
      <c r="X100" s="60">
        <f t="shared" si="14"/>
        <v>256</v>
      </c>
      <c r="Y100" s="60">
        <f t="shared" si="14"/>
        <v>236</v>
      </c>
      <c r="Z100" s="60">
        <f t="shared" si="14"/>
        <v>257.39999999999998</v>
      </c>
      <c r="AA100" s="60">
        <f t="shared" si="14"/>
        <v>238</v>
      </c>
      <c r="AB100" s="60">
        <f t="shared" si="14"/>
        <v>228.2</v>
      </c>
      <c r="AC100" s="60">
        <f t="shared" si="14"/>
        <v>210</v>
      </c>
      <c r="AD100" s="60">
        <f t="shared" si="14"/>
        <v>0</v>
      </c>
      <c r="AE100" s="60">
        <f t="shared" si="14"/>
        <v>103</v>
      </c>
      <c r="AF100" s="60">
        <f t="shared" si="14"/>
        <v>35.4</v>
      </c>
      <c r="AG100" s="88"/>
      <c r="AH100" s="47">
        <f t="shared" si="8"/>
        <v>265.8</v>
      </c>
      <c r="AI100" s="48">
        <f t="shared" si="9"/>
        <v>0</v>
      </c>
    </row>
    <row r="101" spans="1:37" x14ac:dyDescent="0.25">
      <c r="A101" s="100" t="s">
        <v>107</v>
      </c>
      <c r="B101" s="101">
        <v>50</v>
      </c>
      <c r="C101" s="101">
        <v>49.96</v>
      </c>
      <c r="D101" s="101">
        <v>50.08</v>
      </c>
      <c r="E101" s="101">
        <v>50.036000000000001</v>
      </c>
      <c r="F101" s="101">
        <v>50.034999999999997</v>
      </c>
      <c r="G101" s="101">
        <v>50.023000000000003</v>
      </c>
      <c r="H101" s="101">
        <v>49.97</v>
      </c>
      <c r="I101" s="101">
        <v>50.042999999999999</v>
      </c>
      <c r="J101" s="101">
        <v>49.923999999999999</v>
      </c>
      <c r="K101" s="101">
        <v>50.003999999999998</v>
      </c>
      <c r="L101" s="101">
        <v>50.003999999999998</v>
      </c>
      <c r="M101" s="101">
        <v>50.286999999999999</v>
      </c>
      <c r="N101" s="101">
        <v>50.015999999999998</v>
      </c>
      <c r="O101" s="101">
        <v>50.058</v>
      </c>
      <c r="P101" s="101">
        <v>50.058</v>
      </c>
      <c r="Q101" s="101">
        <v>50.058</v>
      </c>
      <c r="R101" s="101">
        <v>49.871000000000002</v>
      </c>
      <c r="S101" s="101">
        <v>49.881999999999998</v>
      </c>
      <c r="T101" s="101">
        <v>50.042000000000002</v>
      </c>
      <c r="U101" s="101">
        <v>49.948</v>
      </c>
      <c r="V101" s="101">
        <v>49.865000000000002</v>
      </c>
      <c r="W101" s="101">
        <v>49.865000000000002</v>
      </c>
      <c r="X101" s="101">
        <v>49.865000000000002</v>
      </c>
      <c r="Y101" s="101">
        <v>49.865000000000002</v>
      </c>
      <c r="Z101" s="101">
        <v>49.984999999999999</v>
      </c>
      <c r="AA101" s="101">
        <v>49.906999999999996</v>
      </c>
      <c r="AB101" s="101">
        <v>49.948</v>
      </c>
      <c r="AC101" s="101">
        <v>49.965000000000003</v>
      </c>
      <c r="AD101" s="101"/>
      <c r="AE101" s="101">
        <v>50.045999999999999</v>
      </c>
      <c r="AF101" s="101">
        <v>49.884</v>
      </c>
      <c r="AG101" s="102"/>
      <c r="AH101" s="47">
        <f t="shared" si="8"/>
        <v>50.286999999999999</v>
      </c>
      <c r="AI101" s="48">
        <f t="shared" si="9"/>
        <v>49.865000000000002</v>
      </c>
    </row>
    <row r="102" spans="1:37" x14ac:dyDescent="0.25">
      <c r="A102" s="103" t="s">
        <v>108</v>
      </c>
      <c r="B102" s="65">
        <v>123.7</v>
      </c>
      <c r="C102" s="65">
        <v>125.6</v>
      </c>
      <c r="D102" s="65">
        <v>126.4</v>
      </c>
      <c r="E102" s="65">
        <v>126.4</v>
      </c>
      <c r="F102" s="65">
        <v>126.5</v>
      </c>
      <c r="G102" s="65">
        <v>126.8</v>
      </c>
      <c r="H102" s="65">
        <v>125.6</v>
      </c>
      <c r="I102" s="65">
        <v>125.9</v>
      </c>
      <c r="J102" s="65">
        <v>124.1</v>
      </c>
      <c r="K102" s="65">
        <v>123.8</v>
      </c>
      <c r="L102" s="65">
        <v>122.8</v>
      </c>
      <c r="M102" s="65">
        <v>122.6</v>
      </c>
      <c r="N102" s="65">
        <v>123.2</v>
      </c>
      <c r="O102" s="65">
        <v>123.9</v>
      </c>
      <c r="P102" s="65">
        <v>123.9</v>
      </c>
      <c r="Q102" s="65">
        <v>123.9</v>
      </c>
      <c r="R102" s="65">
        <v>119.5</v>
      </c>
      <c r="S102" s="65">
        <v>122.2</v>
      </c>
      <c r="T102" s="65">
        <v>123.6</v>
      </c>
      <c r="U102" s="65">
        <v>122</v>
      </c>
      <c r="V102" s="65">
        <v>123</v>
      </c>
      <c r="W102" s="65">
        <v>123</v>
      </c>
      <c r="X102" s="65">
        <v>123</v>
      </c>
      <c r="Y102" s="65">
        <v>123</v>
      </c>
      <c r="Z102" s="65">
        <v>121.6</v>
      </c>
      <c r="AA102" s="65">
        <v>123.1</v>
      </c>
      <c r="AB102" s="65">
        <v>126.3</v>
      </c>
      <c r="AC102" s="65">
        <v>126</v>
      </c>
      <c r="AD102" s="65"/>
      <c r="AE102" s="65">
        <v>126.4</v>
      </c>
      <c r="AF102" s="65">
        <v>124.5</v>
      </c>
      <c r="AG102" s="104"/>
      <c r="AH102" s="47">
        <f t="shared" si="8"/>
        <v>126.8</v>
      </c>
      <c r="AI102" s="48">
        <f t="shared" si="9"/>
        <v>119.5</v>
      </c>
    </row>
    <row r="103" spans="1:37" x14ac:dyDescent="0.25">
      <c r="A103" s="103" t="s">
        <v>109</v>
      </c>
      <c r="B103" s="65">
        <v>129.1</v>
      </c>
      <c r="C103" s="65">
        <v>130.30000000000001</v>
      </c>
      <c r="D103" s="65">
        <v>130.80000000000001</v>
      </c>
      <c r="E103" s="65">
        <v>130.69999999999999</v>
      </c>
      <c r="F103" s="65">
        <v>130.9</v>
      </c>
      <c r="G103" s="65">
        <v>130.6</v>
      </c>
      <c r="H103" s="65">
        <v>130</v>
      </c>
      <c r="I103" s="65">
        <v>129.5</v>
      </c>
      <c r="J103" s="65">
        <v>127.8</v>
      </c>
      <c r="K103" s="65">
        <v>127.5</v>
      </c>
      <c r="L103" s="65">
        <v>127</v>
      </c>
      <c r="M103" s="65">
        <v>126.7</v>
      </c>
      <c r="N103" s="65">
        <v>126.9</v>
      </c>
      <c r="O103" s="65">
        <v>127</v>
      </c>
      <c r="P103" s="65">
        <v>127</v>
      </c>
      <c r="Q103" s="65">
        <v>127</v>
      </c>
      <c r="R103" s="65">
        <v>124.4</v>
      </c>
      <c r="S103" s="65">
        <v>126.2</v>
      </c>
      <c r="T103" s="65">
        <v>127.5</v>
      </c>
      <c r="U103" s="65">
        <v>127.5</v>
      </c>
      <c r="V103" s="65">
        <v>127.3</v>
      </c>
      <c r="W103" s="65">
        <v>127.3</v>
      </c>
      <c r="X103" s="65">
        <v>127.3</v>
      </c>
      <c r="Y103" s="65">
        <v>127.3</v>
      </c>
      <c r="Z103" s="65">
        <v>125.7</v>
      </c>
      <c r="AA103" s="65">
        <v>126.8</v>
      </c>
      <c r="AB103" s="65">
        <v>129.69999999999999</v>
      </c>
      <c r="AC103" s="65">
        <v>130.1</v>
      </c>
      <c r="AD103" s="65"/>
      <c r="AE103" s="65">
        <v>130.30000000000001</v>
      </c>
      <c r="AF103" s="65">
        <v>128.9</v>
      </c>
      <c r="AG103" s="104"/>
      <c r="AH103" s="47">
        <f t="shared" si="8"/>
        <v>130.9</v>
      </c>
      <c r="AI103" s="48">
        <f t="shared" si="9"/>
        <v>124.4</v>
      </c>
    </row>
    <row r="104" spans="1:37" x14ac:dyDescent="0.25">
      <c r="A104" s="103" t="s">
        <v>110</v>
      </c>
      <c r="B104" s="65">
        <v>131</v>
      </c>
      <c r="C104" s="65">
        <v>131.6</v>
      </c>
      <c r="D104" s="65">
        <v>132.80000000000001</v>
      </c>
      <c r="E104" s="65">
        <v>133</v>
      </c>
      <c r="F104" s="65">
        <v>129.4</v>
      </c>
      <c r="G104" s="65">
        <v>129.30000000000001</v>
      </c>
      <c r="H104" s="65">
        <v>127.6</v>
      </c>
      <c r="I104" s="65">
        <v>127.3</v>
      </c>
      <c r="J104" s="65">
        <v>130.5</v>
      </c>
      <c r="K104" s="65">
        <v>127.8</v>
      </c>
      <c r="L104" s="65">
        <v>131</v>
      </c>
      <c r="M104" s="65">
        <v>132.5</v>
      </c>
      <c r="N104" s="65">
        <v>128.80000000000001</v>
      </c>
      <c r="O104" s="65">
        <v>125.6</v>
      </c>
      <c r="P104" s="65">
        <v>125.6</v>
      </c>
      <c r="Q104" s="65">
        <v>125.6</v>
      </c>
      <c r="R104" s="65">
        <v>127.2</v>
      </c>
      <c r="S104" s="65">
        <v>128.80000000000001</v>
      </c>
      <c r="T104" s="65">
        <v>127.9</v>
      </c>
      <c r="U104" s="65">
        <v>127.9</v>
      </c>
      <c r="V104" s="65">
        <v>130.19999999999999</v>
      </c>
      <c r="W104" s="65">
        <v>130.19999999999999</v>
      </c>
      <c r="X104" s="65">
        <v>130.19999999999999</v>
      </c>
      <c r="Y104" s="65">
        <v>130.19999999999999</v>
      </c>
      <c r="Z104" s="65">
        <v>125.5</v>
      </c>
      <c r="AA104" s="65">
        <v>127</v>
      </c>
      <c r="AB104" s="65">
        <v>129.80000000000001</v>
      </c>
      <c r="AC104" s="65">
        <v>129.5</v>
      </c>
      <c r="AD104" s="65"/>
      <c r="AE104" s="65">
        <v>129.4</v>
      </c>
      <c r="AF104" s="65">
        <v>128.4</v>
      </c>
      <c r="AG104" s="104"/>
      <c r="AH104" s="47">
        <f t="shared" si="8"/>
        <v>133</v>
      </c>
      <c r="AI104" s="48">
        <f t="shared" si="9"/>
        <v>125.5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130.80000000000001</v>
      </c>
      <c r="C106" s="106">
        <v>130.9</v>
      </c>
      <c r="D106" s="106">
        <v>130.9</v>
      </c>
      <c r="E106" s="106">
        <v>131.1</v>
      </c>
      <c r="F106" s="106">
        <v>135.19999999999999</v>
      </c>
      <c r="G106" s="106">
        <v>135.19999999999999</v>
      </c>
      <c r="H106" s="106">
        <v>131</v>
      </c>
      <c r="I106" s="106">
        <v>132.80000000000001</v>
      </c>
      <c r="J106" s="106">
        <v>132.6</v>
      </c>
      <c r="K106" s="106">
        <v>134.80000000000001</v>
      </c>
      <c r="L106" s="106">
        <v>132.30000000000001</v>
      </c>
      <c r="M106" s="106">
        <v>131.69999999999999</v>
      </c>
      <c r="N106" s="106">
        <v>134.1</v>
      </c>
      <c r="O106" s="106">
        <v>134.4</v>
      </c>
      <c r="P106" s="106">
        <v>134.4</v>
      </c>
      <c r="Q106" s="106">
        <v>134.4</v>
      </c>
      <c r="R106" s="106">
        <v>129.5</v>
      </c>
      <c r="S106" s="106">
        <v>129.69999999999999</v>
      </c>
      <c r="T106" s="106">
        <v>133.80000000000001</v>
      </c>
      <c r="U106" s="106">
        <v>133.80000000000001</v>
      </c>
      <c r="V106" s="106">
        <v>132.1</v>
      </c>
      <c r="W106" s="106">
        <v>132.1</v>
      </c>
      <c r="X106" s="106">
        <v>132.1</v>
      </c>
      <c r="Y106" s="106">
        <v>132.1</v>
      </c>
      <c r="Z106" s="106">
        <v>130.30000000000001</v>
      </c>
      <c r="AA106" s="106">
        <v>133.69999999999999</v>
      </c>
      <c r="AB106" s="106">
        <v>134.19999999999999</v>
      </c>
      <c r="AC106" s="106">
        <v>134.1</v>
      </c>
      <c r="AD106" s="106"/>
      <c r="AE106" s="106">
        <v>132</v>
      </c>
      <c r="AF106" s="106">
        <v>128.9</v>
      </c>
      <c r="AG106" s="107"/>
      <c r="AH106" s="47">
        <f t="shared" si="8"/>
        <v>135.19999999999999</v>
      </c>
      <c r="AI106" s="48">
        <f t="shared" si="9"/>
        <v>128.9</v>
      </c>
    </row>
    <row r="107" spans="1:37" x14ac:dyDescent="0.25">
      <c r="A107" s="103" t="s">
        <v>113</v>
      </c>
      <c r="B107" s="65">
        <v>132.19999999999999</v>
      </c>
      <c r="C107" s="65">
        <v>128.6</v>
      </c>
      <c r="D107" s="65">
        <v>134</v>
      </c>
      <c r="E107" s="65">
        <v>129.30000000000001</v>
      </c>
      <c r="F107" s="65">
        <v>136.9</v>
      </c>
      <c r="G107" s="65">
        <v>135.6</v>
      </c>
      <c r="H107" s="65">
        <v>134.5</v>
      </c>
      <c r="I107" s="65">
        <v>135.19999999999999</v>
      </c>
      <c r="J107" s="65">
        <v>134.1</v>
      </c>
      <c r="K107" s="65">
        <v>132.5</v>
      </c>
      <c r="L107" s="65">
        <v>128.69999999999999</v>
      </c>
      <c r="M107" s="65">
        <v>129.19999999999999</v>
      </c>
      <c r="N107" s="65">
        <v>129</v>
      </c>
      <c r="O107" s="65">
        <v>132</v>
      </c>
      <c r="P107" s="65">
        <v>132</v>
      </c>
      <c r="Q107" s="65">
        <v>132</v>
      </c>
      <c r="R107" s="65">
        <v>126.7</v>
      </c>
      <c r="S107" s="65">
        <v>132.80000000000001</v>
      </c>
      <c r="T107" s="65">
        <v>130.5</v>
      </c>
      <c r="U107" s="65">
        <v>130.5</v>
      </c>
      <c r="V107" s="65">
        <v>127.8</v>
      </c>
      <c r="W107" s="65">
        <v>127.8</v>
      </c>
      <c r="X107" s="65">
        <v>127.8</v>
      </c>
      <c r="Y107" s="65">
        <v>127.8</v>
      </c>
      <c r="Z107" s="65">
        <v>129.1</v>
      </c>
      <c r="AA107" s="65">
        <v>127.1</v>
      </c>
      <c r="AB107" s="65">
        <v>135.30000000000001</v>
      </c>
      <c r="AC107" s="65">
        <v>135.30000000000001</v>
      </c>
      <c r="AD107" s="65"/>
      <c r="AE107" s="65">
        <v>134</v>
      </c>
      <c r="AF107" s="65">
        <v>130.6</v>
      </c>
      <c r="AG107" s="104"/>
      <c r="AH107" s="47">
        <f t="shared" si="8"/>
        <v>136.9</v>
      </c>
      <c r="AI107" s="48">
        <f t="shared" si="9"/>
        <v>126.7</v>
      </c>
    </row>
    <row r="108" spans="1:37" ht="15.75" thickBot="1" x14ac:dyDescent="0.3">
      <c r="A108" s="103" t="s">
        <v>114</v>
      </c>
      <c r="B108" s="92">
        <v>64.8</v>
      </c>
      <c r="C108" s="92">
        <v>65.5</v>
      </c>
      <c r="D108" s="92">
        <v>65.7</v>
      </c>
      <c r="E108" s="92">
        <v>65.599999999999994</v>
      </c>
      <c r="F108" s="92">
        <v>65.8</v>
      </c>
      <c r="G108" s="92">
        <v>65.3</v>
      </c>
      <c r="H108" s="92">
        <v>65.599999999999994</v>
      </c>
      <c r="I108" s="92">
        <v>65.400000000000006</v>
      </c>
      <c r="J108" s="92">
        <v>64.2</v>
      </c>
      <c r="K108" s="92">
        <v>64.2</v>
      </c>
      <c r="L108" s="92">
        <v>63.9</v>
      </c>
      <c r="M108" s="92">
        <v>63.7</v>
      </c>
      <c r="N108" s="92">
        <v>63.8</v>
      </c>
      <c r="O108" s="92">
        <v>63.6</v>
      </c>
      <c r="P108" s="92">
        <v>63.6</v>
      </c>
      <c r="Q108" s="92">
        <v>63.6</v>
      </c>
      <c r="R108" s="92">
        <v>62.7</v>
      </c>
      <c r="S108" s="92">
        <v>63.1</v>
      </c>
      <c r="T108" s="92">
        <v>63.5</v>
      </c>
      <c r="U108" s="92">
        <v>63.5</v>
      </c>
      <c r="V108" s="92">
        <v>64</v>
      </c>
      <c r="W108" s="92">
        <v>64</v>
      </c>
      <c r="X108" s="92">
        <v>64</v>
      </c>
      <c r="Y108" s="92">
        <v>64</v>
      </c>
      <c r="Z108" s="92">
        <v>63.3</v>
      </c>
      <c r="AA108" s="92">
        <v>63.8</v>
      </c>
      <c r="AB108" s="92">
        <v>65.2</v>
      </c>
      <c r="AC108" s="92">
        <v>65.2</v>
      </c>
      <c r="AD108" s="92"/>
      <c r="AE108" s="92">
        <v>65.8</v>
      </c>
      <c r="AF108" s="92">
        <v>64.7</v>
      </c>
      <c r="AG108" s="108"/>
      <c r="AH108" s="47">
        <f t="shared" si="8"/>
        <v>65.8</v>
      </c>
      <c r="AI108" s="48">
        <f t="shared" si="9"/>
        <v>62.7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 t="shared" ref="B110:O110" si="15">SUM(B20,B26,B29:B30,B58,B60:B61,B63,B65,B111:B115,B138,B144,B150,B159,B161,B173,B180,B183:B184,B191,B193,B195,B199:B201,B203:B205,B210,B216:B217,B219:B221,B229,B234)</f>
        <v>71.099999999999994</v>
      </c>
      <c r="C110" s="111">
        <f t="shared" si="15"/>
        <v>75.84</v>
      </c>
      <c r="D110" s="111">
        <f t="shared" si="15"/>
        <v>88.539999999999992</v>
      </c>
      <c r="E110" s="111">
        <f t="shared" si="15"/>
        <v>74.040000000000006</v>
      </c>
      <c r="F110" s="111">
        <f t="shared" si="15"/>
        <v>72.94</v>
      </c>
      <c r="G110" s="111">
        <f t="shared" si="15"/>
        <v>110.24</v>
      </c>
      <c r="H110" s="111">
        <f t="shared" si="15"/>
        <v>112.24</v>
      </c>
      <c r="I110" s="111">
        <f t="shared" si="15"/>
        <v>191.14</v>
      </c>
      <c r="J110" s="111">
        <f t="shared" si="15"/>
        <v>228.84000000000003</v>
      </c>
      <c r="K110" s="111">
        <f t="shared" si="15"/>
        <v>245.23999999999995</v>
      </c>
      <c r="L110" s="111">
        <f t="shared" si="15"/>
        <v>268.54000000000002</v>
      </c>
      <c r="M110" s="111">
        <f t="shared" si="15"/>
        <v>267.03999999999996</v>
      </c>
      <c r="N110" s="111">
        <f t="shared" si="15"/>
        <v>254.73999999999998</v>
      </c>
      <c r="O110" s="111">
        <f t="shared" si="15"/>
        <v>263.04000000000002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262.10000000000002</v>
      </c>
      <c r="R110" s="111">
        <f t="shared" si="16"/>
        <v>228</v>
      </c>
      <c r="S110" s="111">
        <f t="shared" si="16"/>
        <v>214.2</v>
      </c>
      <c r="T110" s="111">
        <f t="shared" si="16"/>
        <v>226.99999999999997</v>
      </c>
      <c r="U110" s="111">
        <f t="shared" si="16"/>
        <v>231.2</v>
      </c>
      <c r="V110" s="111">
        <f t="shared" si="16"/>
        <v>222.99999999999997</v>
      </c>
      <c r="W110" s="111">
        <f t="shared" si="16"/>
        <v>215.89999999999998</v>
      </c>
      <c r="X110" s="111">
        <f t="shared" si="16"/>
        <v>225.89999999999998</v>
      </c>
      <c r="Y110" s="111">
        <f t="shared" si="16"/>
        <v>253.29999999999998</v>
      </c>
      <c r="Z110" s="111">
        <f t="shared" si="16"/>
        <v>300.29999999999995</v>
      </c>
      <c r="AA110" s="111">
        <f t="shared" si="16"/>
        <v>342.5</v>
      </c>
      <c r="AB110" s="111">
        <f t="shared" si="16"/>
        <v>285.70000000000005</v>
      </c>
      <c r="AC110" s="111">
        <f t="shared" si="16"/>
        <v>285.70000000000005</v>
      </c>
      <c r="AD110" s="111"/>
      <c r="AE110" s="111">
        <f t="shared" si="16"/>
        <v>164.4</v>
      </c>
      <c r="AF110" s="111">
        <f t="shared" si="16"/>
        <v>135.4</v>
      </c>
      <c r="AG110" s="112"/>
      <c r="AH110" s="47">
        <f t="shared" si="8"/>
        <v>342.5</v>
      </c>
      <c r="AI110" s="48">
        <f t="shared" si="9"/>
        <v>42</v>
      </c>
    </row>
    <row r="111" spans="1:37" x14ac:dyDescent="0.25">
      <c r="A111" s="100" t="s">
        <v>117</v>
      </c>
      <c r="B111" s="113">
        <v>13.3</v>
      </c>
      <c r="C111" s="113">
        <v>16.600000000000001</v>
      </c>
      <c r="D111" s="113">
        <v>16.600000000000001</v>
      </c>
      <c r="E111" s="113">
        <v>13.3</v>
      </c>
      <c r="F111" s="113">
        <v>20</v>
      </c>
      <c r="G111" s="113">
        <v>25.9</v>
      </c>
      <c r="H111" s="113">
        <v>25.9</v>
      </c>
      <c r="I111" s="113">
        <v>29.3</v>
      </c>
      <c r="J111" s="113">
        <v>28.8</v>
      </c>
      <c r="K111" s="113">
        <v>30.2</v>
      </c>
      <c r="L111" s="113">
        <v>39.5</v>
      </c>
      <c r="M111" s="113">
        <v>37.799999999999997</v>
      </c>
      <c r="N111" s="113">
        <v>45</v>
      </c>
      <c r="O111" s="113">
        <v>43</v>
      </c>
      <c r="P111" s="113">
        <v>43</v>
      </c>
      <c r="Q111" s="113">
        <v>43</v>
      </c>
      <c r="R111" s="113">
        <v>44.5</v>
      </c>
      <c r="S111" s="113">
        <v>35.700000000000003</v>
      </c>
      <c r="T111" s="113">
        <v>31.5</v>
      </c>
      <c r="U111" s="113">
        <v>35.4</v>
      </c>
      <c r="V111" s="113">
        <v>43.9</v>
      </c>
      <c r="W111" s="113">
        <v>43.9</v>
      </c>
      <c r="X111" s="113">
        <v>43.9</v>
      </c>
      <c r="Y111" s="113">
        <v>54</v>
      </c>
      <c r="Z111" s="113">
        <v>60.9</v>
      </c>
      <c r="AA111" s="113">
        <v>65.5</v>
      </c>
      <c r="AB111" s="113">
        <v>55.2</v>
      </c>
      <c r="AC111" s="113">
        <v>55.2</v>
      </c>
      <c r="AD111" s="113"/>
      <c r="AE111" s="113">
        <v>41</v>
      </c>
      <c r="AF111" s="113"/>
      <c r="AG111" s="114">
        <v>75</v>
      </c>
      <c r="AH111" s="47">
        <f t="shared" si="8"/>
        <v>65.5</v>
      </c>
      <c r="AI111" s="48">
        <f t="shared" si="9"/>
        <v>13.3</v>
      </c>
    </row>
    <row r="112" spans="1:37" x14ac:dyDescent="0.25">
      <c r="A112" s="103" t="s">
        <v>118</v>
      </c>
      <c r="B112" s="115">
        <v>23.6</v>
      </c>
      <c r="C112" s="115">
        <v>27.9</v>
      </c>
      <c r="D112" s="115">
        <v>28.7</v>
      </c>
      <c r="E112" s="115">
        <v>24.1</v>
      </c>
      <c r="F112" s="115">
        <v>30.4</v>
      </c>
      <c r="G112" s="115">
        <v>36</v>
      </c>
      <c r="H112" s="115">
        <v>38</v>
      </c>
      <c r="I112" s="115">
        <v>42.5</v>
      </c>
      <c r="J112" s="115">
        <v>41.2</v>
      </c>
      <c r="K112" s="115">
        <v>44.1</v>
      </c>
      <c r="L112" s="115">
        <v>55.4</v>
      </c>
      <c r="M112" s="115">
        <v>51.2</v>
      </c>
      <c r="N112" s="115">
        <v>62.1</v>
      </c>
      <c r="O112" s="115">
        <v>60.7</v>
      </c>
      <c r="P112" s="115">
        <v>60.7</v>
      </c>
      <c r="Q112" s="115">
        <v>60.7</v>
      </c>
      <c r="R112" s="115">
        <v>63.4</v>
      </c>
      <c r="S112" s="115">
        <v>52.9</v>
      </c>
      <c r="T112" s="115">
        <v>47.1</v>
      </c>
      <c r="U112" s="115">
        <v>50.6</v>
      </c>
      <c r="V112" s="115">
        <v>58.1</v>
      </c>
      <c r="W112" s="115">
        <v>58.1</v>
      </c>
      <c r="X112" s="115">
        <v>58.1</v>
      </c>
      <c r="Y112" s="115">
        <v>72</v>
      </c>
      <c r="Z112" s="115">
        <v>81.5</v>
      </c>
      <c r="AA112" s="115">
        <v>91.9</v>
      </c>
      <c r="AB112" s="115">
        <v>80</v>
      </c>
      <c r="AC112" s="115">
        <v>80</v>
      </c>
      <c r="AD112" s="115"/>
      <c r="AE112" s="115">
        <v>60</v>
      </c>
      <c r="AF112" s="115"/>
      <c r="AG112" s="114">
        <v>240</v>
      </c>
      <c r="AH112" s="47">
        <f t="shared" si="8"/>
        <v>91.9</v>
      </c>
      <c r="AI112" s="48">
        <f t="shared" si="9"/>
        <v>23.6</v>
      </c>
    </row>
    <row r="113" spans="1:37" x14ac:dyDescent="0.25">
      <c r="A113" s="103" t="s">
        <v>119</v>
      </c>
      <c r="B113" s="115">
        <f>-40.7-44.3</f>
        <v>-85</v>
      </c>
      <c r="C113" s="115">
        <f>-42.6-46.7</f>
        <v>-89.300000000000011</v>
      </c>
      <c r="D113" s="115">
        <f>-37.9-41.1</f>
        <v>-79</v>
      </c>
      <c r="E113" s="115">
        <v>-74</v>
      </c>
      <c r="F113" s="115">
        <v>-84</v>
      </c>
      <c r="G113" s="115">
        <v>-61</v>
      </c>
      <c r="H113" s="115">
        <v>-61</v>
      </c>
      <c r="I113" s="115">
        <v>-64</v>
      </c>
      <c r="J113" s="115">
        <v>-48</v>
      </c>
      <c r="K113" s="115">
        <v>-42.9</v>
      </c>
      <c r="L113" s="115">
        <v>-48</v>
      </c>
      <c r="M113" s="115">
        <v>-47</v>
      </c>
      <c r="N113" s="115">
        <v>-60</v>
      </c>
      <c r="O113" s="115">
        <v>-53</v>
      </c>
      <c r="P113" s="115">
        <v>-53</v>
      </c>
      <c r="Q113" s="115">
        <v>-53</v>
      </c>
      <c r="R113" s="115">
        <v>-67</v>
      </c>
      <c r="S113" s="115">
        <v>-62.1</v>
      </c>
      <c r="T113" s="115">
        <v>-54.7</v>
      </c>
      <c r="U113" s="115">
        <v>-62.6</v>
      </c>
      <c r="V113" s="115">
        <v>-68.900000000000006</v>
      </c>
      <c r="W113" s="115">
        <v>-72</v>
      </c>
      <c r="X113" s="115">
        <v>-62</v>
      </c>
      <c r="Y113" s="115">
        <v>-58</v>
      </c>
      <c r="Z113" s="115">
        <v>-54.3</v>
      </c>
      <c r="AA113" s="115">
        <v>-62</v>
      </c>
      <c r="AB113" s="115">
        <v>-65</v>
      </c>
      <c r="AC113" s="115">
        <v>-65</v>
      </c>
      <c r="AD113" s="115"/>
      <c r="AE113" s="115">
        <v>-70</v>
      </c>
      <c r="AF113" s="115"/>
      <c r="AG113" s="114">
        <v>240</v>
      </c>
      <c r="AH113" s="47">
        <f t="shared" si="8"/>
        <v>-42.9</v>
      </c>
      <c r="AI113" s="48">
        <f t="shared" si="9"/>
        <v>-89.300000000000011</v>
      </c>
    </row>
    <row r="114" spans="1:37" x14ac:dyDescent="0.25">
      <c r="A114" s="103" t="s">
        <v>120</v>
      </c>
      <c r="B114" s="115">
        <v>-7.9</v>
      </c>
      <c r="C114" s="115">
        <v>-8.1</v>
      </c>
      <c r="D114" s="115">
        <v>-6.6</v>
      </c>
      <c r="E114" s="115">
        <v>-8.3000000000000007</v>
      </c>
      <c r="F114" s="115">
        <v>-12.4</v>
      </c>
      <c r="G114" s="115">
        <v>-7.7</v>
      </c>
      <c r="H114" s="115">
        <v>-7.7</v>
      </c>
      <c r="I114" s="115">
        <v>-4</v>
      </c>
      <c r="J114" s="115">
        <v>-2.9</v>
      </c>
      <c r="K114" s="115">
        <v>1.6</v>
      </c>
      <c r="L114" s="115">
        <v>3</v>
      </c>
      <c r="M114" s="115">
        <v>0</v>
      </c>
      <c r="N114" s="115">
        <v>3.1</v>
      </c>
      <c r="O114" s="115">
        <v>-0.8</v>
      </c>
      <c r="P114" s="115">
        <v>-0.8</v>
      </c>
      <c r="Q114" s="115">
        <v>-0.8</v>
      </c>
      <c r="R114" s="115">
        <v>0.9</v>
      </c>
      <c r="S114" s="115">
        <v>-5.8</v>
      </c>
      <c r="T114" s="115">
        <v>-1.8</v>
      </c>
      <c r="U114" s="115">
        <v>-3.7</v>
      </c>
      <c r="V114" s="115">
        <v>-2.6</v>
      </c>
      <c r="W114" s="115">
        <v>-2.6</v>
      </c>
      <c r="X114" s="115">
        <v>-2.6</v>
      </c>
      <c r="Y114" s="115">
        <v>2</v>
      </c>
      <c r="Z114" s="115">
        <v>3.7</v>
      </c>
      <c r="AA114" s="115">
        <v>11.2</v>
      </c>
      <c r="AB114" s="115">
        <v>-0.6</v>
      </c>
      <c r="AC114" s="115">
        <v>-0.6</v>
      </c>
      <c r="AD114" s="115"/>
      <c r="AE114" s="115">
        <v>-2</v>
      </c>
      <c r="AF114" s="115"/>
      <c r="AG114" s="114">
        <v>60</v>
      </c>
      <c r="AH114" s="47">
        <f t="shared" si="8"/>
        <v>11.2</v>
      </c>
      <c r="AI114" s="48">
        <f t="shared" si="9"/>
        <v>-12.4</v>
      </c>
    </row>
    <row r="115" spans="1:37" x14ac:dyDescent="0.25">
      <c r="A115" s="116" t="s">
        <v>121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70.3</v>
      </c>
      <c r="J115" s="117">
        <v>92.7</v>
      </c>
      <c r="K115" s="117">
        <v>95.2</v>
      </c>
      <c r="L115" s="117">
        <v>98.9</v>
      </c>
      <c r="M115" s="117">
        <v>103.7</v>
      </c>
      <c r="N115" s="117">
        <v>80</v>
      </c>
      <c r="O115" s="117">
        <v>88.6</v>
      </c>
      <c r="P115" s="117">
        <v>88.6</v>
      </c>
      <c r="Q115" s="117">
        <v>88.6</v>
      </c>
      <c r="R115" s="117">
        <v>71.599999999999994</v>
      </c>
      <c r="S115" s="117">
        <v>71.599999999999994</v>
      </c>
      <c r="T115" s="117">
        <v>82.6</v>
      </c>
      <c r="U115" s="117">
        <v>89.7</v>
      </c>
      <c r="V115" s="117">
        <v>74.099999999999994</v>
      </c>
      <c r="W115" s="117">
        <v>74.099999999999994</v>
      </c>
      <c r="X115" s="117">
        <v>74.099999999999994</v>
      </c>
      <c r="Y115" s="117">
        <v>68.900000000000006</v>
      </c>
      <c r="Z115" s="117">
        <v>93.9</v>
      </c>
      <c r="AA115" s="117">
        <v>89.2</v>
      </c>
      <c r="AB115" s="117">
        <v>69.400000000000006</v>
      </c>
      <c r="AC115" s="117">
        <v>69.400000000000006</v>
      </c>
      <c r="AD115" s="117"/>
      <c r="AE115" s="117">
        <v>0</v>
      </c>
      <c r="AF115" s="117"/>
      <c r="AG115" s="118">
        <v>120</v>
      </c>
      <c r="AH115" s="47">
        <f t="shared" si="8"/>
        <v>103.7</v>
      </c>
      <c r="AI115" s="48">
        <f t="shared" si="9"/>
        <v>0</v>
      </c>
    </row>
    <row r="116" spans="1:37" x14ac:dyDescent="0.25">
      <c r="A116" s="116" t="s">
        <v>122</v>
      </c>
      <c r="B116" s="117">
        <v>93.8</v>
      </c>
      <c r="C116" s="117">
        <v>88.9</v>
      </c>
      <c r="D116" s="117">
        <v>83.7</v>
      </c>
      <c r="E116" s="117">
        <v>89.5</v>
      </c>
      <c r="F116" s="117">
        <v>77.099999999999994</v>
      </c>
      <c r="G116" s="117">
        <v>79.5</v>
      </c>
      <c r="H116" s="117">
        <v>79.5</v>
      </c>
      <c r="I116" s="117">
        <v>72.099999999999994</v>
      </c>
      <c r="J116" s="117">
        <v>79.599999999999994</v>
      </c>
      <c r="K116" s="117">
        <v>79.3</v>
      </c>
      <c r="L116" s="117">
        <v>91</v>
      </c>
      <c r="M116" s="117">
        <v>96</v>
      </c>
      <c r="N116" s="117">
        <v>78</v>
      </c>
      <c r="O116" s="117">
        <v>77.099999999999994</v>
      </c>
      <c r="P116" s="117">
        <v>77.099999999999994</v>
      </c>
      <c r="Q116" s="117">
        <v>77.099999999999994</v>
      </c>
      <c r="R116" s="117">
        <v>74</v>
      </c>
      <c r="S116" s="117">
        <v>72.099999999999994</v>
      </c>
      <c r="T116" s="117">
        <v>81.599999999999994</v>
      </c>
      <c r="U116" s="117">
        <v>90.5</v>
      </c>
      <c r="V116" s="117">
        <v>77.5</v>
      </c>
      <c r="W116" s="117">
        <v>72</v>
      </c>
      <c r="X116" s="117">
        <v>77.5</v>
      </c>
      <c r="Y116" s="117">
        <v>72.2</v>
      </c>
      <c r="Z116" s="117">
        <v>93</v>
      </c>
      <c r="AA116" s="117">
        <v>82</v>
      </c>
      <c r="AB116" s="117">
        <v>62</v>
      </c>
      <c r="AC116" s="117">
        <v>62</v>
      </c>
      <c r="AD116" s="117"/>
      <c r="AE116" s="117">
        <v>55</v>
      </c>
      <c r="AF116" s="117"/>
      <c r="AG116" s="118"/>
      <c r="AH116" s="47">
        <f t="shared" si="8"/>
        <v>96</v>
      </c>
      <c r="AI116" s="48">
        <f t="shared" si="9"/>
        <v>55</v>
      </c>
    </row>
    <row r="117" spans="1:37" x14ac:dyDescent="0.25">
      <c r="A117" s="116" t="s">
        <v>123</v>
      </c>
      <c r="B117" s="117">
        <v>41.6</v>
      </c>
      <c r="C117" s="117">
        <v>35.200000000000003</v>
      </c>
      <c r="D117" s="117">
        <v>43</v>
      </c>
      <c r="E117" s="117">
        <v>47.5</v>
      </c>
      <c r="F117" s="117">
        <v>19.2</v>
      </c>
      <c r="G117" s="117">
        <v>10.8</v>
      </c>
      <c r="H117" s="117">
        <v>10.8</v>
      </c>
      <c r="I117" s="117">
        <v>-9.5</v>
      </c>
      <c r="J117" s="117">
        <v>-4.3</v>
      </c>
      <c r="K117" s="117">
        <v>-10.7</v>
      </c>
      <c r="L117" s="117">
        <v>-20.8</v>
      </c>
      <c r="M117" s="117">
        <v>-11.9</v>
      </c>
      <c r="N117" s="117">
        <v>-24.1</v>
      </c>
      <c r="O117" s="117">
        <v>-18.8</v>
      </c>
      <c r="P117" s="117">
        <v>-18.8</v>
      </c>
      <c r="Q117" s="117">
        <v>-18.8</v>
      </c>
      <c r="R117" s="117">
        <v>-22</v>
      </c>
      <c r="S117" s="117">
        <v>-8.5</v>
      </c>
      <c r="T117" s="117">
        <v>4</v>
      </c>
      <c r="U117" s="117">
        <v>-1.5</v>
      </c>
      <c r="V117" s="117">
        <v>3.6</v>
      </c>
      <c r="W117" s="117">
        <v>3.6</v>
      </c>
      <c r="X117" s="117">
        <v>3.6</v>
      </c>
      <c r="Y117" s="117">
        <v>-26.1</v>
      </c>
      <c r="Z117" s="117">
        <v>-15.6</v>
      </c>
      <c r="AA117" s="117">
        <v>3.4</v>
      </c>
      <c r="AB117" s="117">
        <v>15</v>
      </c>
      <c r="AC117" s="117">
        <v>15</v>
      </c>
      <c r="AD117" s="117"/>
      <c r="AE117" s="117">
        <v>2</v>
      </c>
      <c r="AF117" s="117"/>
      <c r="AG117" s="119"/>
      <c r="AH117" s="47">
        <f t="shared" si="8"/>
        <v>47.5</v>
      </c>
      <c r="AI117" s="48">
        <f t="shared" si="9"/>
        <v>-26.1</v>
      </c>
    </row>
    <row r="118" spans="1:37" x14ac:dyDescent="0.25">
      <c r="A118" s="120" t="s">
        <v>124</v>
      </c>
      <c r="B118" s="106">
        <v>60</v>
      </c>
      <c r="C118" s="106">
        <v>60</v>
      </c>
      <c r="D118" s="106">
        <v>64.099999999999994</v>
      </c>
      <c r="E118" s="106">
        <v>63.5</v>
      </c>
      <c r="F118" s="106">
        <v>68.400000000000006</v>
      </c>
      <c r="G118" s="106">
        <v>64</v>
      </c>
      <c r="H118" s="106">
        <v>61</v>
      </c>
      <c r="I118" s="106">
        <v>60.3</v>
      </c>
      <c r="J118" s="106">
        <v>59.3</v>
      </c>
      <c r="K118" s="106">
        <v>57</v>
      </c>
      <c r="L118" s="106">
        <v>45.3</v>
      </c>
      <c r="M118" s="106">
        <v>44.7</v>
      </c>
      <c r="N118" s="106">
        <v>38</v>
      </c>
      <c r="O118" s="106">
        <v>26.8</v>
      </c>
      <c r="P118" s="106">
        <v>26.8</v>
      </c>
      <c r="Q118" s="106">
        <v>26.8</v>
      </c>
      <c r="R118" s="106">
        <v>17.3</v>
      </c>
      <c r="S118" s="106">
        <v>8.1</v>
      </c>
      <c r="T118" s="106">
        <v>5.0999999999999996</v>
      </c>
      <c r="U118" s="106">
        <v>3.9</v>
      </c>
      <c r="V118" s="106">
        <v>4.7</v>
      </c>
      <c r="W118" s="106">
        <v>4.7</v>
      </c>
      <c r="X118" s="106">
        <v>4.7</v>
      </c>
      <c r="Y118" s="106">
        <v>0</v>
      </c>
      <c r="Z118" s="106">
        <v>-10</v>
      </c>
      <c r="AA118" s="106">
        <v>8.6999999999999993</v>
      </c>
      <c r="AB118" s="106">
        <v>0</v>
      </c>
      <c r="AC118" s="106">
        <v>0</v>
      </c>
      <c r="AD118" s="106"/>
      <c r="AE118" s="106">
        <v>5</v>
      </c>
      <c r="AF118" s="106"/>
      <c r="AG118" s="119"/>
      <c r="AH118" s="47">
        <f t="shared" si="8"/>
        <v>68.400000000000006</v>
      </c>
      <c r="AI118" s="48">
        <f t="shared" si="9"/>
        <v>-10</v>
      </c>
    </row>
    <row r="119" spans="1:37" x14ac:dyDescent="0.25">
      <c r="A119" s="175" t="s">
        <v>265</v>
      </c>
      <c r="B119" s="106">
        <v>88.7</v>
      </c>
      <c r="C119" s="106">
        <v>111</v>
      </c>
      <c r="D119" s="106">
        <v>89.7</v>
      </c>
      <c r="E119" s="106">
        <v>60.5</v>
      </c>
      <c r="F119" s="106">
        <v>85.3</v>
      </c>
      <c r="G119" s="106">
        <v>62.5</v>
      </c>
      <c r="H119" s="106">
        <v>62.5</v>
      </c>
      <c r="I119" s="106">
        <v>71.900000000000006</v>
      </c>
      <c r="J119" s="106">
        <v>44.2</v>
      </c>
      <c r="K119" s="106">
        <v>37.4</v>
      </c>
      <c r="L119" s="106">
        <v>50.2</v>
      </c>
      <c r="M119" s="106">
        <v>44.5</v>
      </c>
      <c r="N119" s="106">
        <v>76.7</v>
      </c>
      <c r="O119" s="106">
        <v>75.5</v>
      </c>
      <c r="P119" s="106">
        <v>75.5</v>
      </c>
      <c r="Q119" s="106">
        <v>75.5</v>
      </c>
      <c r="R119" s="106">
        <v>85.3</v>
      </c>
      <c r="S119" s="106">
        <v>65.599999999999994</v>
      </c>
      <c r="T119" s="106">
        <v>54.9</v>
      </c>
      <c r="U119" s="106">
        <v>69</v>
      </c>
      <c r="V119" s="106">
        <v>83.5</v>
      </c>
      <c r="W119" s="106">
        <v>83.5</v>
      </c>
      <c r="X119" s="106">
        <v>83.5</v>
      </c>
      <c r="Y119" s="106">
        <v>81</v>
      </c>
      <c r="Z119" s="106">
        <v>80</v>
      </c>
      <c r="AA119" s="106">
        <v>87.6</v>
      </c>
      <c r="AB119" s="106">
        <v>80</v>
      </c>
      <c r="AC119" s="106">
        <v>80</v>
      </c>
      <c r="AD119" s="106"/>
      <c r="AE119" s="106">
        <v>89</v>
      </c>
      <c r="AF119" s="106"/>
      <c r="AG119" s="119"/>
      <c r="AH119" s="47">
        <f t="shared" si="8"/>
        <v>111</v>
      </c>
      <c r="AI119" s="48">
        <f t="shared" si="9"/>
        <v>37.4</v>
      </c>
    </row>
    <row r="120" spans="1:37" ht="15.75" thickBot="1" x14ac:dyDescent="0.3">
      <c r="A120" s="120" t="s">
        <v>125</v>
      </c>
      <c r="B120" s="106">
        <v>2.2999999999999998</v>
      </c>
      <c r="C120" s="106">
        <v>-1.8</v>
      </c>
      <c r="D120" s="106">
        <v>-2.9</v>
      </c>
      <c r="E120" s="106">
        <v>-2.9</v>
      </c>
      <c r="F120" s="106">
        <v>-4.4000000000000004</v>
      </c>
      <c r="G120" s="106">
        <v>2.9</v>
      </c>
      <c r="H120" s="106">
        <v>2.9</v>
      </c>
      <c r="I120" s="106">
        <v>9.1999999999999993</v>
      </c>
      <c r="J120" s="106">
        <v>12.4</v>
      </c>
      <c r="K120" s="106">
        <v>15.2</v>
      </c>
      <c r="L120" s="106">
        <v>18.399999999999999</v>
      </c>
      <c r="M120" s="106">
        <v>17.600000000000001</v>
      </c>
      <c r="N120" s="106">
        <v>37.200000000000003</v>
      </c>
      <c r="O120" s="106">
        <v>53.2</v>
      </c>
      <c r="P120" s="106">
        <v>53.2</v>
      </c>
      <c r="Q120" s="106">
        <v>53.2</v>
      </c>
      <c r="R120" s="106">
        <v>60.2</v>
      </c>
      <c r="S120" s="106">
        <v>69</v>
      </c>
      <c r="T120" s="106">
        <v>57</v>
      </c>
      <c r="U120" s="106">
        <v>63.4</v>
      </c>
      <c r="V120" s="106">
        <v>61.4</v>
      </c>
      <c r="W120" s="106">
        <v>61.4</v>
      </c>
      <c r="X120" s="106">
        <v>62</v>
      </c>
      <c r="Y120" s="106">
        <v>67.2</v>
      </c>
      <c r="Z120" s="106">
        <v>88.8</v>
      </c>
      <c r="AA120" s="106"/>
      <c r="AB120" s="106">
        <v>90</v>
      </c>
      <c r="AC120" s="106">
        <v>90</v>
      </c>
      <c r="AD120" s="106"/>
      <c r="AE120" s="106">
        <v>85</v>
      </c>
      <c r="AF120" s="106"/>
      <c r="AG120" s="119"/>
      <c r="AH120" s="47">
        <f t="shared" si="8"/>
        <v>90</v>
      </c>
      <c r="AI120" s="48">
        <f t="shared" si="9"/>
        <v>-4.4000000000000004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119.19900000000008</v>
      </c>
      <c r="N231" s="128">
        <f t="shared" ca="1" si="19"/>
        <v>119.19900000000008</v>
      </c>
      <c r="O231" s="128">
        <f t="shared" ca="1" si="19"/>
        <v>119.19900000000008</v>
      </c>
      <c r="P231" s="128">
        <f t="shared" ca="1" si="19"/>
        <v>107.13900000000005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125.2590000000001</v>
      </c>
      <c r="M235" s="136">
        <f t="shared" ca="1" si="20"/>
        <v>121.23900000000009</v>
      </c>
      <c r="N235" s="136">
        <f t="shared" ca="1" si="20"/>
        <v>121.23900000000009</v>
      </c>
      <c r="O235" s="136">
        <f t="shared" ca="1" si="20"/>
        <v>121.23900000000009</v>
      </c>
      <c r="P235" s="136">
        <f t="shared" ca="1" si="20"/>
        <v>105.15900000000005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1421.64</v>
      </c>
      <c r="C244" s="161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12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2080/02/12)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2080/02/12)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1264.94</v>
      </c>
      <c r="U249" s="170">
        <f t="shared" si="21"/>
        <v>1230.1400000000001</v>
      </c>
      <c r="V249" s="170">
        <f t="shared" si="21"/>
        <v>1244.1400000000001</v>
      </c>
      <c r="W249" s="170">
        <f t="shared" si="21"/>
        <v>1177.04</v>
      </c>
      <c r="X249" s="170">
        <f t="shared" si="21"/>
        <v>1182.24</v>
      </c>
      <c r="Y249" s="170">
        <f t="shared" si="21"/>
        <v>1220.8400000000001</v>
      </c>
      <c r="Z249" s="170">
        <f t="shared" si="21"/>
        <v>1282.6400000000001</v>
      </c>
      <c r="AA249" s="170">
        <f t="shared" si="21"/>
        <v>1308.3400000000001</v>
      </c>
      <c r="AB249" s="170">
        <f t="shared" si="21"/>
        <v>1354.94</v>
      </c>
      <c r="AC249" s="170">
        <f t="shared" si="21"/>
        <v>1371.2400000000002</v>
      </c>
      <c r="AD249" s="170">
        <f t="shared" si="21"/>
        <v>1402.0400000000002</v>
      </c>
      <c r="AE249" s="170">
        <f t="shared" si="21"/>
        <v>1421.64</v>
      </c>
      <c r="AF249" s="170">
        <f t="shared" si="21"/>
        <v>1408.74</v>
      </c>
      <c r="AG249" s="170">
        <f t="shared" si="21"/>
        <v>1498.44</v>
      </c>
      <c r="AH249" s="170">
        <f t="shared" si="21"/>
        <v>1440.74</v>
      </c>
      <c r="AI249" s="170">
        <f t="shared" si="21"/>
        <v>1432.24</v>
      </c>
      <c r="AJ249" s="170">
        <f t="shared" si="21"/>
        <v>1463.24</v>
      </c>
      <c r="AK249" s="170">
        <f t="shared" si="21"/>
        <v>1553.3400000000001</v>
      </c>
      <c r="AL249" s="170">
        <f t="shared" si="21"/>
        <v>1461.44</v>
      </c>
      <c r="AM249" s="170">
        <f t="shared" si="21"/>
        <v>1497.04</v>
      </c>
      <c r="AN249" s="170">
        <f t="shared" si="21"/>
        <v>1470.44</v>
      </c>
      <c r="AO249" s="170">
        <f t="shared" si="21"/>
        <v>1484.44</v>
      </c>
      <c r="AP249" s="170">
        <f t="shared" si="21"/>
        <v>1490.44</v>
      </c>
      <c r="AQ249" s="170">
        <f t="shared" si="21"/>
        <v>1467.94</v>
      </c>
      <c r="AR249" s="170">
        <f t="shared" si="21"/>
        <v>1552.3400000000001</v>
      </c>
      <c r="AS249" s="170">
        <f t="shared" si="21"/>
        <v>1684.54</v>
      </c>
      <c r="AT249" s="170">
        <f t="shared" si="21"/>
        <v>1664.74</v>
      </c>
      <c r="AU249" s="170">
        <f t="shared" si="21"/>
        <v>1616.54</v>
      </c>
      <c r="AV249" s="170">
        <f t="shared" si="21"/>
        <v>757.14</v>
      </c>
      <c r="AW249" s="170">
        <f t="shared" si="21"/>
        <v>1457.24</v>
      </c>
      <c r="AX249" s="170">
        <f t="shared" si="21"/>
        <v>1369.64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9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9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4:AF17 B12:AF12">
    <cfRule type="expression" dxfId="9555" priority="489">
      <formula>B$9&gt;=20/24</formula>
    </cfRule>
    <cfRule type="expression" dxfId="9554" priority="490">
      <formula>AND(B$9&gt;=14/24,B$9&lt;20/24)</formula>
    </cfRule>
    <cfRule type="expression" dxfId="9553" priority="491">
      <formula>AND(B$9&gt;=8/24,B$9&lt;14/24)</formula>
    </cfRule>
    <cfRule type="expression" dxfId="9552" priority="492">
      <formula>B$9&lt;8/24</formula>
    </cfRule>
  </conditionalFormatting>
  <conditionalFormatting sqref="AL4:AL6">
    <cfRule type="iconSet" priority="488">
      <iconSet iconSet="3TrafficLights2" reverse="1">
        <cfvo type="percent" val="0"/>
        <cfvo type="num" val="1"/>
        <cfvo type="num" val="1"/>
      </iconSet>
    </cfRule>
  </conditionalFormatting>
  <conditionalFormatting sqref="AG67 B14:AF17 B12:AF12">
    <cfRule type="expression" dxfId="9551" priority="487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9550" priority="486">
      <formula>$AH12=0</formula>
    </cfRule>
  </conditionalFormatting>
  <conditionalFormatting sqref="A116">
    <cfRule type="expression" dxfId="9549" priority="485">
      <formula>$AH116=0</formula>
    </cfRule>
  </conditionalFormatting>
  <conditionalFormatting sqref="AL44">
    <cfRule type="iconSet" priority="48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9548" priority="483">
      <formula>$AH47=0</formula>
    </cfRule>
  </conditionalFormatting>
  <conditionalFormatting sqref="A100">
    <cfRule type="expression" dxfId="9547" priority="482">
      <formula>$AH100=0</formula>
    </cfRule>
  </conditionalFormatting>
  <conditionalFormatting sqref="A20">
    <cfRule type="expression" dxfId="9546" priority="481">
      <formula>$AH20=0</formula>
    </cfRule>
  </conditionalFormatting>
  <conditionalFormatting sqref="A199:A204">
    <cfRule type="expression" dxfId="9545" priority="480">
      <formula>$AH199=0</formula>
    </cfRule>
  </conditionalFormatting>
  <conditionalFormatting sqref="A193:A198">
    <cfRule type="expression" dxfId="9544" priority="479">
      <formula>$AH193=0</formula>
    </cfRule>
  </conditionalFormatting>
  <conditionalFormatting sqref="A60">
    <cfRule type="expression" dxfId="9543" priority="478">
      <formula>$AH60=0</formula>
    </cfRule>
  </conditionalFormatting>
  <conditionalFormatting sqref="A96">
    <cfRule type="expression" dxfId="9542" priority="477">
      <formula>$AH96=0</formula>
    </cfRule>
  </conditionalFormatting>
  <conditionalFormatting sqref="AD101:AF101 E101:Y101">
    <cfRule type="expression" dxfId="9541" priority="473">
      <formula>E$9&gt;=20/24</formula>
    </cfRule>
    <cfRule type="expression" dxfId="9540" priority="474">
      <formula>AND(E$9&gt;=14/24,E$9&lt;20/24)</formula>
    </cfRule>
    <cfRule type="expression" dxfId="9539" priority="475">
      <formula>AND(E$9&gt;=8/24,E$9&lt;14/24)</formula>
    </cfRule>
    <cfRule type="expression" dxfId="9538" priority="476">
      <formula>E$9&lt;8/24</formula>
    </cfRule>
  </conditionalFormatting>
  <conditionalFormatting sqref="AL45">
    <cfRule type="iconSet" priority="47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537" priority="495">
      <formula>C$9&gt;=20/24</formula>
    </cfRule>
    <cfRule type="expression" dxfId="9536" priority="496">
      <formula>AND(C$9&gt;=14/24,C$9&lt;20/24)</formula>
    </cfRule>
    <cfRule type="expression" dxfId="9535" priority="497">
      <formula>AND(C$9&gt;=8/24,C$9&lt;14/24)</formula>
    </cfRule>
    <cfRule type="expression" dxfId="9534" priority="498">
      <formula>C$9&lt;8/24</formula>
    </cfRule>
  </conditionalFormatting>
  <conditionalFormatting sqref="A236">
    <cfRule type="expression" dxfId="9533" priority="499">
      <formula>$AH236=0</formula>
    </cfRule>
  </conditionalFormatting>
  <conditionalFormatting sqref="AG248">
    <cfRule type="expression" dxfId="9532" priority="500">
      <formula>B$9&gt;=20/24</formula>
    </cfRule>
    <cfRule type="expression" dxfId="9531" priority="501">
      <formula>AND(B$9&gt;=14/24,B$9&lt;20/24)</formula>
    </cfRule>
    <cfRule type="expression" dxfId="9530" priority="502">
      <formula>AND(B$9&gt;=8/24,B$9&lt;14/24)</formula>
    </cfRule>
    <cfRule type="expression" dxfId="9529" priority="503">
      <formula>B$9&lt;8/24</formula>
    </cfRule>
  </conditionalFormatting>
  <conditionalFormatting sqref="S8">
    <cfRule type="expression" dxfId="9528" priority="468">
      <formula>U$9&gt;=20/24</formula>
    </cfRule>
    <cfRule type="expression" dxfId="9527" priority="469">
      <formula>AND(U$9&gt;=14/24,U$9&lt;20/24)</formula>
    </cfRule>
    <cfRule type="expression" dxfId="9526" priority="470">
      <formula>AND(U$9&gt;=8/24,U$9&lt;14/24)</formula>
    </cfRule>
    <cfRule type="expression" dxfId="9525" priority="471">
      <formula>U$9&lt;8/24</formula>
    </cfRule>
  </conditionalFormatting>
  <conditionalFormatting sqref="AB8">
    <cfRule type="expression" dxfId="9524" priority="464">
      <formula>AD$9&gt;=20/24</formula>
    </cfRule>
    <cfRule type="expression" dxfId="9523" priority="465">
      <formula>AND(AD$9&gt;=14/24,AD$9&lt;20/24)</formula>
    </cfRule>
    <cfRule type="expression" dxfId="9522" priority="466">
      <formula>AND(AD$9&gt;=8/24,AD$9&lt;14/24)</formula>
    </cfRule>
    <cfRule type="expression" dxfId="9521" priority="467">
      <formula>AD$9&lt;8/24</formula>
    </cfRule>
  </conditionalFormatting>
  <conditionalFormatting sqref="AH248:AX248">
    <cfRule type="expression" dxfId="9520" priority="504">
      <formula>AG$9&gt;=20/24</formula>
    </cfRule>
    <cfRule type="expression" dxfId="9519" priority="505">
      <formula>AND(AG$9&gt;=14/24,AG$9&lt;20/24)</formula>
    </cfRule>
    <cfRule type="expression" dxfId="9518" priority="506">
      <formula>AND(AG$9&gt;=8/24,AG$9&lt;14/24)</formula>
    </cfRule>
    <cfRule type="expression" dxfId="9517" priority="507">
      <formula>AG$9&lt;8/24</formula>
    </cfRule>
  </conditionalFormatting>
  <conditionalFormatting sqref="T248">
    <cfRule type="expression" dxfId="9516" priority="508">
      <formula>AX$9&gt;=20/24</formula>
    </cfRule>
    <cfRule type="expression" dxfId="9515" priority="509">
      <formula>AND(AX$9&gt;=14/24,AX$9&lt;20/24)</formula>
    </cfRule>
    <cfRule type="expression" dxfId="9514" priority="510">
      <formula>AND(AX$9&gt;=8/24,AX$9&lt;14/24)</formula>
    </cfRule>
    <cfRule type="expression" dxfId="9513" priority="511">
      <formula>AX$9&lt;8/24</formula>
    </cfRule>
  </conditionalFormatting>
  <conditionalFormatting sqref="A117:A119">
    <cfRule type="expression" dxfId="9512" priority="463">
      <formula>$AH117=0</formula>
    </cfRule>
  </conditionalFormatting>
  <conditionalFormatting sqref="AD56:AD59 M56:R58 E73:AD73 AF73">
    <cfRule type="expression" dxfId="9511" priority="459">
      <formula>E$9&gt;=20/24</formula>
    </cfRule>
    <cfRule type="expression" dxfId="9510" priority="460">
      <formula>AND(E$9&gt;=14/24,E$9&lt;20/24)</formula>
    </cfRule>
    <cfRule type="expression" dxfId="9509" priority="461">
      <formula>AND(E$9&gt;=8/24,E$9&lt;14/24)</formula>
    </cfRule>
    <cfRule type="expression" dxfId="9508" priority="462">
      <formula>E$9&lt;8/24</formula>
    </cfRule>
  </conditionalFormatting>
  <conditionalFormatting sqref="AD55 M55:R55">
    <cfRule type="expression" dxfId="9507" priority="455">
      <formula>M$9&gt;=20/24</formula>
    </cfRule>
    <cfRule type="expression" dxfId="9506" priority="456">
      <formula>AND(M$9&gt;=14/24,M$9&lt;20/24)</formula>
    </cfRule>
    <cfRule type="expression" dxfId="9505" priority="457">
      <formula>AND(M$9&gt;=8/24,M$9&lt;14/24)</formula>
    </cfRule>
    <cfRule type="expression" dxfId="9504" priority="458">
      <formula>M$9&lt;8/24</formula>
    </cfRule>
  </conditionalFormatting>
  <conditionalFormatting sqref="AD55:AD59 M55:R58">
    <cfRule type="expression" dxfId="9503" priority="454">
      <formula>M55&gt;$AG55</formula>
    </cfRule>
  </conditionalFormatting>
  <conditionalFormatting sqref="D88:AF88 X98:AF98 AE102:AF108 M102:Y108 AD74:AD76 X49:AF49 E74:AC75 AF74:AF75 AA69:AF71">
    <cfRule type="expression" dxfId="9502" priority="450">
      <formula>D$9&gt;=20/24</formula>
    </cfRule>
    <cfRule type="expression" dxfId="9501" priority="451">
      <formula>AND(D$9&gt;=14/24,D$9&lt;20/24)</formula>
    </cfRule>
    <cfRule type="expression" dxfId="9500" priority="452">
      <formula>AND(D$9&gt;=8/24,D$9&lt;14/24)</formula>
    </cfRule>
    <cfRule type="expression" dxfId="9499" priority="453">
      <formula>D$9&lt;8/24</formula>
    </cfRule>
  </conditionalFormatting>
  <conditionalFormatting sqref="X49:AF49 AA69:AF71">
    <cfRule type="expression" dxfId="9498" priority="449">
      <formula>X49&gt;$AG49</formula>
    </cfRule>
  </conditionalFormatting>
  <conditionalFormatting sqref="S55:AC60">
    <cfRule type="expression" dxfId="9497" priority="445">
      <formula>S$9&gt;=20/24</formula>
    </cfRule>
    <cfRule type="expression" dxfId="9496" priority="446">
      <formula>AND(S$9&gt;=14/24,S$9&lt;20/24)</formula>
    </cfRule>
    <cfRule type="expression" dxfId="9495" priority="447">
      <formula>AND(S$9&gt;=8/24,S$9&lt;14/24)</formula>
    </cfRule>
    <cfRule type="expression" dxfId="9494" priority="448">
      <formula>S$9&lt;8/24</formula>
    </cfRule>
  </conditionalFormatting>
  <conditionalFormatting sqref="S55:AC60">
    <cfRule type="expression" dxfId="9493" priority="444">
      <formula>S55&gt;$AG55</formula>
    </cfRule>
  </conditionalFormatting>
  <conditionalFormatting sqref="C99:AF99 D90:AF90">
    <cfRule type="expression" dxfId="9492" priority="440">
      <formula>C$9&gt;=20/24</formula>
    </cfRule>
    <cfRule type="expression" dxfId="9491" priority="441">
      <formula>AND(C$9&gt;=14/24,C$9&lt;20/24)</formula>
    </cfRule>
    <cfRule type="expression" dxfId="9490" priority="442">
      <formula>AND(C$9&gt;=8/24,C$9&lt;14/24)</formula>
    </cfRule>
    <cfRule type="expression" dxfId="9489" priority="443">
      <formula>C$9&lt;8/24</formula>
    </cfRule>
  </conditionalFormatting>
  <conditionalFormatting sqref="T49:W49">
    <cfRule type="expression" dxfId="9488" priority="436">
      <formula>T$9&gt;=20/24</formula>
    </cfRule>
    <cfRule type="expression" dxfId="9487" priority="437">
      <formula>AND(T$9&gt;=14/24,T$9&lt;20/24)</formula>
    </cfRule>
    <cfRule type="expression" dxfId="9486" priority="438">
      <formula>AND(T$9&gt;=8/24,T$9&lt;14/24)</formula>
    </cfRule>
    <cfRule type="expression" dxfId="9485" priority="439">
      <formula>T$9&lt;8/24</formula>
    </cfRule>
  </conditionalFormatting>
  <conditionalFormatting sqref="T49:W49">
    <cfRule type="expression" dxfId="9484" priority="435">
      <formula>T49&gt;$AG49</formula>
    </cfRule>
  </conditionalFormatting>
  <conditionalFormatting sqref="E56:L57">
    <cfRule type="expression" dxfId="9483" priority="431">
      <formula>E$9&gt;=20/24</formula>
    </cfRule>
    <cfRule type="expression" dxfId="9482" priority="432">
      <formula>AND(E$9&gt;=14/24,E$9&lt;20/24)</formula>
    </cfRule>
    <cfRule type="expression" dxfId="9481" priority="433">
      <formula>AND(E$9&gt;=8/24,E$9&lt;14/24)</formula>
    </cfRule>
    <cfRule type="expression" dxfId="9480" priority="434">
      <formula>E$9&lt;8/24</formula>
    </cfRule>
  </conditionalFormatting>
  <conditionalFormatting sqref="E55:L55">
    <cfRule type="expression" dxfId="9479" priority="427">
      <formula>E$9&gt;=20/24</formula>
    </cfRule>
    <cfRule type="expression" dxfId="9478" priority="428">
      <formula>AND(E$9&gt;=14/24,E$9&lt;20/24)</formula>
    </cfRule>
    <cfRule type="expression" dxfId="9477" priority="429">
      <formula>AND(E$9&gt;=8/24,E$9&lt;14/24)</formula>
    </cfRule>
    <cfRule type="expression" dxfId="9476" priority="430">
      <formula>E$9&lt;8/24</formula>
    </cfRule>
  </conditionalFormatting>
  <conditionalFormatting sqref="E55:L57">
    <cfRule type="expression" dxfId="9475" priority="426">
      <formula>E55&gt;$AG55</formula>
    </cfRule>
  </conditionalFormatting>
  <conditionalFormatting sqref="AG72 AG89 E102:L108">
    <cfRule type="expression" dxfId="9474" priority="422">
      <formula>E$9&gt;=20/24</formula>
    </cfRule>
    <cfRule type="expression" dxfId="9473" priority="423">
      <formula>AND(E$9&gt;=14/24,E$9&lt;20/24)</formula>
    </cfRule>
    <cfRule type="expression" dxfId="9472" priority="424">
      <formula>AND(E$9&gt;=8/24,E$9&lt;14/24)</formula>
    </cfRule>
    <cfRule type="expression" dxfId="9471" priority="425">
      <formula>E$9&lt;8/24</formula>
    </cfRule>
  </conditionalFormatting>
  <conditionalFormatting sqref="AG50 AG68 AG72">
    <cfRule type="expression" dxfId="9470" priority="421">
      <formula>AG50&gt;$AG50</formula>
    </cfRule>
  </conditionalFormatting>
  <conditionalFormatting sqref="AD60">
    <cfRule type="expression" dxfId="9469" priority="417">
      <formula>AD$9&gt;=20/24</formula>
    </cfRule>
    <cfRule type="expression" dxfId="9468" priority="418">
      <formula>AND(AD$9&gt;=14/24,AD$9&lt;20/24)</formula>
    </cfRule>
    <cfRule type="expression" dxfId="9467" priority="419">
      <formula>AND(AD$9&gt;=8/24,AD$9&lt;14/24)</formula>
    </cfRule>
    <cfRule type="expression" dxfId="9466" priority="420">
      <formula>AD$9&lt;8/24</formula>
    </cfRule>
  </conditionalFormatting>
  <conditionalFormatting sqref="AD60">
    <cfRule type="expression" dxfId="9465" priority="416">
      <formula>AD60&gt;$AG60</formula>
    </cfRule>
  </conditionalFormatting>
  <conditionalFormatting sqref="A45">
    <cfRule type="expression" dxfId="9464" priority="415">
      <formula>$AH45=0</formula>
    </cfRule>
  </conditionalFormatting>
  <conditionalFormatting sqref="X93:AF97">
    <cfRule type="expression" dxfId="9463" priority="411">
      <formula>X$9&gt;=20/24</formula>
    </cfRule>
    <cfRule type="expression" dxfId="9462" priority="412">
      <formula>AND(X$9&gt;=14/24,X$9&lt;20/24)</formula>
    </cfRule>
    <cfRule type="expression" dxfId="9461" priority="413">
      <formula>AND(X$9&gt;=8/24,X$9&lt;14/24)</formula>
    </cfRule>
    <cfRule type="expression" dxfId="9460" priority="414">
      <formula>X$9&lt;8/24</formula>
    </cfRule>
  </conditionalFormatting>
  <conditionalFormatting sqref="AL47 AL43 AL24:AL34 AL40:AL41 AL19:AL22 AL36:AL38 AL7:AL17">
    <cfRule type="iconSet" priority="512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9459" priority="407">
      <formula>E$9&gt;=20/24</formula>
    </cfRule>
    <cfRule type="expression" dxfId="9458" priority="408">
      <formula>AND(E$9&gt;=14/24,E$9&lt;20/24)</formula>
    </cfRule>
    <cfRule type="expression" dxfId="9457" priority="409">
      <formula>AND(E$9&gt;=8/24,E$9&lt;14/24)</formula>
    </cfRule>
    <cfRule type="expression" dxfId="9456" priority="410">
      <formula>E$9&lt;8/24</formula>
    </cfRule>
  </conditionalFormatting>
  <conditionalFormatting sqref="E51:AF53">
    <cfRule type="expression" dxfId="9455" priority="406">
      <formula>E51&gt;$AG51</formula>
    </cfRule>
  </conditionalFormatting>
  <conditionalFormatting sqref="AG54">
    <cfRule type="expression" dxfId="9454" priority="402">
      <formula>AG$9&gt;=20/24</formula>
    </cfRule>
    <cfRule type="expression" dxfId="9453" priority="403">
      <formula>AND(AG$9&gt;=14/24,AG$9&lt;20/24)</formula>
    </cfRule>
    <cfRule type="expression" dxfId="9452" priority="404">
      <formula>AND(AG$9&gt;=8/24,AG$9&lt;14/24)</formula>
    </cfRule>
    <cfRule type="expression" dxfId="9451" priority="405">
      <formula>AG$9&lt;8/24</formula>
    </cfRule>
  </conditionalFormatting>
  <conditionalFormatting sqref="AG54">
    <cfRule type="expression" dxfId="9450" priority="401">
      <formula>AG54&gt;$AG54</formula>
    </cfRule>
  </conditionalFormatting>
  <conditionalFormatting sqref="C109:AF109">
    <cfRule type="expression" dxfId="9449" priority="397">
      <formula>C$9&gt;=20/24</formula>
    </cfRule>
    <cfRule type="expression" dxfId="9448" priority="398">
      <formula>AND(C$9&gt;=14/24,C$9&lt;20/24)</formula>
    </cfRule>
    <cfRule type="expression" dxfId="9447" priority="399">
      <formula>AND(C$9&gt;=8/24,C$9&lt;14/24)</formula>
    </cfRule>
    <cfRule type="expression" dxfId="9446" priority="400">
      <formula>C$9&lt;8/24</formula>
    </cfRule>
  </conditionalFormatting>
  <conditionalFormatting sqref="AL42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9445" priority="395">
      <formula>$AH42=0</formula>
    </cfRule>
  </conditionalFormatting>
  <conditionalFormatting sqref="A92">
    <cfRule type="expression" dxfId="9444" priority="393">
      <formula>$AH92=0</formula>
    </cfRule>
  </conditionalFormatting>
  <conditionalFormatting sqref="A89">
    <cfRule type="expression" dxfId="9443" priority="394">
      <formula>$AH89=0</formula>
    </cfRule>
  </conditionalFormatting>
  <conditionalFormatting sqref="D112:AF112">
    <cfRule type="expression" dxfId="9442" priority="389">
      <formula>D$9&gt;=20/24</formula>
    </cfRule>
    <cfRule type="expression" dxfId="9441" priority="390">
      <formula>AND(D$9&gt;=14/24,D$9&lt;20/24)</formula>
    </cfRule>
    <cfRule type="expression" dxfId="9440" priority="391">
      <formula>AND(D$9&gt;=8/24,D$9&lt;14/24)</formula>
    </cfRule>
    <cfRule type="expression" dxfId="9439" priority="392">
      <formula>D$9&lt;8/24</formula>
    </cfRule>
  </conditionalFormatting>
  <conditionalFormatting sqref="A112">
    <cfRule type="expression" dxfId="9438" priority="388">
      <formula>$AH112=0</formula>
    </cfRule>
  </conditionalFormatting>
  <conditionalFormatting sqref="A23">
    <cfRule type="expression" dxfId="9437" priority="386">
      <formula>$AH23=0</formula>
    </cfRule>
  </conditionalFormatting>
  <conditionalFormatting sqref="AL23">
    <cfRule type="iconSet" priority="38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9436" priority="384">
      <formula>$AH39=0</formula>
    </cfRule>
  </conditionalFormatting>
  <conditionalFormatting sqref="AL39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9435" priority="380">
      <formula>Z$9&gt;=20/24</formula>
    </cfRule>
    <cfRule type="expression" dxfId="9434" priority="381">
      <formula>AND(Z$9&gt;=14/24,Z$9&lt;20/24)</formula>
    </cfRule>
    <cfRule type="expression" dxfId="9433" priority="382">
      <formula>AND(Z$9&gt;=8/24,Z$9&lt;14/24)</formula>
    </cfRule>
    <cfRule type="expression" dxfId="9432" priority="383">
      <formula>Z$9&lt;8/24</formula>
    </cfRule>
  </conditionalFormatting>
  <conditionalFormatting sqref="Z102:AD108">
    <cfRule type="expression" dxfId="9431" priority="376">
      <formula>Z$9&gt;=20/24</formula>
    </cfRule>
    <cfRule type="expression" dxfId="9430" priority="377">
      <formula>AND(Z$9&gt;=14/24,Z$9&lt;20/24)</formula>
    </cfRule>
    <cfRule type="expression" dxfId="9429" priority="378">
      <formula>AND(Z$9&gt;=8/24,Z$9&lt;14/24)</formula>
    </cfRule>
    <cfRule type="expression" dxfId="9428" priority="379">
      <formula>Z$9&lt;8/24</formula>
    </cfRule>
  </conditionalFormatting>
  <conditionalFormatting sqref="C111 C113:C119 Z19:AA28 U19:Y24 U27:Y27 AA29:AA30 AA36:AF45 AB19:AF30 AA32:AF34">
    <cfRule type="expression" dxfId="9427" priority="372">
      <formula>C$9&gt;=20/24</formula>
    </cfRule>
    <cfRule type="expression" dxfId="9426" priority="373">
      <formula>AND(C$9&gt;=14/24,C$9&lt;20/24)</formula>
    </cfRule>
    <cfRule type="expression" dxfId="9425" priority="374">
      <formula>AND(C$9&gt;=8/24,C$9&lt;14/24)</formula>
    </cfRule>
    <cfRule type="expression" dxfId="9424" priority="375">
      <formula>C$9&lt;8/24</formula>
    </cfRule>
  </conditionalFormatting>
  <conditionalFormatting sqref="E49:S49">
    <cfRule type="expression" dxfId="9423" priority="368">
      <formula>E$9&gt;=20/24</formula>
    </cfRule>
    <cfRule type="expression" dxfId="9422" priority="369">
      <formula>AND(E$9&gt;=14/24,E$9&lt;20/24)</formula>
    </cfRule>
    <cfRule type="expression" dxfId="9421" priority="370">
      <formula>AND(E$9&gt;=8/24,E$9&lt;14/24)</formula>
    </cfRule>
    <cfRule type="expression" dxfId="9420" priority="371">
      <formula>E$9&lt;8/24</formula>
    </cfRule>
  </conditionalFormatting>
  <conditionalFormatting sqref="E49:S49 Z19:AA28 U19:Y24 U27:Y27 AA29:AA30 AA36:AF45 AB19:AF30 AA32:AF34">
    <cfRule type="expression" dxfId="9419" priority="367">
      <formula>E19&gt;$AG19</formula>
    </cfRule>
  </conditionalFormatting>
  <conditionalFormatting sqref="C101:D101">
    <cfRule type="expression" dxfId="9418" priority="363">
      <formula>C$9&gt;=20/24</formula>
    </cfRule>
    <cfRule type="expression" dxfId="9417" priority="364">
      <formula>AND(C$9&gt;=14/24,C$9&lt;20/24)</formula>
    </cfRule>
    <cfRule type="expression" dxfId="9416" priority="365">
      <formula>AND(C$9&gt;=8/24,C$9&lt;14/24)</formula>
    </cfRule>
    <cfRule type="expression" dxfId="9415" priority="366">
      <formula>C$9&lt;8/24</formula>
    </cfRule>
  </conditionalFormatting>
  <conditionalFormatting sqref="C88 C98:W98 C85:AF87 D102:D108 AD77:AD78 E69:Z71 E76:AC78">
    <cfRule type="expression" dxfId="9414" priority="359">
      <formula>C$9&gt;=20/24</formula>
    </cfRule>
    <cfRule type="expression" dxfId="9413" priority="360">
      <formula>AND(C$9&gt;=14/24,C$9&lt;20/24)</formula>
    </cfRule>
    <cfRule type="expression" dxfId="9412" priority="361">
      <formula>AND(C$9&gt;=8/24,C$9&lt;14/24)</formula>
    </cfRule>
    <cfRule type="expression" dxfId="9411" priority="362">
      <formula>C$9&lt;8/24</formula>
    </cfRule>
  </conditionalFormatting>
  <conditionalFormatting sqref="E58:L59 M59:R59 E69:Z71">
    <cfRule type="expression" dxfId="9410" priority="358">
      <formula>E58&gt;$AG58</formula>
    </cfRule>
  </conditionalFormatting>
  <conditionalFormatting sqref="C73:D73 D56:D59">
    <cfRule type="expression" dxfId="9409" priority="282">
      <formula>C$9&gt;=20/24</formula>
    </cfRule>
    <cfRule type="expression" dxfId="9408" priority="283">
      <formula>AND(C$9&gt;=14/24,C$9&lt;20/24)</formula>
    </cfRule>
    <cfRule type="expression" dxfId="9407" priority="284">
      <formula>AND(C$9&gt;=8/24,C$9&lt;14/24)</formula>
    </cfRule>
    <cfRule type="expression" dxfId="9406" priority="285">
      <formula>C$9&lt;8/24</formula>
    </cfRule>
  </conditionalFormatting>
  <conditionalFormatting sqref="C89:AF89 C91:AF91 C100:AF100 C72:AF72">
    <cfRule type="expression" dxfId="9405" priority="349">
      <formula>C$9&gt;=20/24</formula>
    </cfRule>
    <cfRule type="expression" dxfId="9404" priority="350">
      <formula>AND(C$9&gt;=14/24,C$9&lt;20/24)</formula>
    </cfRule>
    <cfRule type="expression" dxfId="9403" priority="351">
      <formula>AND(C$9&gt;=8/24,C$9&lt;14/24)</formula>
    </cfRule>
    <cfRule type="expression" dxfId="9402" priority="352">
      <formula>C$9&lt;8/24</formula>
    </cfRule>
  </conditionalFormatting>
  <conditionalFormatting sqref="C72:AF72 D67:AF68">
    <cfRule type="expression" dxfId="9401" priority="348">
      <formula>C67&gt;$AG67</formula>
    </cfRule>
  </conditionalFormatting>
  <conditionalFormatting sqref="C84:AF84">
    <cfRule type="expression" dxfId="9400" priority="344">
      <formula>C$9&gt;=20/24</formula>
    </cfRule>
    <cfRule type="expression" dxfId="9399" priority="345">
      <formula>AND(C$9&gt;=14/24,C$9&lt;20/24)</formula>
    </cfRule>
    <cfRule type="expression" dxfId="9398" priority="346">
      <formula>AND(C$9&gt;=8/24,C$9&lt;14/24)</formula>
    </cfRule>
    <cfRule type="expression" dxfId="9397" priority="347">
      <formula>C$9&lt;8/24</formula>
    </cfRule>
  </conditionalFormatting>
  <conditionalFormatting sqref="C93:W97">
    <cfRule type="expression" dxfId="9396" priority="340">
      <formula>C$9&gt;=20/24</formula>
    </cfRule>
    <cfRule type="expression" dxfId="9395" priority="341">
      <formula>AND(C$9&gt;=14/24,C$9&lt;20/24)</formula>
    </cfRule>
    <cfRule type="expression" dxfId="9394" priority="342">
      <formula>AND(C$9&gt;=8/24,C$9&lt;14/24)</formula>
    </cfRule>
    <cfRule type="expression" dxfId="9393" priority="343">
      <formula>C$9&lt;8/24</formula>
    </cfRule>
  </conditionalFormatting>
  <conditionalFormatting sqref="D54:AF54">
    <cfRule type="expression" dxfId="9392" priority="336">
      <formula>D$9&gt;=20/24</formula>
    </cfRule>
    <cfRule type="expression" dxfId="9391" priority="337">
      <formula>AND(D$9&gt;=14/24,D$9&lt;20/24)</formula>
    </cfRule>
    <cfRule type="expression" dxfId="9390" priority="338">
      <formula>AND(D$9&gt;=8/24,D$9&lt;14/24)</formula>
    </cfRule>
    <cfRule type="expression" dxfId="9389" priority="339">
      <formula>D$9&lt;8/24</formula>
    </cfRule>
  </conditionalFormatting>
  <conditionalFormatting sqref="D54:AF54">
    <cfRule type="expression" dxfId="9388" priority="335">
      <formula>D54&gt;$AG54</formula>
    </cfRule>
  </conditionalFormatting>
  <conditionalFormatting sqref="C112">
    <cfRule type="expression" dxfId="9387" priority="327">
      <formula>C$9&gt;=20/24</formula>
    </cfRule>
    <cfRule type="expression" dxfId="9386" priority="328">
      <formula>AND(C$9&gt;=14/24,C$9&lt;20/24)</formula>
    </cfRule>
    <cfRule type="expression" dxfId="9385" priority="329">
      <formula>AND(C$9&gt;=8/24,C$9&lt;14/24)</formula>
    </cfRule>
    <cfRule type="expression" dxfId="9384" priority="330">
      <formula>C$9&lt;8/24</formula>
    </cfRule>
  </conditionalFormatting>
  <conditionalFormatting sqref="AA61:AD66">
    <cfRule type="expression" dxfId="9383" priority="323">
      <formula>AA$9&gt;=20/24</formula>
    </cfRule>
    <cfRule type="expression" dxfId="9382" priority="324">
      <formula>AND(AA$9&gt;=14/24,AA$9&lt;20/24)</formula>
    </cfRule>
    <cfRule type="expression" dxfId="9381" priority="325">
      <formula>AND(AA$9&gt;=8/24,AA$9&lt;14/24)</formula>
    </cfRule>
    <cfRule type="expression" dxfId="9380" priority="326">
      <formula>AA$9&lt;8/24</formula>
    </cfRule>
  </conditionalFormatting>
  <conditionalFormatting sqref="AA61:AD66">
    <cfRule type="expression" dxfId="9379" priority="322">
      <formula>AA61&gt;$AG61</formula>
    </cfRule>
  </conditionalFormatting>
  <conditionalFormatting sqref="AA47:AF47">
    <cfRule type="expression" dxfId="9378" priority="321">
      <formula>AA47&gt;$AG47</formula>
    </cfRule>
  </conditionalFormatting>
  <conditionalFormatting sqref="U13:AF13">
    <cfRule type="expression" dxfId="9377" priority="317">
      <formula>U$9&gt;=20/24</formula>
    </cfRule>
    <cfRule type="expression" dxfId="9376" priority="318">
      <formula>AND(U$9&gt;=14/24,U$9&lt;20/24)</formula>
    </cfRule>
    <cfRule type="expression" dxfId="9375" priority="319">
      <formula>AND(U$9&gt;=8/24,U$9&lt;14/24)</formula>
    </cfRule>
    <cfRule type="expression" dxfId="9374" priority="320">
      <formula>U$9&lt;8/24</formula>
    </cfRule>
  </conditionalFormatting>
  <conditionalFormatting sqref="U13:AF13">
    <cfRule type="expression" dxfId="9373" priority="316">
      <formula>U13&gt;$AG13</formula>
    </cfRule>
  </conditionalFormatting>
  <conditionalFormatting sqref="AA47:AF47">
    <cfRule type="expression" dxfId="9372" priority="308">
      <formula>AA$9&gt;=20/24</formula>
    </cfRule>
    <cfRule type="expression" dxfId="9371" priority="309">
      <formula>AND(AA$9&gt;=14/24,AA$9&lt;20/24)</formula>
    </cfRule>
    <cfRule type="expression" dxfId="9370" priority="310">
      <formula>AND(AA$9&gt;=8/24,AA$9&lt;14/24)</formula>
    </cfRule>
    <cfRule type="expression" dxfId="9369" priority="311">
      <formula>AA$9&lt;8/24</formula>
    </cfRule>
  </conditionalFormatting>
  <conditionalFormatting sqref="E79:AD83">
    <cfRule type="expression" dxfId="9368" priority="304">
      <formula>E$9&gt;=20/24</formula>
    </cfRule>
    <cfRule type="expression" dxfId="9367" priority="305">
      <formula>AND(E$9&gt;=14/24,E$9&lt;20/24)</formula>
    </cfRule>
    <cfRule type="expression" dxfId="9366" priority="306">
      <formula>AND(E$9&gt;=8/24,E$9&lt;14/24)</formula>
    </cfRule>
    <cfRule type="expression" dxfId="9365" priority="307">
      <formula>E$9&lt;8/24</formula>
    </cfRule>
  </conditionalFormatting>
  <conditionalFormatting sqref="AL80:AN80 AL86:AN86 AN81:AN82">
    <cfRule type="expression" dxfId="9364" priority="300">
      <formula>AL$9&gt;=20/24</formula>
    </cfRule>
    <cfRule type="expression" dxfId="9363" priority="301">
      <formula>AND(AL$9&gt;=14/24,AL$9&lt;20/24)</formula>
    </cfRule>
    <cfRule type="expression" dxfId="9362" priority="302">
      <formula>AND(AL$9&gt;=8/24,AL$9&lt;14/24)</formula>
    </cfRule>
    <cfRule type="expression" dxfId="9361" priority="303">
      <formula>AL$9&lt;8/24</formula>
    </cfRule>
  </conditionalFormatting>
  <conditionalFormatting sqref="AN83:AN84">
    <cfRule type="expression" dxfId="9360" priority="296">
      <formula>AN$9&gt;=20/24</formula>
    </cfRule>
    <cfRule type="expression" dxfId="9359" priority="297">
      <formula>AND(AN$9&gt;=14/24,AN$9&lt;20/24)</formula>
    </cfRule>
    <cfRule type="expression" dxfId="9358" priority="298">
      <formula>AND(AN$9&gt;=8/24,AN$9&lt;14/24)</formula>
    </cfRule>
    <cfRule type="expression" dxfId="9357" priority="299">
      <formula>AN$9&lt;8/24</formula>
    </cfRule>
  </conditionalFormatting>
  <conditionalFormatting sqref="AL81:AM85">
    <cfRule type="expression" dxfId="9356" priority="513">
      <formula>AJ$9&gt;=20/24</formula>
    </cfRule>
    <cfRule type="expression" dxfId="9355" priority="514">
      <formula>AND(AJ$9&gt;=14/24,AJ$9&lt;20/24)</formula>
    </cfRule>
    <cfRule type="expression" dxfId="9354" priority="515">
      <formula>AND(AJ$9&gt;=8/24,AJ$9&lt;14/24)</formula>
    </cfRule>
    <cfRule type="expression" dxfId="9353" priority="516">
      <formula>AJ$9&lt;8/24</formula>
    </cfRule>
  </conditionalFormatting>
  <conditionalFormatting sqref="A120">
    <cfRule type="expression" dxfId="9352" priority="295">
      <formula>$AH120=0</formula>
    </cfRule>
  </conditionalFormatting>
  <conditionalFormatting sqref="D55">
    <cfRule type="expression" dxfId="9351" priority="278">
      <formula>D$9&gt;=20/24</formula>
    </cfRule>
    <cfRule type="expression" dxfId="9350" priority="279">
      <formula>AND(D$9&gt;=14/24,D$9&lt;20/24)</formula>
    </cfRule>
    <cfRule type="expression" dxfId="9349" priority="280">
      <formula>AND(D$9&gt;=8/24,D$9&lt;14/24)</formula>
    </cfRule>
    <cfRule type="expression" dxfId="9348" priority="281">
      <formula>D$9&lt;8/24</formula>
    </cfRule>
  </conditionalFormatting>
  <conditionalFormatting sqref="D55:D59">
    <cfRule type="expression" dxfId="9347" priority="277">
      <formula>D55&gt;$AG55</formula>
    </cfRule>
  </conditionalFormatting>
  <conditionalFormatting sqref="C74:D76 C102:C108 D69:D71 D77:D83">
    <cfRule type="expression" dxfId="9346" priority="273">
      <formula>C$9&gt;=20/24</formula>
    </cfRule>
    <cfRule type="expression" dxfId="9345" priority="274">
      <formula>AND(C$9&gt;=14/24,C$9&lt;20/24)</formula>
    </cfRule>
    <cfRule type="expression" dxfId="9344" priority="275">
      <formula>AND(C$9&gt;=8/24,C$9&lt;14/24)</formula>
    </cfRule>
    <cfRule type="expression" dxfId="9343" priority="276">
      <formula>C$9&lt;8/24</formula>
    </cfRule>
  </conditionalFormatting>
  <conditionalFormatting sqref="D69:D71">
    <cfRule type="expression" dxfId="9342" priority="272">
      <formula>D69&gt;$AG69</formula>
    </cfRule>
  </conditionalFormatting>
  <conditionalFormatting sqref="C90">
    <cfRule type="expression" dxfId="9341" priority="268">
      <formula>C$9&gt;=20/24</formula>
    </cfRule>
    <cfRule type="expression" dxfId="9340" priority="269">
      <formula>AND(C$9&gt;=14/24,C$9&lt;20/24)</formula>
    </cfRule>
    <cfRule type="expression" dxfId="9339" priority="270">
      <formula>AND(C$9&gt;=8/24,C$9&lt;14/24)</formula>
    </cfRule>
    <cfRule type="expression" dxfId="9338" priority="271">
      <formula>C$9&lt;8/24</formula>
    </cfRule>
  </conditionalFormatting>
  <conditionalFormatting sqref="AA48:AF48">
    <cfRule type="expression" dxfId="9337" priority="264">
      <formula>AA$9&gt;=20/24</formula>
    </cfRule>
    <cfRule type="expression" dxfId="9336" priority="265">
      <formula>AND(AA$9&gt;=14/24,AA$9&lt;20/24)</formula>
    </cfRule>
    <cfRule type="expression" dxfId="9335" priority="266">
      <formula>AND(AA$9&gt;=8/24,AA$9&lt;14/24)</formula>
    </cfRule>
    <cfRule type="expression" dxfId="9334" priority="267">
      <formula>AA$9&lt;8/24</formula>
    </cfRule>
  </conditionalFormatting>
  <conditionalFormatting sqref="AA48:AF48">
    <cfRule type="expression" dxfId="9333" priority="263">
      <formula>AA48&gt;$AG48</formula>
    </cfRule>
  </conditionalFormatting>
  <conditionalFormatting sqref="D60:R60">
    <cfRule type="expression" dxfId="9332" priority="259">
      <formula>D$9&gt;=20/24</formula>
    </cfRule>
    <cfRule type="expression" dxfId="9331" priority="260">
      <formula>AND(D$9&gt;=14/24,D$9&lt;20/24)</formula>
    </cfRule>
    <cfRule type="expression" dxfId="9330" priority="261">
      <formula>AND(D$9&gt;=8/24,D$9&lt;14/24)</formula>
    </cfRule>
    <cfRule type="expression" dxfId="9329" priority="262">
      <formula>D$9&lt;8/24</formula>
    </cfRule>
  </conditionalFormatting>
  <conditionalFormatting sqref="D60:R60">
    <cfRule type="expression" dxfId="9328" priority="258">
      <formula>D60&gt;$AG60</formula>
    </cfRule>
  </conditionalFormatting>
  <conditionalFormatting sqref="B88 B98 B102:B108 B74:B76 B69:C71 B49:D49">
    <cfRule type="expression" dxfId="9327" priority="130">
      <formula>B$9&gt;=20/24</formula>
    </cfRule>
    <cfRule type="expression" dxfId="9326" priority="131">
      <formula>AND(B$9&gt;=14/24,B$9&lt;20/24)</formula>
    </cfRule>
    <cfRule type="expression" dxfId="9325" priority="132">
      <formula>AND(B$9&gt;=8/24,B$9&lt;14/24)</formula>
    </cfRule>
    <cfRule type="expression" dxfId="9324" priority="133">
      <formula>B$9&lt;8/24</formula>
    </cfRule>
  </conditionalFormatting>
  <conditionalFormatting sqref="B60:C60">
    <cfRule type="expression" dxfId="9323" priority="121">
      <formula>B$9&gt;=20/24</formula>
    </cfRule>
    <cfRule type="expression" dxfId="9322" priority="122">
      <formula>AND(B$9&gt;=14/24,B$9&lt;20/24)</formula>
    </cfRule>
    <cfRule type="expression" dxfId="9321" priority="123">
      <formula>AND(B$9&gt;=8/24,B$9&lt;14/24)</formula>
    </cfRule>
    <cfRule type="expression" dxfId="9320" priority="124">
      <formula>B$9&lt;8/24</formula>
    </cfRule>
  </conditionalFormatting>
  <conditionalFormatting sqref="C77:C78">
    <cfRule type="expression" dxfId="9319" priority="237">
      <formula>C$9&gt;=20/24</formula>
    </cfRule>
    <cfRule type="expression" dxfId="9318" priority="238">
      <formula>AND(C$9&gt;=14/24,C$9&lt;20/24)</formula>
    </cfRule>
    <cfRule type="expression" dxfId="9317" priority="239">
      <formula>AND(C$9&gt;=8/24,C$9&lt;14/24)</formula>
    </cfRule>
    <cfRule type="expression" dxfId="9316" priority="240">
      <formula>C$9&lt;8/24</formula>
    </cfRule>
  </conditionalFormatting>
  <conditionalFormatting sqref="E50:AF50">
    <cfRule type="expression" dxfId="9315" priority="232">
      <formula>E50&gt;$AG50</formula>
    </cfRule>
  </conditionalFormatting>
  <conditionalFormatting sqref="D61:Z66">
    <cfRule type="expression" dxfId="9314" priority="215">
      <formula>D$9&gt;=20/24</formula>
    </cfRule>
    <cfRule type="expression" dxfId="9313" priority="216">
      <formula>AND(D$9&gt;=14/24,D$9&lt;20/24)</formula>
    </cfRule>
    <cfRule type="expression" dxfId="9312" priority="217">
      <formula>AND(D$9&gt;=8/24,D$9&lt;14/24)</formula>
    </cfRule>
    <cfRule type="expression" dxfId="9311" priority="218">
      <formula>D$9&lt;8/24</formula>
    </cfRule>
  </conditionalFormatting>
  <conditionalFormatting sqref="D61:Z66">
    <cfRule type="expression" dxfId="9310" priority="214">
      <formula>D61&gt;$AG61</formula>
    </cfRule>
  </conditionalFormatting>
  <conditionalFormatting sqref="C79:C83">
    <cfRule type="expression" dxfId="9309" priority="210">
      <formula>C$9&gt;=20/24</formula>
    </cfRule>
    <cfRule type="expression" dxfId="9308" priority="211">
      <formula>AND(C$9&gt;=14/24,C$9&lt;20/24)</formula>
    </cfRule>
    <cfRule type="expression" dxfId="9307" priority="212">
      <formula>AND(C$9&gt;=8/24,C$9&lt;14/24)</formula>
    </cfRule>
    <cfRule type="expression" dxfId="9306" priority="213">
      <formula>C$9&lt;8/24</formula>
    </cfRule>
  </conditionalFormatting>
  <conditionalFormatting sqref="A11">
    <cfRule type="expression" dxfId="9305" priority="209">
      <formula>$AH11=0</formula>
    </cfRule>
  </conditionalFormatting>
  <conditionalFormatting sqref="U11:AF11">
    <cfRule type="expression" dxfId="9304" priority="205">
      <formula>U$9&gt;=20/24</formula>
    </cfRule>
    <cfRule type="expression" dxfId="9303" priority="206">
      <formula>AND(U$9&gt;=14/24,U$9&lt;20/24)</formula>
    </cfRule>
    <cfRule type="expression" dxfId="9302" priority="207">
      <formula>AND(U$9&gt;=8/24,U$9&lt;14/24)</formula>
    </cfRule>
    <cfRule type="expression" dxfId="9301" priority="208">
      <formula>U$9&lt;8/24</formula>
    </cfRule>
  </conditionalFormatting>
  <conditionalFormatting sqref="U11:AF11">
    <cfRule type="expression" dxfId="9300" priority="204">
      <formula>U11&gt;$AG11</formula>
    </cfRule>
  </conditionalFormatting>
  <conditionalFormatting sqref="A18">
    <cfRule type="expression" dxfId="9299" priority="197">
      <formula>$AH18=0</formula>
    </cfRule>
  </conditionalFormatting>
  <conditionalFormatting sqref="AL18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U18:AF18">
    <cfRule type="expression" dxfId="9298" priority="193">
      <formula>U$9&gt;=20/24</formula>
    </cfRule>
    <cfRule type="expression" dxfId="9297" priority="194">
      <formula>AND(U$9&gt;=14/24,U$9&lt;20/24)</formula>
    </cfRule>
    <cfRule type="expression" dxfId="9296" priority="195">
      <formula>AND(U$9&gt;=8/24,U$9&lt;14/24)</formula>
    </cfRule>
    <cfRule type="expression" dxfId="9295" priority="196">
      <formula>U$9&lt;8/24</formula>
    </cfRule>
  </conditionalFormatting>
  <conditionalFormatting sqref="U18:AF18">
    <cfRule type="expression" dxfId="9294" priority="192">
      <formula>U18&gt;$AG18</formula>
    </cfRule>
  </conditionalFormatting>
  <conditionalFormatting sqref="A35">
    <cfRule type="expression" dxfId="9293" priority="185">
      <formula>$AH35=0</formula>
    </cfRule>
  </conditionalFormatting>
  <conditionalFormatting sqref="AL35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9292" priority="181">
      <formula>AA$9&gt;=20/24</formula>
    </cfRule>
    <cfRule type="expression" dxfId="9291" priority="182">
      <formula>AND(AA$9&gt;=14/24,AA$9&lt;20/24)</formula>
    </cfRule>
    <cfRule type="expression" dxfId="9290" priority="183">
      <formula>AND(AA$9&gt;=8/24,AA$9&lt;14/24)</formula>
    </cfRule>
    <cfRule type="expression" dxfId="9289" priority="184">
      <formula>AA$9&lt;8/24</formula>
    </cfRule>
  </conditionalFormatting>
  <conditionalFormatting sqref="AA35:AF35">
    <cfRule type="expression" dxfId="9288" priority="180">
      <formula>AA35&gt;$AG35</formula>
    </cfRule>
  </conditionalFormatting>
  <conditionalFormatting sqref="A46">
    <cfRule type="expression" dxfId="9287" priority="173">
      <formula>$AH46=0</formula>
    </cfRule>
  </conditionalFormatting>
  <conditionalFormatting sqref="AL46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9286" priority="172">
      <formula>AA46&gt;$AG46</formula>
    </cfRule>
  </conditionalFormatting>
  <conditionalFormatting sqref="AA46:AF46">
    <cfRule type="expression" dxfId="9285" priority="168">
      <formula>AA$9&gt;=20/24</formula>
    </cfRule>
    <cfRule type="expression" dxfId="9284" priority="169">
      <formula>AND(AA$9&gt;=14/24,AA$9&lt;20/24)</formula>
    </cfRule>
    <cfRule type="expression" dxfId="9283" priority="170">
      <formula>AND(AA$9&gt;=8/24,AA$9&lt;14/24)</formula>
    </cfRule>
    <cfRule type="expression" dxfId="9282" priority="171">
      <formula>AA$9&lt;8/24</formula>
    </cfRule>
  </conditionalFormatting>
  <conditionalFormatting sqref="B120">
    <cfRule type="expression" dxfId="9281" priority="27">
      <formula>B$9&gt;=20/24</formula>
    </cfRule>
    <cfRule type="expression" dxfId="9280" priority="28">
      <formula>AND(B$9&gt;=14/24,B$9&lt;20/24)</formula>
    </cfRule>
    <cfRule type="expression" dxfId="9279" priority="29">
      <formula>AND(B$9&gt;=8/24,B$9&lt;14/24)</formula>
    </cfRule>
    <cfRule type="expression" dxfId="9278" priority="30">
      <formula>B$9&lt;8/24</formula>
    </cfRule>
  </conditionalFormatting>
  <conditionalFormatting sqref="D120:AF120">
    <cfRule type="expression" dxfId="9277" priority="159">
      <formula>D$9&gt;=20/24</formula>
    </cfRule>
    <cfRule type="expression" dxfId="9276" priority="160">
      <formula>AND(D$9&gt;=14/24,D$9&lt;20/24)</formula>
    </cfRule>
    <cfRule type="expression" dxfId="9275" priority="161">
      <formula>AND(D$9&gt;=8/24,D$9&lt;14/24)</formula>
    </cfRule>
    <cfRule type="expression" dxfId="9274" priority="162">
      <formula>D$9&lt;8/24</formula>
    </cfRule>
  </conditionalFormatting>
  <conditionalFormatting sqref="C120">
    <cfRule type="expression" dxfId="9273" priority="155">
      <formula>C$9&gt;=20/24</formula>
    </cfRule>
    <cfRule type="expression" dxfId="9272" priority="156">
      <formula>AND(C$9&gt;=14/24,C$9&lt;20/24)</formula>
    </cfRule>
    <cfRule type="expression" dxfId="9271" priority="157">
      <formula>AND(C$9&gt;=8/24,C$9&lt;14/24)</formula>
    </cfRule>
    <cfRule type="expression" dxfId="9270" priority="158">
      <formula>C$9&lt;8/24</formula>
    </cfRule>
  </conditionalFormatting>
  <conditionalFormatting sqref="B111 B113:B119">
    <cfRule type="expression" dxfId="9269" priority="147">
      <formula>B$9&gt;=20/24</formula>
    </cfRule>
    <cfRule type="expression" dxfId="9268" priority="148">
      <formula>AND(B$9&gt;=14/24,B$9&lt;20/24)</formula>
    </cfRule>
    <cfRule type="expression" dxfId="9267" priority="149">
      <formula>AND(B$9&gt;=8/24,B$9&lt;14/24)</formula>
    </cfRule>
    <cfRule type="expression" dxfId="9266" priority="150">
      <formula>B$9&lt;8/24</formula>
    </cfRule>
  </conditionalFormatting>
  <conditionalFormatting sqref="B101">
    <cfRule type="expression" dxfId="9265" priority="143">
      <formula>B$9&gt;=20/24</formula>
    </cfRule>
    <cfRule type="expression" dxfId="9264" priority="144">
      <formula>AND(B$9&gt;=14/24,B$9&lt;20/24)</formula>
    </cfRule>
    <cfRule type="expression" dxfId="9263" priority="145">
      <formula>AND(B$9&gt;=8/24,B$9&lt;14/24)</formula>
    </cfRule>
    <cfRule type="expression" dxfId="9262" priority="146">
      <formula>B$9&lt;8/24</formula>
    </cfRule>
  </conditionalFormatting>
  <conditionalFormatting sqref="B73 B56:C59">
    <cfRule type="expression" dxfId="9261" priority="139">
      <formula>B$9&gt;=20/24</formula>
    </cfRule>
    <cfRule type="expression" dxfId="9260" priority="140">
      <formula>AND(B$9&gt;=14/24,B$9&lt;20/24)</formula>
    </cfRule>
    <cfRule type="expression" dxfId="9259" priority="141">
      <formula>AND(B$9&gt;=8/24,B$9&lt;14/24)</formula>
    </cfRule>
    <cfRule type="expression" dxfId="9258" priority="142">
      <formula>B$9&lt;8/24</formula>
    </cfRule>
  </conditionalFormatting>
  <conditionalFormatting sqref="B55:C55">
    <cfRule type="expression" dxfId="9257" priority="135">
      <formula>B$9&gt;=20/24</formula>
    </cfRule>
    <cfRule type="expression" dxfId="9256" priority="136">
      <formula>AND(B$9&gt;=14/24,B$9&lt;20/24)</formula>
    </cfRule>
    <cfRule type="expression" dxfId="9255" priority="137">
      <formula>AND(B$9&gt;=8/24,B$9&lt;14/24)</formula>
    </cfRule>
    <cfRule type="expression" dxfId="9254" priority="138">
      <formula>B$9&lt;8/24</formula>
    </cfRule>
  </conditionalFormatting>
  <conditionalFormatting sqref="B55:C59">
    <cfRule type="expression" dxfId="9253" priority="134">
      <formula>B55&gt;$AG55</formula>
    </cfRule>
  </conditionalFormatting>
  <conditionalFormatting sqref="B69:C71 B49:D49">
    <cfRule type="expression" dxfId="9252" priority="129">
      <formula>B49&gt;$AG49</formula>
    </cfRule>
  </conditionalFormatting>
  <conditionalFormatting sqref="B99 B90">
    <cfRule type="expression" dxfId="9251" priority="125">
      <formula>B$9&gt;=20/24</formula>
    </cfRule>
    <cfRule type="expression" dxfId="9250" priority="126">
      <formula>AND(B$9&gt;=14/24,B$9&lt;20/24)</formula>
    </cfRule>
    <cfRule type="expression" dxfId="9249" priority="127">
      <formula>AND(B$9&gt;=8/24,B$9&lt;14/24)</formula>
    </cfRule>
    <cfRule type="expression" dxfId="9248" priority="128">
      <formula>B$9&lt;8/24</formula>
    </cfRule>
  </conditionalFormatting>
  <conditionalFormatting sqref="B60:C60">
    <cfRule type="expression" dxfId="9247" priority="120">
      <formula>B60&gt;$AG60</formula>
    </cfRule>
  </conditionalFormatting>
  <conditionalFormatting sqref="B93:B97">
    <cfRule type="expression" dxfId="9246" priority="116">
      <formula>B$9&gt;=20/24</formula>
    </cfRule>
    <cfRule type="expression" dxfId="9245" priority="117">
      <formula>AND(B$9&gt;=14/24,B$9&lt;20/24)</formula>
    </cfRule>
    <cfRule type="expression" dxfId="9244" priority="118">
      <formula>AND(B$9&gt;=8/24,B$9&lt;14/24)</formula>
    </cfRule>
    <cfRule type="expression" dxfId="9243" priority="119">
      <formula>B$9&lt;8/24</formula>
    </cfRule>
  </conditionalFormatting>
  <conditionalFormatting sqref="B51:D53">
    <cfRule type="expression" dxfId="9242" priority="112">
      <formula>B$9&gt;=20/24</formula>
    </cfRule>
    <cfRule type="expression" dxfId="9241" priority="113">
      <formula>AND(B$9&gt;=14/24,B$9&lt;20/24)</formula>
    </cfRule>
    <cfRule type="expression" dxfId="9240" priority="114">
      <formula>AND(B$9&gt;=8/24,B$9&lt;14/24)</formula>
    </cfRule>
    <cfRule type="expression" dxfId="9239" priority="115">
      <formula>B$9&lt;8/24</formula>
    </cfRule>
  </conditionalFormatting>
  <conditionalFormatting sqref="B51:D53">
    <cfRule type="expression" dxfId="9238" priority="111">
      <formula>B51&gt;$AG51</formula>
    </cfRule>
  </conditionalFormatting>
  <conditionalFormatting sqref="B109">
    <cfRule type="expression" dxfId="9237" priority="107">
      <formula>B$9&gt;=20/24</formula>
    </cfRule>
    <cfRule type="expression" dxfId="9236" priority="108">
      <formula>AND(B$9&gt;=14/24,B$9&lt;20/24)</formula>
    </cfRule>
    <cfRule type="expression" dxfId="9235" priority="109">
      <formula>AND(B$9&gt;=8/24,B$9&lt;14/24)</formula>
    </cfRule>
    <cfRule type="expression" dxfId="9234" priority="110">
      <formula>B$9&lt;8/24</formula>
    </cfRule>
  </conditionalFormatting>
  <conditionalFormatting sqref="B112">
    <cfRule type="expression" dxfId="9233" priority="103">
      <formula>B$9&gt;=20/24</formula>
    </cfRule>
    <cfRule type="expression" dxfId="9232" priority="104">
      <formula>AND(B$9&gt;=14/24,B$9&lt;20/24)</formula>
    </cfRule>
    <cfRule type="expression" dxfId="9231" priority="105">
      <formula>AND(B$9&gt;=8/24,B$9&lt;14/24)</formula>
    </cfRule>
    <cfRule type="expression" dxfId="9230" priority="106">
      <formula>B$9&lt;8/24</formula>
    </cfRule>
  </conditionalFormatting>
  <conditionalFormatting sqref="B19:T30 U25:Y26 U28:Y30 B36:Z45 Z29:Z30 B32:Z34 B31:AF31">
    <cfRule type="expression" dxfId="9229" priority="99">
      <formula>B$9&gt;=20/24</formula>
    </cfRule>
    <cfRule type="expression" dxfId="9228" priority="100">
      <formula>AND(B$9&gt;=14/24,B$9&lt;20/24)</formula>
    </cfRule>
    <cfRule type="expression" dxfId="9227" priority="101">
      <formula>AND(B$9&gt;=8/24,B$9&lt;14/24)</formula>
    </cfRule>
    <cfRule type="expression" dxfId="9226" priority="102">
      <formula>B$9&lt;8/24</formula>
    </cfRule>
  </conditionalFormatting>
  <conditionalFormatting sqref="B19:T30 U25:Y26 U28:Y30 B36:Z45 Z29:Z30 B32:Z34 B31:AF31">
    <cfRule type="expression" dxfId="9225" priority="98">
      <formula>B19&gt;$AG19</formula>
    </cfRule>
  </conditionalFormatting>
  <conditionalFormatting sqref="B85:B87 B77:B83">
    <cfRule type="expression" dxfId="9224" priority="94">
      <formula>B$9&gt;=20/24</formula>
    </cfRule>
    <cfRule type="expression" dxfId="9223" priority="95">
      <formula>AND(B$9&gt;=14/24,B$9&lt;20/24)</formula>
    </cfRule>
    <cfRule type="expression" dxfId="9222" priority="96">
      <formula>AND(B$9&gt;=8/24,B$9&lt;14/24)</formula>
    </cfRule>
    <cfRule type="expression" dxfId="9221" priority="97">
      <formula>B$9&lt;8/24</formula>
    </cfRule>
  </conditionalFormatting>
  <conditionalFormatting sqref="B89 B91 B100 B72">
    <cfRule type="expression" dxfId="9220" priority="90">
      <formula>B$9&gt;=20/24</formula>
    </cfRule>
    <cfRule type="expression" dxfId="9219" priority="91">
      <formula>AND(B$9&gt;=14/24,B$9&lt;20/24)</formula>
    </cfRule>
    <cfRule type="expression" dxfId="9218" priority="92">
      <formula>AND(B$9&gt;=8/24,B$9&lt;14/24)</formula>
    </cfRule>
    <cfRule type="expression" dxfId="9217" priority="93">
      <formula>B$9&lt;8/24</formula>
    </cfRule>
  </conditionalFormatting>
  <conditionalFormatting sqref="B72 B67:C68">
    <cfRule type="expression" dxfId="9216" priority="89">
      <formula>B67&gt;$AG67</formula>
    </cfRule>
  </conditionalFormatting>
  <conditionalFormatting sqref="B84">
    <cfRule type="expression" dxfId="9215" priority="85">
      <formula>B$9&gt;=20/24</formula>
    </cfRule>
    <cfRule type="expression" dxfId="9214" priority="86">
      <formula>AND(B$9&gt;=14/24,B$9&lt;20/24)</formula>
    </cfRule>
    <cfRule type="expression" dxfId="9213" priority="87">
      <formula>AND(B$9&gt;=8/24,B$9&lt;14/24)</formula>
    </cfRule>
    <cfRule type="expression" dxfId="9212" priority="88">
      <formula>B$9&lt;8/24</formula>
    </cfRule>
  </conditionalFormatting>
  <conditionalFormatting sqref="B54:C54">
    <cfRule type="expression" dxfId="9211" priority="81">
      <formula>B$9&gt;=20/24</formula>
    </cfRule>
    <cfRule type="expression" dxfId="9210" priority="82">
      <formula>AND(B$9&gt;=14/24,B$9&lt;20/24)</formula>
    </cfRule>
    <cfRule type="expression" dxfId="9209" priority="83">
      <formula>AND(B$9&gt;=8/24,B$9&lt;14/24)</formula>
    </cfRule>
    <cfRule type="expression" dxfId="9208" priority="84">
      <formula>B$9&lt;8/24</formula>
    </cfRule>
  </conditionalFormatting>
  <conditionalFormatting sqref="B54:C54">
    <cfRule type="expression" dxfId="9207" priority="80">
      <formula>B54&gt;$AG54</formula>
    </cfRule>
  </conditionalFormatting>
  <conditionalFormatting sqref="B61:C66">
    <cfRule type="expression" dxfId="9206" priority="72">
      <formula>B$9&gt;=20/24</formula>
    </cfRule>
    <cfRule type="expression" dxfId="9205" priority="73">
      <formula>AND(B$9&gt;=14/24,B$9&lt;20/24)</formula>
    </cfRule>
    <cfRule type="expression" dxfId="9204" priority="74">
      <formula>AND(B$9&gt;=8/24,B$9&lt;14/24)</formula>
    </cfRule>
    <cfRule type="expression" dxfId="9203" priority="75">
      <formula>B$9&lt;8/24</formula>
    </cfRule>
  </conditionalFormatting>
  <conditionalFormatting sqref="B61:C66">
    <cfRule type="expression" dxfId="9202" priority="71">
      <formula>B61&gt;$AG61</formula>
    </cfRule>
  </conditionalFormatting>
  <conditionalFormatting sqref="B47:Z47">
    <cfRule type="expression" dxfId="9201" priority="70">
      <formula>B47&gt;$AG47</formula>
    </cfRule>
  </conditionalFormatting>
  <conditionalFormatting sqref="B13:T13">
    <cfRule type="expression" dxfId="9200" priority="66">
      <formula>B$9&gt;=20/24</formula>
    </cfRule>
    <cfRule type="expression" dxfId="9199" priority="67">
      <formula>AND(B$9&gt;=14/24,B$9&lt;20/24)</formula>
    </cfRule>
    <cfRule type="expression" dxfId="9198" priority="68">
      <formula>AND(B$9&gt;=8/24,B$9&lt;14/24)</formula>
    </cfRule>
    <cfRule type="expression" dxfId="9197" priority="69">
      <formula>B$9&lt;8/24</formula>
    </cfRule>
  </conditionalFormatting>
  <conditionalFormatting sqref="B13:T13">
    <cfRule type="expression" dxfId="9196" priority="65">
      <formula>B13&gt;$AG13</formula>
    </cfRule>
  </conditionalFormatting>
  <conditionalFormatting sqref="B47:Z47">
    <cfRule type="expression" dxfId="9195" priority="57">
      <formula>B$9&gt;=20/24</formula>
    </cfRule>
    <cfRule type="expression" dxfId="9194" priority="58">
      <formula>AND(B$9&gt;=14/24,B$9&lt;20/24)</formula>
    </cfRule>
    <cfRule type="expression" dxfId="9193" priority="59">
      <formula>AND(B$9&gt;=8/24,B$9&lt;14/24)</formula>
    </cfRule>
    <cfRule type="expression" dxfId="9192" priority="60">
      <formula>B$9&lt;8/24</formula>
    </cfRule>
  </conditionalFormatting>
  <conditionalFormatting sqref="B48:Z48">
    <cfRule type="expression" dxfId="9191" priority="53">
      <formula>B$9&gt;=20/24</formula>
    </cfRule>
    <cfRule type="expression" dxfId="9190" priority="54">
      <formula>AND(B$9&gt;=14/24,B$9&lt;20/24)</formula>
    </cfRule>
    <cfRule type="expression" dxfId="9189" priority="55">
      <formula>AND(B$9&gt;=8/24,B$9&lt;14/24)</formula>
    </cfRule>
    <cfRule type="expression" dxfId="9188" priority="56">
      <formula>B$9&lt;8/24</formula>
    </cfRule>
  </conditionalFormatting>
  <conditionalFormatting sqref="B48:Z48">
    <cfRule type="expression" dxfId="9187" priority="52">
      <formula>B48&gt;$AG48</formula>
    </cfRule>
  </conditionalFormatting>
  <conditionalFormatting sqref="B50:D50">
    <cfRule type="expression" dxfId="9186" priority="51">
      <formula>B50&gt;$AG50</formula>
    </cfRule>
  </conditionalFormatting>
  <conditionalFormatting sqref="B11:T11">
    <cfRule type="expression" dxfId="9185" priority="47">
      <formula>B$9&gt;=20/24</formula>
    </cfRule>
    <cfRule type="expression" dxfId="9184" priority="48">
      <formula>AND(B$9&gt;=14/24,B$9&lt;20/24)</formula>
    </cfRule>
    <cfRule type="expression" dxfId="9183" priority="49">
      <formula>AND(B$9&gt;=8/24,B$9&lt;14/24)</formula>
    </cfRule>
    <cfRule type="expression" dxfId="9182" priority="50">
      <formula>B$9&lt;8/24</formula>
    </cfRule>
  </conditionalFormatting>
  <conditionalFormatting sqref="B11:T11">
    <cfRule type="expression" dxfId="9181" priority="46">
      <formula>B11&gt;$AG11</formula>
    </cfRule>
  </conditionalFormatting>
  <conditionalFormatting sqref="B18:T18">
    <cfRule type="expression" dxfId="9180" priority="42">
      <formula>B$9&gt;=20/24</formula>
    </cfRule>
    <cfRule type="expression" dxfId="9179" priority="43">
      <formula>AND(B$9&gt;=14/24,B$9&lt;20/24)</formula>
    </cfRule>
    <cfRule type="expression" dxfId="9178" priority="44">
      <formula>AND(B$9&gt;=8/24,B$9&lt;14/24)</formula>
    </cfRule>
    <cfRule type="expression" dxfId="9177" priority="45">
      <formula>B$9&lt;8/24</formula>
    </cfRule>
  </conditionalFormatting>
  <conditionalFormatting sqref="B18:T18">
    <cfRule type="expression" dxfId="9176" priority="41">
      <formula>B18&gt;$AG18</formula>
    </cfRule>
  </conditionalFormatting>
  <conditionalFormatting sqref="B35:Z35">
    <cfRule type="expression" dxfId="9175" priority="37">
      <formula>B$9&gt;=20/24</formula>
    </cfRule>
    <cfRule type="expression" dxfId="9174" priority="38">
      <formula>AND(B$9&gt;=14/24,B$9&lt;20/24)</formula>
    </cfRule>
    <cfRule type="expression" dxfId="9173" priority="39">
      <formula>AND(B$9&gt;=8/24,B$9&lt;14/24)</formula>
    </cfRule>
    <cfRule type="expression" dxfId="9172" priority="40">
      <formula>B$9&lt;8/24</formula>
    </cfRule>
  </conditionalFormatting>
  <conditionalFormatting sqref="B35:Z35">
    <cfRule type="expression" dxfId="9171" priority="36">
      <formula>B35&gt;$AG35</formula>
    </cfRule>
  </conditionalFormatting>
  <conditionalFormatting sqref="B46:Z46">
    <cfRule type="expression" dxfId="9170" priority="35">
      <formula>B46&gt;$AG46</formula>
    </cfRule>
  </conditionalFormatting>
  <conditionalFormatting sqref="B46:Z46">
    <cfRule type="expression" dxfId="9169" priority="31">
      <formula>B$9&gt;=20/24</formula>
    </cfRule>
    <cfRule type="expression" dxfId="9168" priority="32">
      <formula>AND(B$9&gt;=14/24,B$9&lt;20/24)</formula>
    </cfRule>
    <cfRule type="expression" dxfId="9167" priority="33">
      <formula>AND(B$9&gt;=8/24,B$9&lt;14/24)</formula>
    </cfRule>
    <cfRule type="expression" dxfId="9166" priority="34">
      <formula>B$9&lt;8/24</formula>
    </cfRule>
  </conditionalFormatting>
  <conditionalFormatting sqref="AE55:AF60">
    <cfRule type="expression" dxfId="9165" priority="23">
      <formula>AE$9&gt;=20/24</formula>
    </cfRule>
    <cfRule type="expression" dxfId="9164" priority="24">
      <formula>AND(AE$9&gt;=14/24,AE$9&lt;20/24)</formula>
    </cfRule>
    <cfRule type="expression" dxfId="9163" priority="25">
      <formula>AND(AE$9&gt;=8/24,AE$9&lt;14/24)</formula>
    </cfRule>
    <cfRule type="expression" dxfId="9162" priority="26">
      <formula>AE$9&lt;8/24</formula>
    </cfRule>
  </conditionalFormatting>
  <conditionalFormatting sqref="AE55:AF60">
    <cfRule type="expression" dxfId="9161" priority="22">
      <formula>AE55&gt;$AG55</formula>
    </cfRule>
  </conditionalFormatting>
  <conditionalFormatting sqref="AE61:AF66">
    <cfRule type="expression" dxfId="9160" priority="18">
      <formula>AE$9&gt;=20/24</formula>
    </cfRule>
    <cfRule type="expression" dxfId="9159" priority="19">
      <formula>AND(AE$9&gt;=14/24,AE$9&lt;20/24)</formula>
    </cfRule>
    <cfRule type="expression" dxfId="9158" priority="20">
      <formula>AND(AE$9&gt;=8/24,AE$9&lt;14/24)</formula>
    </cfRule>
    <cfRule type="expression" dxfId="9157" priority="21">
      <formula>AE$9&lt;8/24</formula>
    </cfRule>
  </conditionalFormatting>
  <conditionalFormatting sqref="AE61:AF66">
    <cfRule type="expression" dxfId="9156" priority="17">
      <formula>AE61&gt;$AG61</formula>
    </cfRule>
  </conditionalFormatting>
  <conditionalFormatting sqref="AE73">
    <cfRule type="expression" dxfId="9155" priority="13">
      <formula>AE$9&gt;=20/24</formula>
    </cfRule>
    <cfRule type="expression" dxfId="9154" priority="14">
      <formula>AND(AE$9&gt;=14/24,AE$9&lt;20/24)</formula>
    </cfRule>
    <cfRule type="expression" dxfId="9153" priority="15">
      <formula>AND(AE$9&gt;=8/24,AE$9&lt;14/24)</formula>
    </cfRule>
    <cfRule type="expression" dxfId="9152" priority="16">
      <formula>AE$9&lt;8/24</formula>
    </cfRule>
  </conditionalFormatting>
  <conditionalFormatting sqref="AE74:AE75">
    <cfRule type="expression" dxfId="9151" priority="9">
      <formula>AE$9&gt;=20/24</formula>
    </cfRule>
    <cfRule type="expression" dxfId="9150" priority="10">
      <formula>AND(AE$9&gt;=14/24,AE$9&lt;20/24)</formula>
    </cfRule>
    <cfRule type="expression" dxfId="9149" priority="11">
      <formula>AND(AE$9&gt;=8/24,AE$9&lt;14/24)</formula>
    </cfRule>
    <cfRule type="expression" dxfId="9148" priority="12">
      <formula>AE$9&lt;8/24</formula>
    </cfRule>
  </conditionalFormatting>
  <conditionalFormatting sqref="AE76:AF78">
    <cfRule type="expression" dxfId="9147" priority="5">
      <formula>AE$9&gt;=20/24</formula>
    </cfRule>
    <cfRule type="expression" dxfId="9146" priority="6">
      <formula>AND(AE$9&gt;=14/24,AE$9&lt;20/24)</formula>
    </cfRule>
    <cfRule type="expression" dxfId="9145" priority="7">
      <formula>AND(AE$9&gt;=8/24,AE$9&lt;14/24)</formula>
    </cfRule>
    <cfRule type="expression" dxfId="9144" priority="8">
      <formula>AE$9&lt;8/24</formula>
    </cfRule>
  </conditionalFormatting>
  <conditionalFormatting sqref="AE79:AF83">
    <cfRule type="expression" dxfId="9143" priority="1">
      <formula>AE$9&gt;=20/24</formula>
    </cfRule>
    <cfRule type="expression" dxfId="9142" priority="2">
      <formula>AND(AE$9&gt;=14/24,AE$9&lt;20/24)</formula>
    </cfRule>
    <cfRule type="expression" dxfId="9141" priority="3">
      <formula>AND(AE$9&gt;=8/24,AE$9&lt;14/24)</formula>
    </cfRule>
    <cfRule type="expression" dxfId="9140" priority="4">
      <formula>AE$9&lt;8/24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1" id="{334B8B12-2AD2-47ED-A58B-AB8E57D71E8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32" id="{21C46013-EE0A-458F-908C-F96DD1FFD41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33" id="{61BA0BF0-C7E9-4271-93F9-BA689CA46AA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34" id="{9D15AFE2-875A-4A2F-904A-F9CCAB88662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6" id="{70448C09-CAC8-49C5-B5E6-20E8152237F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7" id="{6504BD1B-F431-49E4-911E-4D97CF50D50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8" id="{3359A4A4-C714-4FBF-A9AE-1D6F758760B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9" id="{6C79C4BE-C1CF-43A4-BB10-185EFC48E9B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CJ281"/>
  <sheetViews>
    <sheetView zoomScaleNormal="100" workbookViewId="0">
      <pane ySplit="10" topLeftCell="A59" activePane="bottomLeft" state="frozen"/>
      <selection activeCell="Z85" sqref="Z85"/>
      <selection pane="bottomLeft" activeCell="C75" sqref="C75:I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919.68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2080/02/13</v>
      </c>
      <c r="C4" s="191"/>
      <c r="D4" s="191"/>
      <c r="E4" s="192" t="str">
        <f ca="1">"2080/"&amp;"02/"&amp;INT(MID(CELL("filename",G6),FIND("]",CELL("filename",G6))+1,200))</f>
        <v>2080/02/13</v>
      </c>
      <c r="F4" s="192"/>
      <c r="G4" s="192"/>
      <c r="H4" s="192" t="str">
        <f>TEXT(E6,"dddd")</f>
        <v>Saturday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2.6</v>
      </c>
      <c r="J5" s="30">
        <f t="shared" si="0"/>
        <v>40</v>
      </c>
      <c r="K5" s="30">
        <f t="shared" si="0"/>
        <v>53</v>
      </c>
      <c r="L5" s="30">
        <f t="shared" si="0"/>
        <v>58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6.2</v>
      </c>
      <c r="S5" s="30">
        <f t="shared" si="0"/>
        <v>5.7</v>
      </c>
      <c r="T5" s="30">
        <f t="shared" si="0"/>
        <v>5.7</v>
      </c>
      <c r="U5" s="30">
        <f t="shared" si="0"/>
        <v>5.7</v>
      </c>
      <c r="V5" s="30">
        <f t="shared" si="0"/>
        <v>5.7</v>
      </c>
      <c r="W5" s="30">
        <f t="shared" si="0"/>
        <v>5.7</v>
      </c>
      <c r="X5" s="30">
        <f t="shared" si="0"/>
        <v>0</v>
      </c>
      <c r="Y5" s="30">
        <f t="shared" si="0"/>
        <v>0</v>
      </c>
      <c r="Z5" s="30">
        <f t="shared" si="0"/>
        <v>52</v>
      </c>
      <c r="AA5" s="30">
        <f t="shared" si="0"/>
        <v>13</v>
      </c>
      <c r="AB5" s="30">
        <f t="shared" si="0"/>
        <v>11.5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B84</f>
        <v>35.6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1352MW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1515.59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1315.7399999999998</v>
      </c>
      <c r="C7" s="35">
        <f t="shared" si="1"/>
        <v>1380.34</v>
      </c>
      <c r="D7" s="35">
        <f t="shared" si="1"/>
        <v>1348.94</v>
      </c>
      <c r="E7" s="35">
        <f t="shared" si="1"/>
        <v>1228.6399999999999</v>
      </c>
      <c r="F7" s="35">
        <f t="shared" si="1"/>
        <v>1304.1399999999999</v>
      </c>
      <c r="G7" s="35">
        <f t="shared" si="1"/>
        <v>1346.04</v>
      </c>
      <c r="H7" s="35">
        <f t="shared" si="1"/>
        <v>3.54</v>
      </c>
      <c r="I7" s="35">
        <f t="shared" si="1"/>
        <v>1265.04</v>
      </c>
      <c r="J7" s="35">
        <f t="shared" si="1"/>
        <v>1217.6399999999999</v>
      </c>
      <c r="K7" s="35">
        <f t="shared" si="1"/>
        <v>1270.1399999999999</v>
      </c>
      <c r="L7" s="35">
        <f t="shared" si="1"/>
        <v>1337.34</v>
      </c>
      <c r="M7" s="35">
        <f t="shared" si="1"/>
        <v>1332.84</v>
      </c>
      <c r="N7" s="35">
        <f>N91</f>
        <v>1351.7399999999998</v>
      </c>
      <c r="O7" s="35">
        <f t="shared" si="1"/>
        <v>1351.7399999999998</v>
      </c>
      <c r="P7" s="35">
        <f t="shared" si="1"/>
        <v>1334.94</v>
      </c>
      <c r="Q7" s="35">
        <f t="shared" si="1"/>
        <v>1365.94</v>
      </c>
      <c r="R7" s="35">
        <f t="shared" si="1"/>
        <v>1343.94</v>
      </c>
      <c r="S7" s="35">
        <f t="shared" si="1"/>
        <v>1392.14</v>
      </c>
      <c r="T7" s="35">
        <f t="shared" si="1"/>
        <v>1396.64</v>
      </c>
      <c r="U7" s="35">
        <f t="shared" si="1"/>
        <v>1337.64</v>
      </c>
      <c r="V7" s="35">
        <f t="shared" si="1"/>
        <v>1282.6400000000001</v>
      </c>
      <c r="W7" s="35">
        <f t="shared" si="1"/>
        <v>1272.6400000000001</v>
      </c>
      <c r="X7" s="35">
        <f t="shared" si="1"/>
        <v>1208.44</v>
      </c>
      <c r="Y7" s="35">
        <f t="shared" si="1"/>
        <v>1301.6399999999999</v>
      </c>
      <c r="Z7" s="35">
        <f t="shared" si="1"/>
        <v>1372.6399999999999</v>
      </c>
      <c r="AA7" s="35">
        <f t="shared" si="1"/>
        <v>1699.54</v>
      </c>
      <c r="AB7" s="35">
        <f t="shared" si="1"/>
        <v>1499.44</v>
      </c>
      <c r="AC7" s="35">
        <f t="shared" si="1"/>
        <v>1503.34</v>
      </c>
      <c r="AD7" s="35">
        <f t="shared" si="1"/>
        <v>1469.84</v>
      </c>
      <c r="AE7" s="35">
        <f t="shared" si="1"/>
        <v>1414.34</v>
      </c>
      <c r="AF7" s="35">
        <f t="shared" si="1"/>
        <v>1340.84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34</v>
      </c>
      <c r="C11" s="45">
        <v>34</v>
      </c>
      <c r="D11" s="45">
        <v>34</v>
      </c>
      <c r="E11" s="45">
        <v>34</v>
      </c>
      <c r="F11" s="45">
        <v>34</v>
      </c>
      <c r="G11" s="45">
        <v>34</v>
      </c>
      <c r="H11" s="45"/>
      <c r="I11" s="45">
        <v>34</v>
      </c>
      <c r="J11" s="45">
        <v>34</v>
      </c>
      <c r="K11" s="45">
        <v>34</v>
      </c>
      <c r="L11" s="45">
        <v>34</v>
      </c>
      <c r="M11" s="45">
        <v>34</v>
      </c>
      <c r="N11" s="45">
        <v>34</v>
      </c>
      <c r="O11" s="45">
        <v>34</v>
      </c>
      <c r="P11" s="45">
        <v>38</v>
      </c>
      <c r="Q11" s="45">
        <v>38</v>
      </c>
      <c r="R11" s="45">
        <v>38</v>
      </c>
      <c r="S11" s="45">
        <v>38</v>
      </c>
      <c r="T11" s="45">
        <v>38</v>
      </c>
      <c r="U11" s="45">
        <v>38</v>
      </c>
      <c r="V11" s="45">
        <v>38</v>
      </c>
      <c r="W11" s="45">
        <v>38</v>
      </c>
      <c r="X11" s="45">
        <v>38</v>
      </c>
      <c r="Y11" s="45">
        <v>38</v>
      </c>
      <c r="Z11" s="45">
        <v>38</v>
      </c>
      <c r="AA11" s="45">
        <v>38</v>
      </c>
      <c r="AB11" s="45">
        <v>38</v>
      </c>
      <c r="AC11" s="45">
        <v>38</v>
      </c>
      <c r="AD11" s="45">
        <v>38</v>
      </c>
      <c r="AE11" s="45">
        <v>38</v>
      </c>
      <c r="AF11" s="45">
        <v>38</v>
      </c>
      <c r="AG11" s="46">
        <v>86</v>
      </c>
      <c r="AH11" s="47">
        <f t="shared" ref="AH11:AH76" si="2">MAX(B11:AF11)</f>
        <v>38</v>
      </c>
      <c r="AI11" s="48">
        <f t="shared" ref="AI11:AI76" si="3">MIN(B11:AF11)</f>
        <v>34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20</v>
      </c>
      <c r="C12" s="45">
        <v>20</v>
      </c>
      <c r="D12" s="45">
        <v>20</v>
      </c>
      <c r="E12" s="45">
        <v>20</v>
      </c>
      <c r="F12" s="45">
        <v>20</v>
      </c>
      <c r="G12" s="45">
        <v>20</v>
      </c>
      <c r="H12" s="45"/>
      <c r="I12" s="45">
        <v>20</v>
      </c>
      <c r="J12" s="45">
        <v>20</v>
      </c>
      <c r="K12" s="45">
        <v>20</v>
      </c>
      <c r="L12" s="45">
        <v>20</v>
      </c>
      <c r="M12" s="45">
        <v>27</v>
      </c>
      <c r="N12" s="45">
        <v>27</v>
      </c>
      <c r="O12" s="45">
        <v>27</v>
      </c>
      <c r="P12" s="45">
        <v>25</v>
      </c>
      <c r="Q12" s="45">
        <v>25</v>
      </c>
      <c r="R12" s="45">
        <v>25</v>
      </c>
      <c r="S12" s="45">
        <v>25</v>
      </c>
      <c r="T12" s="45">
        <v>25</v>
      </c>
      <c r="U12" s="45">
        <v>25</v>
      </c>
      <c r="V12" s="45">
        <v>25</v>
      </c>
      <c r="W12" s="45">
        <v>25</v>
      </c>
      <c r="X12" s="45">
        <v>25</v>
      </c>
      <c r="Y12" s="45">
        <v>25</v>
      </c>
      <c r="Z12" s="45">
        <v>26</v>
      </c>
      <c r="AA12" s="45">
        <v>35</v>
      </c>
      <c r="AB12" s="45">
        <v>27</v>
      </c>
      <c r="AC12" s="45">
        <v>27</v>
      </c>
      <c r="AD12" s="45">
        <v>27</v>
      </c>
      <c r="AE12" s="45">
        <v>27</v>
      </c>
      <c r="AF12" s="45">
        <v>15</v>
      </c>
      <c r="AG12" s="50">
        <v>54</v>
      </c>
      <c r="AH12" s="47">
        <f t="shared" si="2"/>
        <v>35</v>
      </c>
      <c r="AI12" s="48">
        <f t="shared" si="3"/>
        <v>15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26.5</v>
      </c>
      <c r="C13" s="45">
        <v>26.5</v>
      </c>
      <c r="D13" s="45">
        <v>26.5</v>
      </c>
      <c r="E13" s="45">
        <v>26.5</v>
      </c>
      <c r="F13" s="45">
        <v>26.5</v>
      </c>
      <c r="G13" s="45">
        <v>26.5</v>
      </c>
      <c r="H13" s="45"/>
      <c r="I13" s="45">
        <v>26.5</v>
      </c>
      <c r="J13" s="45">
        <v>26.5</v>
      </c>
      <c r="K13" s="45">
        <v>26.5</v>
      </c>
      <c r="L13" s="45">
        <v>26.5</v>
      </c>
      <c r="M13" s="45">
        <v>26.5</v>
      </c>
      <c r="N13" s="45">
        <v>26.5</v>
      </c>
      <c r="O13" s="45">
        <v>26.5</v>
      </c>
      <c r="P13" s="45">
        <v>28.6</v>
      </c>
      <c r="Q13" s="45">
        <v>28.6</v>
      </c>
      <c r="R13" s="45">
        <v>28.6</v>
      </c>
      <c r="S13" s="45">
        <v>28.6</v>
      </c>
      <c r="T13" s="45">
        <v>28.6</v>
      </c>
      <c r="U13" s="45">
        <v>28.6</v>
      </c>
      <c r="V13" s="45">
        <v>28.6</v>
      </c>
      <c r="W13" s="45">
        <v>28.6</v>
      </c>
      <c r="X13" s="45">
        <v>28.6</v>
      </c>
      <c r="Y13" s="45">
        <v>28.6</v>
      </c>
      <c r="Z13" s="45">
        <v>26.5</v>
      </c>
      <c r="AA13" s="45">
        <v>22.1</v>
      </c>
      <c r="AB13" s="45">
        <v>25.6</v>
      </c>
      <c r="AC13" s="45">
        <v>25.6</v>
      </c>
      <c r="AD13" s="45">
        <v>25.6</v>
      </c>
      <c r="AE13" s="45">
        <v>25.6</v>
      </c>
      <c r="AF13" s="45">
        <v>25.6</v>
      </c>
      <c r="AG13" s="46">
        <v>52.4</v>
      </c>
      <c r="AH13" s="47">
        <f t="shared" si="2"/>
        <v>28.6</v>
      </c>
      <c r="AI13" s="48">
        <f t="shared" si="3"/>
        <v>22.1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50.5</v>
      </c>
      <c r="C14" s="45">
        <v>50.5</v>
      </c>
      <c r="D14" s="45">
        <v>50.5</v>
      </c>
      <c r="E14" s="45">
        <v>50.5</v>
      </c>
      <c r="F14" s="45">
        <v>50.5</v>
      </c>
      <c r="G14" s="45">
        <v>50.5</v>
      </c>
      <c r="H14" s="58"/>
      <c r="I14" s="58">
        <v>50.5</v>
      </c>
      <c r="J14" s="58">
        <v>50.5</v>
      </c>
      <c r="K14" s="58">
        <v>50.5</v>
      </c>
      <c r="L14" s="58">
        <v>50.5</v>
      </c>
      <c r="M14" s="58">
        <v>50.5</v>
      </c>
      <c r="N14" s="58">
        <v>50.5</v>
      </c>
      <c r="O14" s="58">
        <v>50.5</v>
      </c>
      <c r="P14" s="58">
        <v>50.5</v>
      </c>
      <c r="Q14" s="58">
        <v>50.5</v>
      </c>
      <c r="R14" s="58">
        <v>50.5</v>
      </c>
      <c r="S14" s="58">
        <v>50.5</v>
      </c>
      <c r="T14" s="58">
        <v>50.5</v>
      </c>
      <c r="U14" s="58">
        <v>50.5</v>
      </c>
      <c r="V14" s="58">
        <v>50.5</v>
      </c>
      <c r="W14" s="58">
        <v>50.5</v>
      </c>
      <c r="X14" s="58">
        <v>50.5</v>
      </c>
      <c r="Y14" s="58">
        <v>50.5</v>
      </c>
      <c r="Z14" s="58">
        <v>50.5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50">
        <v>50</v>
      </c>
      <c r="AH14" s="47">
        <f t="shared" si="2"/>
        <v>50.5</v>
      </c>
      <c r="AI14" s="48">
        <f t="shared" si="3"/>
        <v>50.5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25</v>
      </c>
      <c r="C15" s="45">
        <v>25</v>
      </c>
      <c r="D15" s="45">
        <v>25</v>
      </c>
      <c r="E15" s="45">
        <v>25</v>
      </c>
      <c r="F15" s="45">
        <v>25</v>
      </c>
      <c r="G15" s="45">
        <v>25</v>
      </c>
      <c r="H15" s="45"/>
      <c r="I15" s="45">
        <v>25</v>
      </c>
      <c r="J15" s="45">
        <v>25</v>
      </c>
      <c r="K15" s="45">
        <v>25</v>
      </c>
      <c r="L15" s="45">
        <v>25</v>
      </c>
      <c r="M15" s="45">
        <v>25</v>
      </c>
      <c r="N15" s="45">
        <v>25</v>
      </c>
      <c r="O15" s="45">
        <v>25</v>
      </c>
      <c r="P15" s="45">
        <v>23.1</v>
      </c>
      <c r="Q15" s="45">
        <v>23.1</v>
      </c>
      <c r="R15" s="45">
        <v>23.1</v>
      </c>
      <c r="S15" s="45">
        <v>23.1</v>
      </c>
      <c r="T15" s="45">
        <v>23.1</v>
      </c>
      <c r="U15" s="45">
        <v>23.1</v>
      </c>
      <c r="V15" s="45">
        <v>23.1</v>
      </c>
      <c r="W15" s="45">
        <v>23.1</v>
      </c>
      <c r="X15" s="45">
        <v>29</v>
      </c>
      <c r="Y15" s="45">
        <v>29</v>
      </c>
      <c r="Z15" s="45">
        <v>29</v>
      </c>
      <c r="AA15" s="45">
        <v>28</v>
      </c>
      <c r="AB15" s="45">
        <v>28</v>
      </c>
      <c r="AC15" s="45">
        <v>28</v>
      </c>
      <c r="AD15" s="45">
        <v>28</v>
      </c>
      <c r="AE15" s="45">
        <v>28</v>
      </c>
      <c r="AF15" s="45">
        <v>28</v>
      </c>
      <c r="AG15" s="50">
        <v>45</v>
      </c>
      <c r="AH15" s="47">
        <f t="shared" si="2"/>
        <v>29</v>
      </c>
      <c r="AI15" s="48">
        <f t="shared" si="3"/>
        <v>23.1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43</v>
      </c>
      <c r="C16" s="45">
        <v>43</v>
      </c>
      <c r="D16" s="45">
        <v>43</v>
      </c>
      <c r="E16" s="45">
        <v>43</v>
      </c>
      <c r="F16" s="45">
        <v>43</v>
      </c>
      <c r="G16" s="45">
        <v>43</v>
      </c>
      <c r="H16" s="45"/>
      <c r="I16" s="45">
        <v>43</v>
      </c>
      <c r="J16" s="45">
        <v>43</v>
      </c>
      <c r="K16" s="45">
        <v>43</v>
      </c>
      <c r="L16" s="45">
        <v>43</v>
      </c>
      <c r="M16" s="45">
        <v>43</v>
      </c>
      <c r="N16" s="45">
        <v>43</v>
      </c>
      <c r="O16" s="45">
        <v>43</v>
      </c>
      <c r="P16" s="45">
        <v>43</v>
      </c>
      <c r="Q16" s="45">
        <v>43</v>
      </c>
      <c r="R16" s="45">
        <v>43</v>
      </c>
      <c r="S16" s="45">
        <v>43</v>
      </c>
      <c r="T16" s="45">
        <v>43</v>
      </c>
      <c r="U16" s="45">
        <v>43</v>
      </c>
      <c r="V16" s="45">
        <v>43</v>
      </c>
      <c r="W16" s="45">
        <v>43</v>
      </c>
      <c r="X16" s="45">
        <v>43</v>
      </c>
      <c r="Y16" s="45">
        <v>43</v>
      </c>
      <c r="Z16" s="45">
        <v>43</v>
      </c>
      <c r="AA16" s="45">
        <v>43</v>
      </c>
      <c r="AB16" s="45">
        <v>43</v>
      </c>
      <c r="AC16" s="45">
        <v>43</v>
      </c>
      <c r="AD16" s="45">
        <v>43</v>
      </c>
      <c r="AE16" s="45">
        <v>43</v>
      </c>
      <c r="AF16" s="45">
        <v>43</v>
      </c>
      <c r="AG16" s="50">
        <v>44</v>
      </c>
      <c r="AH16" s="47">
        <f>MAX(B16:AG16)</f>
        <v>44</v>
      </c>
      <c r="AI16" s="48">
        <f>MIN(B16:AG16)</f>
        <v>43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28</v>
      </c>
      <c r="H17" s="45"/>
      <c r="I17" s="45">
        <v>15</v>
      </c>
      <c r="J17" s="45">
        <v>15</v>
      </c>
      <c r="K17" s="45">
        <v>28</v>
      </c>
      <c r="L17" s="45">
        <v>28</v>
      </c>
      <c r="M17" s="45">
        <v>28</v>
      </c>
      <c r="N17" s="45">
        <v>28</v>
      </c>
      <c r="O17" s="45">
        <v>28</v>
      </c>
      <c r="P17" s="45">
        <v>21</v>
      </c>
      <c r="Q17" s="45">
        <v>21</v>
      </c>
      <c r="R17" s="45">
        <v>21</v>
      </c>
      <c r="S17" s="45">
        <v>21</v>
      </c>
      <c r="T17" s="45">
        <v>21</v>
      </c>
      <c r="U17" s="45">
        <v>21</v>
      </c>
      <c r="V17" s="45">
        <v>21</v>
      </c>
      <c r="W17" s="45">
        <v>21</v>
      </c>
      <c r="X17" s="45">
        <v>21</v>
      </c>
      <c r="Y17" s="45">
        <v>24</v>
      </c>
      <c r="Z17" s="45">
        <v>24.8</v>
      </c>
      <c r="AA17" s="45">
        <v>28</v>
      </c>
      <c r="AB17" s="45">
        <v>22</v>
      </c>
      <c r="AC17" s="45">
        <v>22</v>
      </c>
      <c r="AD17" s="45">
        <v>22</v>
      </c>
      <c r="AE17" s="45">
        <v>22</v>
      </c>
      <c r="AF17" s="45">
        <v>22</v>
      </c>
      <c r="AG17" s="50">
        <v>42</v>
      </c>
      <c r="AH17" s="47">
        <f t="shared" si="2"/>
        <v>28</v>
      </c>
      <c r="AI17" s="48">
        <f t="shared" si="3"/>
        <v>15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24</v>
      </c>
      <c r="C18" s="45">
        <v>24</v>
      </c>
      <c r="D18" s="45">
        <v>24</v>
      </c>
      <c r="E18" s="45">
        <v>24</v>
      </c>
      <c r="F18" s="45">
        <v>24</v>
      </c>
      <c r="G18" s="45">
        <v>24</v>
      </c>
      <c r="H18" s="45"/>
      <c r="I18" s="45">
        <v>24</v>
      </c>
      <c r="J18" s="45">
        <v>24</v>
      </c>
      <c r="K18" s="45">
        <v>24</v>
      </c>
      <c r="L18" s="45">
        <v>24</v>
      </c>
      <c r="M18" s="45">
        <v>24</v>
      </c>
      <c r="N18" s="45">
        <v>24</v>
      </c>
      <c r="O18" s="45">
        <v>24</v>
      </c>
      <c r="P18" s="45">
        <v>24</v>
      </c>
      <c r="Q18" s="45">
        <v>24</v>
      </c>
      <c r="R18" s="45">
        <v>24</v>
      </c>
      <c r="S18" s="45">
        <v>24</v>
      </c>
      <c r="T18" s="45">
        <v>24</v>
      </c>
      <c r="U18" s="45">
        <v>24</v>
      </c>
      <c r="V18" s="45">
        <v>24</v>
      </c>
      <c r="W18" s="45">
        <v>24</v>
      </c>
      <c r="X18" s="45">
        <v>24</v>
      </c>
      <c r="Y18" s="45">
        <v>24</v>
      </c>
      <c r="Z18" s="45">
        <v>24</v>
      </c>
      <c r="AA18" s="45">
        <v>24</v>
      </c>
      <c r="AB18" s="45">
        <v>24</v>
      </c>
      <c r="AC18" s="45">
        <v>24</v>
      </c>
      <c r="AD18" s="45">
        <v>24</v>
      </c>
      <c r="AE18" s="45">
        <v>24</v>
      </c>
      <c r="AF18" s="45">
        <v>24</v>
      </c>
      <c r="AG18" s="50">
        <v>36</v>
      </c>
      <c r="AH18" s="47">
        <f t="shared" si="2"/>
        <v>24</v>
      </c>
      <c r="AI18" s="48">
        <f t="shared" si="3"/>
        <v>24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/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18</v>
      </c>
      <c r="Q19" s="45">
        <v>18</v>
      </c>
      <c r="R19" s="45">
        <v>18</v>
      </c>
      <c r="S19" s="45">
        <v>18</v>
      </c>
      <c r="T19" s="45">
        <v>18</v>
      </c>
      <c r="U19" s="45">
        <v>18</v>
      </c>
      <c r="V19" s="45">
        <v>18</v>
      </c>
      <c r="W19" s="45">
        <v>18</v>
      </c>
      <c r="X19" s="45">
        <v>18</v>
      </c>
      <c r="Y19" s="45">
        <v>18</v>
      </c>
      <c r="Z19" s="45">
        <v>18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50">
        <v>36</v>
      </c>
      <c r="AH19" s="47">
        <f t="shared" si="2"/>
        <v>18</v>
      </c>
      <c r="AI19" s="48">
        <f t="shared" si="3"/>
        <v>0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/>
      <c r="I20" s="45">
        <v>15</v>
      </c>
      <c r="J20" s="45">
        <v>15</v>
      </c>
      <c r="K20" s="45">
        <v>10</v>
      </c>
      <c r="L20" s="45">
        <v>22</v>
      </c>
      <c r="M20" s="45">
        <v>22</v>
      </c>
      <c r="N20" s="45">
        <v>22</v>
      </c>
      <c r="O20" s="45">
        <v>22</v>
      </c>
      <c r="P20" s="45">
        <v>22</v>
      </c>
      <c r="Q20" s="45">
        <v>22</v>
      </c>
      <c r="R20" s="45">
        <v>22</v>
      </c>
      <c r="S20" s="45">
        <v>14</v>
      </c>
      <c r="T20" s="45">
        <v>14</v>
      </c>
      <c r="U20" s="45">
        <v>14</v>
      </c>
      <c r="V20" s="45">
        <v>14</v>
      </c>
      <c r="W20" s="45">
        <v>14</v>
      </c>
      <c r="X20" s="45">
        <v>14</v>
      </c>
      <c r="Y20" s="45">
        <v>16</v>
      </c>
      <c r="Z20" s="45">
        <v>18</v>
      </c>
      <c r="AA20" s="45">
        <v>19.600000000000001</v>
      </c>
      <c r="AB20" s="45">
        <v>20</v>
      </c>
      <c r="AC20" s="45">
        <v>20</v>
      </c>
      <c r="AD20" s="45">
        <v>20</v>
      </c>
      <c r="AE20" s="45">
        <v>20</v>
      </c>
      <c r="AF20" s="45">
        <v>15</v>
      </c>
      <c r="AG20" s="51">
        <v>30</v>
      </c>
      <c r="AH20" s="47">
        <f t="shared" si="2"/>
        <v>22</v>
      </c>
      <c r="AI20" s="48">
        <f t="shared" si="3"/>
        <v>10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13.2</v>
      </c>
      <c r="C21" s="45">
        <v>13.2</v>
      </c>
      <c r="D21" s="45">
        <v>13.2</v>
      </c>
      <c r="E21" s="45">
        <v>13.2</v>
      </c>
      <c r="F21" s="45">
        <v>13.2</v>
      </c>
      <c r="G21" s="45">
        <v>13.2</v>
      </c>
      <c r="H21" s="45"/>
      <c r="I21" s="45">
        <v>13.2</v>
      </c>
      <c r="J21" s="45">
        <v>13.2</v>
      </c>
      <c r="K21" s="45">
        <v>13.2</v>
      </c>
      <c r="L21" s="45">
        <v>13.2</v>
      </c>
      <c r="M21" s="45">
        <v>13.2</v>
      </c>
      <c r="N21" s="45">
        <v>13.2</v>
      </c>
      <c r="O21" s="45">
        <v>13.2</v>
      </c>
      <c r="P21" s="45">
        <v>13.2</v>
      </c>
      <c r="Q21" s="45">
        <v>13.2</v>
      </c>
      <c r="R21" s="45">
        <v>13.2</v>
      </c>
      <c r="S21" s="45">
        <v>13.2</v>
      </c>
      <c r="T21" s="45">
        <v>13.2</v>
      </c>
      <c r="U21" s="45">
        <v>13.2</v>
      </c>
      <c r="V21" s="45">
        <v>13.2</v>
      </c>
      <c r="W21" s="45">
        <v>13.2</v>
      </c>
      <c r="X21" s="45">
        <v>13.2</v>
      </c>
      <c r="Y21" s="45">
        <v>13.2</v>
      </c>
      <c r="Z21" s="45">
        <v>13.2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13</v>
      </c>
      <c r="AG21" s="50">
        <v>24.2</v>
      </c>
      <c r="AH21" s="47">
        <f t="shared" si="2"/>
        <v>13.2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13</v>
      </c>
      <c r="C22" s="45">
        <v>13</v>
      </c>
      <c r="D22" s="45">
        <v>13</v>
      </c>
      <c r="E22" s="45">
        <v>13</v>
      </c>
      <c r="F22" s="45">
        <v>13</v>
      </c>
      <c r="G22" s="45">
        <v>13</v>
      </c>
      <c r="H22" s="45"/>
      <c r="I22" s="45">
        <v>13</v>
      </c>
      <c r="J22" s="45">
        <v>13</v>
      </c>
      <c r="K22" s="45">
        <v>13</v>
      </c>
      <c r="L22" s="45">
        <v>13</v>
      </c>
      <c r="M22" s="45">
        <v>13</v>
      </c>
      <c r="N22" s="45">
        <v>13</v>
      </c>
      <c r="O22" s="45">
        <v>13</v>
      </c>
      <c r="P22" s="45">
        <v>13</v>
      </c>
      <c r="Q22" s="45">
        <v>13</v>
      </c>
      <c r="R22" s="45">
        <v>13</v>
      </c>
      <c r="S22" s="45">
        <v>13</v>
      </c>
      <c r="T22" s="45">
        <v>13</v>
      </c>
      <c r="U22" s="45">
        <v>13</v>
      </c>
      <c r="V22" s="45">
        <v>13</v>
      </c>
      <c r="W22" s="45">
        <v>13</v>
      </c>
      <c r="X22" s="45">
        <v>13</v>
      </c>
      <c r="Y22" s="45">
        <v>13</v>
      </c>
      <c r="Z22" s="45">
        <v>13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0">
        <v>28</v>
      </c>
      <c r="AH22" s="47">
        <f t="shared" si="2"/>
        <v>13</v>
      </c>
      <c r="AI22" s="48">
        <f t="shared" si="3"/>
        <v>12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/>
      <c r="I23" s="45">
        <v>10</v>
      </c>
      <c r="J23" s="45">
        <v>10</v>
      </c>
      <c r="K23" s="45">
        <v>10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30</v>
      </c>
      <c r="AH23" s="47">
        <f t="shared" si="2"/>
        <v>18</v>
      </c>
      <c r="AI23" s="48">
        <f t="shared" si="3"/>
        <v>10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25</v>
      </c>
      <c r="C24" s="45">
        <v>25</v>
      </c>
      <c r="D24" s="45">
        <v>25</v>
      </c>
      <c r="E24" s="45">
        <v>25</v>
      </c>
      <c r="F24" s="45">
        <v>25</v>
      </c>
      <c r="G24" s="45">
        <v>25</v>
      </c>
      <c r="H24" s="45"/>
      <c r="I24" s="45">
        <v>25</v>
      </c>
      <c r="J24" s="45">
        <v>25</v>
      </c>
      <c r="K24" s="45">
        <v>25</v>
      </c>
      <c r="L24" s="45">
        <v>25</v>
      </c>
      <c r="M24" s="45">
        <v>25</v>
      </c>
      <c r="N24" s="45">
        <v>25</v>
      </c>
      <c r="O24" s="45">
        <v>25</v>
      </c>
      <c r="P24" s="45">
        <v>25</v>
      </c>
      <c r="Q24" s="45">
        <v>25</v>
      </c>
      <c r="R24" s="45">
        <v>25</v>
      </c>
      <c r="S24" s="45">
        <v>25</v>
      </c>
      <c r="T24" s="45">
        <v>25</v>
      </c>
      <c r="U24" s="45">
        <v>25</v>
      </c>
      <c r="V24" s="45">
        <v>25</v>
      </c>
      <c r="W24" s="45">
        <v>25</v>
      </c>
      <c r="X24" s="45">
        <v>25</v>
      </c>
      <c r="Y24" s="45">
        <v>25</v>
      </c>
      <c r="Z24" s="45">
        <v>25</v>
      </c>
      <c r="AA24" s="45">
        <v>22</v>
      </c>
      <c r="AB24" s="45">
        <v>22</v>
      </c>
      <c r="AC24" s="45">
        <v>22</v>
      </c>
      <c r="AD24" s="45">
        <v>21</v>
      </c>
      <c r="AE24" s="45">
        <v>21</v>
      </c>
      <c r="AF24" s="45">
        <v>20.5</v>
      </c>
      <c r="AG24" s="50">
        <v>25</v>
      </c>
      <c r="AH24" s="47">
        <f t="shared" si="2"/>
        <v>25</v>
      </c>
      <c r="AI24" s="48">
        <f t="shared" si="3"/>
        <v>20.5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13</v>
      </c>
      <c r="C25" s="45">
        <v>13</v>
      </c>
      <c r="D25" s="45">
        <v>13</v>
      </c>
      <c r="E25" s="45">
        <v>13</v>
      </c>
      <c r="F25" s="45">
        <v>13</v>
      </c>
      <c r="G25" s="45">
        <v>13</v>
      </c>
      <c r="H25" s="45"/>
      <c r="I25" s="45">
        <v>13</v>
      </c>
      <c r="J25" s="45">
        <v>13</v>
      </c>
      <c r="K25" s="45">
        <v>13</v>
      </c>
      <c r="L25" s="45">
        <v>13</v>
      </c>
      <c r="M25" s="45">
        <v>13</v>
      </c>
      <c r="N25" s="45">
        <v>13</v>
      </c>
      <c r="O25" s="45">
        <v>13</v>
      </c>
      <c r="P25" s="45">
        <v>13</v>
      </c>
      <c r="Q25" s="45">
        <v>13</v>
      </c>
      <c r="R25" s="45">
        <v>13</v>
      </c>
      <c r="S25" s="45">
        <v>13</v>
      </c>
      <c r="T25" s="45">
        <v>13</v>
      </c>
      <c r="U25" s="45">
        <v>13</v>
      </c>
      <c r="V25" s="45">
        <v>13</v>
      </c>
      <c r="W25" s="45">
        <v>13</v>
      </c>
      <c r="X25" s="45">
        <v>13</v>
      </c>
      <c r="Y25" s="45">
        <v>13</v>
      </c>
      <c r="Z25" s="45">
        <v>13</v>
      </c>
      <c r="AA25" s="45">
        <v>13</v>
      </c>
      <c r="AB25" s="45">
        <v>13</v>
      </c>
      <c r="AC25" s="45">
        <v>13</v>
      </c>
      <c r="AD25" s="45">
        <v>13</v>
      </c>
      <c r="AE25" s="45">
        <v>13</v>
      </c>
      <c r="AF25" s="45">
        <v>13</v>
      </c>
      <c r="AG25" s="50">
        <v>25</v>
      </c>
      <c r="AH25" s="47">
        <f t="shared" si="2"/>
        <v>13</v>
      </c>
      <c r="AI25" s="48">
        <f t="shared" si="3"/>
        <v>13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/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50">
        <v>25</v>
      </c>
      <c r="AH26" s="47">
        <f t="shared" si="2"/>
        <v>25</v>
      </c>
      <c r="AI26" s="48">
        <f t="shared" si="3"/>
        <v>25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15</v>
      </c>
      <c r="C27" s="45">
        <v>15</v>
      </c>
      <c r="D27" s="45">
        <v>15</v>
      </c>
      <c r="E27" s="45">
        <v>15</v>
      </c>
      <c r="F27" s="45">
        <v>15</v>
      </c>
      <c r="G27" s="45">
        <v>15</v>
      </c>
      <c r="H27" s="45"/>
      <c r="I27" s="45">
        <v>15</v>
      </c>
      <c r="J27" s="45">
        <v>15</v>
      </c>
      <c r="K27" s="45">
        <v>10</v>
      </c>
      <c r="L27" s="45">
        <v>20</v>
      </c>
      <c r="M27" s="45">
        <v>20</v>
      </c>
      <c r="N27" s="45">
        <v>20</v>
      </c>
      <c r="O27" s="45">
        <v>20</v>
      </c>
      <c r="P27" s="45">
        <v>20</v>
      </c>
      <c r="Q27" s="45">
        <v>20</v>
      </c>
      <c r="R27" s="45">
        <v>20</v>
      </c>
      <c r="S27" s="45">
        <v>20</v>
      </c>
      <c r="T27" s="45">
        <v>20</v>
      </c>
      <c r="U27" s="45">
        <v>20</v>
      </c>
      <c r="V27" s="45">
        <v>20</v>
      </c>
      <c r="W27" s="45">
        <v>20</v>
      </c>
      <c r="X27" s="45">
        <v>20</v>
      </c>
      <c r="Y27" s="45">
        <v>20</v>
      </c>
      <c r="Z27" s="45">
        <v>20</v>
      </c>
      <c r="AA27" s="45">
        <v>20</v>
      </c>
      <c r="AB27" s="45">
        <v>20</v>
      </c>
      <c r="AC27" s="45">
        <v>20</v>
      </c>
      <c r="AD27" s="45">
        <v>20</v>
      </c>
      <c r="AE27" s="45">
        <v>20</v>
      </c>
      <c r="AF27" s="45">
        <v>15</v>
      </c>
      <c r="AG27" s="50">
        <v>25</v>
      </c>
      <c r="AH27" s="47">
        <f t="shared" si="2"/>
        <v>20</v>
      </c>
      <c r="AI27" s="48">
        <f t="shared" si="3"/>
        <v>10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8.6999999999999993</v>
      </c>
      <c r="C28" s="45">
        <v>8.1999999999999993</v>
      </c>
      <c r="D28" s="45">
        <v>8.1999999999999993</v>
      </c>
      <c r="E28" s="45">
        <v>8.1999999999999993</v>
      </c>
      <c r="F28" s="45">
        <v>8.1999999999999993</v>
      </c>
      <c r="G28" s="45">
        <v>8.1999999999999993</v>
      </c>
      <c r="H28" s="45"/>
      <c r="I28" s="45">
        <v>8.1999999999999993</v>
      </c>
      <c r="J28" s="45">
        <v>8.1999999999999993</v>
      </c>
      <c r="K28" s="45">
        <v>8.1999999999999993</v>
      </c>
      <c r="L28" s="45">
        <v>8.1999999999999993</v>
      </c>
      <c r="M28" s="45">
        <v>8.1999999999999993</v>
      </c>
      <c r="N28" s="45">
        <v>8.1999999999999993</v>
      </c>
      <c r="O28" s="45">
        <v>8.1999999999999993</v>
      </c>
      <c r="P28" s="45">
        <v>8.1999999999999993</v>
      </c>
      <c r="Q28" s="45">
        <v>8.1999999999999993</v>
      </c>
      <c r="R28" s="45">
        <v>8.1999999999999993</v>
      </c>
      <c r="S28" s="45">
        <v>8.1999999999999993</v>
      </c>
      <c r="T28" s="45">
        <v>8.1999999999999993</v>
      </c>
      <c r="U28" s="45">
        <v>8.1999999999999993</v>
      </c>
      <c r="V28" s="45">
        <v>8.1999999999999993</v>
      </c>
      <c r="W28" s="45">
        <v>8.1999999999999993</v>
      </c>
      <c r="X28" s="45">
        <v>8.1999999999999993</v>
      </c>
      <c r="Y28" s="45">
        <v>8.1999999999999993</v>
      </c>
      <c r="Z28" s="45">
        <v>8.1999999999999993</v>
      </c>
      <c r="AA28" s="45">
        <v>8.6999999999999993</v>
      </c>
      <c r="AB28" s="45">
        <v>8.6999999999999993</v>
      </c>
      <c r="AC28" s="45">
        <v>8.6999999999999993</v>
      </c>
      <c r="AD28" s="45">
        <v>8.6999999999999993</v>
      </c>
      <c r="AE28" s="45">
        <v>8.6999999999999993</v>
      </c>
      <c r="AF28" s="45">
        <v>8.6999999999999993</v>
      </c>
      <c r="AG28" s="50">
        <v>23.5</v>
      </c>
      <c r="AH28" s="47">
        <f t="shared" si="2"/>
        <v>8.6999999999999993</v>
      </c>
      <c r="AI28" s="48">
        <f t="shared" si="3"/>
        <v>8.1999999999999993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/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22.2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3.5</v>
      </c>
      <c r="C30" s="45">
        <v>3.5</v>
      </c>
      <c r="D30" s="45">
        <v>3.5</v>
      </c>
      <c r="E30" s="45">
        <v>3.5</v>
      </c>
      <c r="F30" s="45">
        <v>3.5</v>
      </c>
      <c r="G30" s="45">
        <v>3.5</v>
      </c>
      <c r="H30" s="45"/>
      <c r="I30" s="45">
        <v>3.5</v>
      </c>
      <c r="J30" s="45">
        <v>3.5</v>
      </c>
      <c r="K30" s="45">
        <v>3.5</v>
      </c>
      <c r="L30" s="45">
        <v>3.5</v>
      </c>
      <c r="M30" s="45">
        <v>3.5</v>
      </c>
      <c r="N30" s="45">
        <v>3.5</v>
      </c>
      <c r="O30" s="45">
        <v>3.5</v>
      </c>
      <c r="P30" s="45">
        <v>3.5</v>
      </c>
      <c r="Q30" s="45">
        <v>3.5</v>
      </c>
      <c r="R30" s="45">
        <v>3.5</v>
      </c>
      <c r="S30" s="45">
        <v>3.5</v>
      </c>
      <c r="T30" s="45">
        <v>3.5</v>
      </c>
      <c r="U30" s="45">
        <v>3.5</v>
      </c>
      <c r="V30" s="45">
        <v>3.5</v>
      </c>
      <c r="W30" s="45">
        <v>3.5</v>
      </c>
      <c r="X30" s="45">
        <v>3.5</v>
      </c>
      <c r="Y30" s="45">
        <v>3.5</v>
      </c>
      <c r="Z30" s="45">
        <v>3.5</v>
      </c>
      <c r="AA30" s="45">
        <v>3.5</v>
      </c>
      <c r="AB30" s="45">
        <v>3.5</v>
      </c>
      <c r="AC30" s="45">
        <v>3.5</v>
      </c>
      <c r="AD30" s="45">
        <v>3.5</v>
      </c>
      <c r="AE30" s="45">
        <v>3.5</v>
      </c>
      <c r="AF30" s="45">
        <v>3.5</v>
      </c>
      <c r="AG30" s="50">
        <v>22.1</v>
      </c>
      <c r="AH30" s="47">
        <f t="shared" si="2"/>
        <v>3.5</v>
      </c>
      <c r="AI30" s="48">
        <f t="shared" si="3"/>
        <v>3.5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/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50">
        <v>22</v>
      </c>
      <c r="AH31" s="47">
        <f t="shared" si="2"/>
        <v>6</v>
      </c>
      <c r="AI31" s="48">
        <f t="shared" si="3"/>
        <v>6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11.4</v>
      </c>
      <c r="C32" s="45">
        <v>11.4</v>
      </c>
      <c r="D32" s="45">
        <v>11.4</v>
      </c>
      <c r="E32" s="45">
        <v>11.4</v>
      </c>
      <c r="F32" s="45">
        <v>11.4</v>
      </c>
      <c r="G32" s="45">
        <v>11.4</v>
      </c>
      <c r="H32" s="45"/>
      <c r="I32" s="45">
        <v>11.4</v>
      </c>
      <c r="J32" s="45">
        <v>11.4</v>
      </c>
      <c r="K32" s="45">
        <v>11.4</v>
      </c>
      <c r="L32" s="45">
        <v>11.4</v>
      </c>
      <c r="M32" s="45">
        <v>11.4</v>
      </c>
      <c r="N32" s="45">
        <v>11.4</v>
      </c>
      <c r="O32" s="45">
        <v>11.4</v>
      </c>
      <c r="P32" s="45">
        <v>11.4</v>
      </c>
      <c r="Q32" s="45">
        <v>11.4</v>
      </c>
      <c r="R32" s="45">
        <v>11.4</v>
      </c>
      <c r="S32" s="45">
        <v>11.4</v>
      </c>
      <c r="T32" s="45">
        <v>11.4</v>
      </c>
      <c r="U32" s="45">
        <v>11.4</v>
      </c>
      <c r="V32" s="45">
        <v>11.4</v>
      </c>
      <c r="W32" s="45">
        <v>11.4</v>
      </c>
      <c r="X32" s="45">
        <v>11.4</v>
      </c>
      <c r="Y32" s="45">
        <v>11.4</v>
      </c>
      <c r="Z32" s="45">
        <v>11.4</v>
      </c>
      <c r="AA32" s="45">
        <v>11.4</v>
      </c>
      <c r="AB32" s="45">
        <v>21</v>
      </c>
      <c r="AC32" s="45">
        <v>19</v>
      </c>
      <c r="AD32" s="45">
        <v>19</v>
      </c>
      <c r="AE32" s="45">
        <v>19</v>
      </c>
      <c r="AF32" s="45">
        <v>21</v>
      </c>
      <c r="AG32" s="50">
        <v>22</v>
      </c>
      <c r="AH32" s="47">
        <f t="shared" si="2"/>
        <v>21</v>
      </c>
      <c r="AI32" s="48">
        <f t="shared" si="3"/>
        <v>11.4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10</v>
      </c>
      <c r="C33" s="45">
        <v>10</v>
      </c>
      <c r="D33" s="45">
        <v>10</v>
      </c>
      <c r="E33" s="45">
        <v>10</v>
      </c>
      <c r="F33" s="45">
        <v>10</v>
      </c>
      <c r="G33" s="45">
        <v>10</v>
      </c>
      <c r="H33" s="45"/>
      <c r="I33" s="45">
        <v>10</v>
      </c>
      <c r="J33" s="45">
        <v>10</v>
      </c>
      <c r="K33" s="45">
        <v>10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10</v>
      </c>
      <c r="AB33" s="45">
        <v>10</v>
      </c>
      <c r="AC33" s="45">
        <v>15</v>
      </c>
      <c r="AD33" s="45">
        <v>15</v>
      </c>
      <c r="AE33" s="45">
        <v>15</v>
      </c>
      <c r="AF33" s="45">
        <v>15</v>
      </c>
      <c r="AG33" s="50">
        <v>20</v>
      </c>
      <c r="AH33" s="47">
        <f t="shared" si="2"/>
        <v>15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/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50">
        <v>18</v>
      </c>
      <c r="AH34" s="47">
        <f t="shared" si="2"/>
        <v>8</v>
      </c>
      <c r="AI34" s="48">
        <f t="shared" si="3"/>
        <v>8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14</v>
      </c>
      <c r="H35" s="45"/>
      <c r="I35" s="45">
        <v>14</v>
      </c>
      <c r="J35" s="45">
        <v>14</v>
      </c>
      <c r="K35" s="45">
        <v>14</v>
      </c>
      <c r="L35" s="45">
        <v>14</v>
      </c>
      <c r="M35" s="45">
        <v>14</v>
      </c>
      <c r="N35" s="45">
        <v>14</v>
      </c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14</v>
      </c>
      <c r="AC35" s="45">
        <v>14</v>
      </c>
      <c r="AD35" s="45">
        <v>14</v>
      </c>
      <c r="AE35" s="45">
        <v>14</v>
      </c>
      <c r="AF35" s="45">
        <v>14</v>
      </c>
      <c r="AG35" s="50">
        <v>14.9</v>
      </c>
      <c r="AH35" s="47">
        <f t="shared" si="2"/>
        <v>14</v>
      </c>
      <c r="AI35" s="48">
        <f t="shared" si="3"/>
        <v>14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6.2</v>
      </c>
      <c r="C36" s="45">
        <v>6.2</v>
      </c>
      <c r="D36" s="45">
        <v>6.2</v>
      </c>
      <c r="E36" s="45">
        <v>6.2</v>
      </c>
      <c r="F36" s="45">
        <v>6.2</v>
      </c>
      <c r="G36" s="45">
        <v>6.2</v>
      </c>
      <c r="H36" s="45"/>
      <c r="I36" s="45">
        <v>6.2</v>
      </c>
      <c r="J36" s="45">
        <v>6.2</v>
      </c>
      <c r="K36" s="45">
        <v>6.2</v>
      </c>
      <c r="L36" s="45">
        <v>6.2</v>
      </c>
      <c r="M36" s="45">
        <v>6.2</v>
      </c>
      <c r="N36" s="45">
        <v>6.2</v>
      </c>
      <c r="O36" s="45">
        <v>6.2</v>
      </c>
      <c r="P36" s="45">
        <v>6.2</v>
      </c>
      <c r="Q36" s="45">
        <v>6.2</v>
      </c>
      <c r="R36" s="45">
        <v>6.2</v>
      </c>
      <c r="S36" s="45">
        <v>6.2</v>
      </c>
      <c r="T36" s="45">
        <v>6.2</v>
      </c>
      <c r="U36" s="45">
        <v>6.2</v>
      </c>
      <c r="V36" s="45">
        <v>6.2</v>
      </c>
      <c r="W36" s="45">
        <v>6.2</v>
      </c>
      <c r="X36" s="45">
        <v>6.2</v>
      </c>
      <c r="Y36" s="45">
        <v>6.2</v>
      </c>
      <c r="Z36" s="45">
        <v>6.2</v>
      </c>
      <c r="AA36" s="45">
        <v>6.2</v>
      </c>
      <c r="AB36" s="45">
        <v>6.2</v>
      </c>
      <c r="AC36" s="45">
        <v>6.2</v>
      </c>
      <c r="AD36" s="45">
        <v>6.2</v>
      </c>
      <c r="AE36" s="45">
        <v>6.2</v>
      </c>
      <c r="AF36" s="45">
        <v>6.2</v>
      </c>
      <c r="AG36" s="50">
        <v>14.9</v>
      </c>
      <c r="AH36" s="47">
        <f t="shared" si="2"/>
        <v>6.2</v>
      </c>
      <c r="AI36" s="48">
        <f t="shared" si="3"/>
        <v>6.2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/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0">
        <v>13.6</v>
      </c>
      <c r="AH37" s="47">
        <f t="shared" si="2"/>
        <v>0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3</v>
      </c>
      <c r="C38" s="45">
        <v>3</v>
      </c>
      <c r="D38" s="45">
        <v>3</v>
      </c>
      <c r="E38" s="45">
        <v>3</v>
      </c>
      <c r="F38" s="45">
        <v>3</v>
      </c>
      <c r="G38" s="45">
        <v>3</v>
      </c>
      <c r="H38" s="45"/>
      <c r="I38" s="45">
        <v>3</v>
      </c>
      <c r="J38" s="45">
        <v>3</v>
      </c>
      <c r="K38" s="45">
        <v>3</v>
      </c>
      <c r="L38" s="45">
        <v>3</v>
      </c>
      <c r="M38" s="45">
        <v>3</v>
      </c>
      <c r="N38" s="45">
        <v>3</v>
      </c>
      <c r="O38" s="45">
        <v>3</v>
      </c>
      <c r="P38" s="45">
        <v>3</v>
      </c>
      <c r="Q38" s="45">
        <v>3</v>
      </c>
      <c r="R38" s="45">
        <v>3</v>
      </c>
      <c r="S38" s="45">
        <v>3</v>
      </c>
      <c r="T38" s="45">
        <v>3</v>
      </c>
      <c r="U38" s="45">
        <v>3</v>
      </c>
      <c r="V38" s="45">
        <v>3</v>
      </c>
      <c r="W38" s="45">
        <v>3</v>
      </c>
      <c r="X38" s="45">
        <v>3</v>
      </c>
      <c r="Y38" s="45">
        <v>3</v>
      </c>
      <c r="Z38" s="45">
        <v>3</v>
      </c>
      <c r="AA38" s="45">
        <v>3</v>
      </c>
      <c r="AB38" s="45">
        <v>3</v>
      </c>
      <c r="AC38" s="45">
        <v>3</v>
      </c>
      <c r="AD38" s="45">
        <v>3</v>
      </c>
      <c r="AE38" s="45">
        <v>3</v>
      </c>
      <c r="AF38" s="45">
        <v>3</v>
      </c>
      <c r="AG38" s="50">
        <v>13</v>
      </c>
      <c r="AH38" s="47">
        <f t="shared" si="2"/>
        <v>3</v>
      </c>
      <c r="AI38" s="48">
        <f t="shared" si="3"/>
        <v>3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/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8</v>
      </c>
      <c r="AB39" s="45">
        <v>8</v>
      </c>
      <c r="AC39" s="45">
        <v>8</v>
      </c>
      <c r="AD39" s="45">
        <v>8</v>
      </c>
      <c r="AE39" s="45">
        <v>8</v>
      </c>
      <c r="AF39" s="45">
        <v>8</v>
      </c>
      <c r="AG39" s="50">
        <v>12</v>
      </c>
      <c r="AH39" s="47">
        <f t="shared" si="2"/>
        <v>8</v>
      </c>
      <c r="AI39" s="48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/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0">
        <v>12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11</v>
      </c>
      <c r="C41" s="45">
        <v>11</v>
      </c>
      <c r="D41" s="45">
        <v>11</v>
      </c>
      <c r="E41" s="45">
        <v>11</v>
      </c>
      <c r="F41" s="45">
        <v>11</v>
      </c>
      <c r="G41" s="45">
        <v>11</v>
      </c>
      <c r="H41" s="45"/>
      <c r="I41" s="45">
        <v>11</v>
      </c>
      <c r="J41" s="45">
        <v>11</v>
      </c>
      <c r="K41" s="45">
        <v>11</v>
      </c>
      <c r="L41" s="45">
        <v>11</v>
      </c>
      <c r="M41" s="45">
        <v>11</v>
      </c>
      <c r="N41" s="45">
        <v>11</v>
      </c>
      <c r="O41" s="45">
        <v>11</v>
      </c>
      <c r="P41" s="45">
        <v>11</v>
      </c>
      <c r="Q41" s="45">
        <v>11</v>
      </c>
      <c r="R41" s="45">
        <v>11</v>
      </c>
      <c r="S41" s="45">
        <v>11</v>
      </c>
      <c r="T41" s="45">
        <v>11</v>
      </c>
      <c r="U41" s="45">
        <v>11</v>
      </c>
      <c r="V41" s="45">
        <v>11</v>
      </c>
      <c r="W41" s="45">
        <v>11</v>
      </c>
      <c r="X41" s="45">
        <v>11</v>
      </c>
      <c r="Y41" s="45">
        <v>11</v>
      </c>
      <c r="Z41" s="45">
        <v>11</v>
      </c>
      <c r="AA41" s="45">
        <v>11</v>
      </c>
      <c r="AB41" s="45">
        <v>11</v>
      </c>
      <c r="AC41" s="45">
        <v>11</v>
      </c>
      <c r="AD41" s="45">
        <v>11</v>
      </c>
      <c r="AE41" s="45">
        <v>11</v>
      </c>
      <c r="AF41" s="45">
        <v>11</v>
      </c>
      <c r="AG41" s="50">
        <v>12</v>
      </c>
      <c r="AH41" s="47">
        <f t="shared" si="2"/>
        <v>11</v>
      </c>
      <c r="AI41" s="48">
        <f t="shared" si="3"/>
        <v>11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7</v>
      </c>
      <c r="C42" s="45">
        <v>7</v>
      </c>
      <c r="D42" s="45">
        <v>7</v>
      </c>
      <c r="E42" s="45">
        <v>7</v>
      </c>
      <c r="F42" s="45">
        <v>7</v>
      </c>
      <c r="G42" s="45">
        <v>7</v>
      </c>
      <c r="H42" s="45"/>
      <c r="I42" s="45">
        <v>7</v>
      </c>
      <c r="J42" s="45">
        <v>7</v>
      </c>
      <c r="K42" s="45">
        <v>7</v>
      </c>
      <c r="L42" s="45">
        <v>7</v>
      </c>
      <c r="M42" s="45">
        <v>7</v>
      </c>
      <c r="N42" s="45">
        <v>7</v>
      </c>
      <c r="O42" s="45">
        <v>7</v>
      </c>
      <c r="P42" s="45">
        <v>7</v>
      </c>
      <c r="Q42" s="45">
        <v>7</v>
      </c>
      <c r="R42" s="45">
        <v>7</v>
      </c>
      <c r="S42" s="45">
        <v>7</v>
      </c>
      <c r="T42" s="45">
        <v>7</v>
      </c>
      <c r="U42" s="45">
        <v>7</v>
      </c>
      <c r="V42" s="45">
        <v>7</v>
      </c>
      <c r="W42" s="45">
        <v>7</v>
      </c>
      <c r="X42" s="45">
        <v>7</v>
      </c>
      <c r="Y42" s="45">
        <v>7</v>
      </c>
      <c r="Z42" s="45">
        <v>7</v>
      </c>
      <c r="AA42" s="45">
        <v>7</v>
      </c>
      <c r="AB42" s="45">
        <v>7</v>
      </c>
      <c r="AC42" s="45">
        <v>7</v>
      </c>
      <c r="AD42" s="45">
        <v>7</v>
      </c>
      <c r="AE42" s="45">
        <v>7</v>
      </c>
      <c r="AF42" s="45">
        <v>7</v>
      </c>
      <c r="AG42" s="52">
        <v>22</v>
      </c>
      <c r="AH42" s="47">
        <f t="shared" si="2"/>
        <v>7</v>
      </c>
      <c r="AI42" s="48">
        <f t="shared" si="3"/>
        <v>7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3.6</v>
      </c>
      <c r="C43" s="45">
        <v>3.6</v>
      </c>
      <c r="D43" s="45">
        <v>3.6</v>
      </c>
      <c r="E43" s="45">
        <v>3.6</v>
      </c>
      <c r="F43" s="45">
        <v>3.6</v>
      </c>
      <c r="G43" s="45">
        <v>3.6</v>
      </c>
      <c r="H43" s="45"/>
      <c r="I43" s="45">
        <v>3.6</v>
      </c>
      <c r="J43" s="45">
        <v>3.6</v>
      </c>
      <c r="K43" s="45">
        <v>3.6</v>
      </c>
      <c r="L43" s="45">
        <v>3.6</v>
      </c>
      <c r="M43" s="45">
        <v>3.6</v>
      </c>
      <c r="N43" s="45">
        <v>3.6</v>
      </c>
      <c r="O43" s="45">
        <v>3.6</v>
      </c>
      <c r="P43" s="45">
        <v>3.6</v>
      </c>
      <c r="Q43" s="45">
        <v>3.6</v>
      </c>
      <c r="R43" s="45">
        <v>3.6</v>
      </c>
      <c r="S43" s="45">
        <v>3.6</v>
      </c>
      <c r="T43" s="45">
        <v>3.6</v>
      </c>
      <c r="U43" s="45">
        <v>3.6</v>
      </c>
      <c r="V43" s="45">
        <v>3.6</v>
      </c>
      <c r="W43" s="45">
        <v>3.6</v>
      </c>
      <c r="X43" s="45">
        <v>3.6</v>
      </c>
      <c r="Y43" s="45">
        <v>3.6</v>
      </c>
      <c r="Z43" s="45">
        <v>3.6</v>
      </c>
      <c r="AA43" s="45">
        <v>3.6</v>
      </c>
      <c r="AB43" s="45">
        <v>3.6</v>
      </c>
      <c r="AC43" s="45">
        <v>3.6</v>
      </c>
      <c r="AD43" s="45">
        <v>3.6</v>
      </c>
      <c r="AE43" s="45">
        <v>3.6</v>
      </c>
      <c r="AF43" s="45">
        <v>3.6</v>
      </c>
      <c r="AG43" s="51">
        <v>11.88</v>
      </c>
      <c r="AH43" s="47">
        <f t="shared" si="2"/>
        <v>3.6</v>
      </c>
      <c r="AI43" s="48">
        <f t="shared" si="3"/>
        <v>3.6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/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4">
        <v>11</v>
      </c>
      <c r="AH44" s="47">
        <f t="shared" si="2"/>
        <v>5</v>
      </c>
      <c r="AI44" s="48">
        <f t="shared" si="3"/>
        <v>5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/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/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/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225</v>
      </c>
      <c r="C48" s="56">
        <v>225</v>
      </c>
      <c r="D48" s="56">
        <v>225</v>
      </c>
      <c r="E48" s="56">
        <v>225</v>
      </c>
      <c r="F48" s="56">
        <v>225</v>
      </c>
      <c r="G48" s="56">
        <v>225</v>
      </c>
      <c r="H48" s="56"/>
      <c r="I48" s="56">
        <v>225</v>
      </c>
      <c r="J48" s="56">
        <v>225</v>
      </c>
      <c r="K48" s="56">
        <v>225</v>
      </c>
      <c r="L48" s="56">
        <v>225</v>
      </c>
      <c r="M48" s="56">
        <v>225</v>
      </c>
      <c r="N48" s="56">
        <v>225</v>
      </c>
      <c r="O48" s="56">
        <v>225</v>
      </c>
      <c r="P48" s="56">
        <v>225</v>
      </c>
      <c r="Q48" s="56">
        <v>225</v>
      </c>
      <c r="R48" s="56">
        <v>225</v>
      </c>
      <c r="S48" s="56">
        <v>225</v>
      </c>
      <c r="T48" s="56">
        <v>225</v>
      </c>
      <c r="U48" s="56">
        <v>225</v>
      </c>
      <c r="V48" s="56">
        <v>225</v>
      </c>
      <c r="W48" s="56">
        <v>225</v>
      </c>
      <c r="X48" s="56">
        <v>225</v>
      </c>
      <c r="Y48" s="56">
        <v>225</v>
      </c>
      <c r="Z48" s="56">
        <v>225</v>
      </c>
      <c r="AA48" s="56">
        <v>233</v>
      </c>
      <c r="AB48" s="56">
        <v>233</v>
      </c>
      <c r="AC48" s="56">
        <v>233</v>
      </c>
      <c r="AD48" s="56">
        <v>233</v>
      </c>
      <c r="AE48" s="56">
        <v>233</v>
      </c>
      <c r="AF48" s="56">
        <v>233</v>
      </c>
      <c r="AG48" s="54">
        <v>85</v>
      </c>
      <c r="AH48" s="47">
        <f t="shared" si="2"/>
        <v>233</v>
      </c>
      <c r="AI48" s="48">
        <f t="shared" si="3"/>
        <v>225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 t="shared" ref="B50:AF50" si="4">SUM(B11:B48)</f>
        <v>728.59999999999991</v>
      </c>
      <c r="C50" s="60">
        <f t="shared" si="4"/>
        <v>728.09999999999991</v>
      </c>
      <c r="D50" s="60">
        <f t="shared" si="4"/>
        <v>728.09999999999991</v>
      </c>
      <c r="E50" s="60">
        <f t="shared" si="4"/>
        <v>728.09999999999991</v>
      </c>
      <c r="F50" s="60">
        <f t="shared" si="4"/>
        <v>728.09999999999991</v>
      </c>
      <c r="G50" s="60">
        <f t="shared" si="4"/>
        <v>728.09999999999991</v>
      </c>
      <c r="H50" s="60">
        <f t="shared" si="4"/>
        <v>0</v>
      </c>
      <c r="I50" s="60">
        <f t="shared" si="4"/>
        <v>715.09999999999991</v>
      </c>
      <c r="J50" s="60">
        <f t="shared" si="4"/>
        <v>715.09999999999991</v>
      </c>
      <c r="K50" s="60">
        <f t="shared" si="4"/>
        <v>718.09999999999991</v>
      </c>
      <c r="L50" s="60">
        <f t="shared" si="4"/>
        <v>738.09999999999991</v>
      </c>
      <c r="M50" s="60">
        <f t="shared" si="4"/>
        <v>745.09999999999991</v>
      </c>
      <c r="N50" s="60">
        <f t="shared" si="4"/>
        <v>745.09999999999991</v>
      </c>
      <c r="O50" s="60">
        <f t="shared" si="4"/>
        <v>745.09999999999991</v>
      </c>
      <c r="P50" s="60">
        <f>SUM(P11:P48)</f>
        <v>758.3</v>
      </c>
      <c r="Q50" s="60">
        <f t="shared" si="4"/>
        <v>758.3</v>
      </c>
      <c r="R50" s="60">
        <f t="shared" si="4"/>
        <v>758.3</v>
      </c>
      <c r="S50" s="60">
        <f t="shared" si="4"/>
        <v>750.3</v>
      </c>
      <c r="T50" s="60">
        <f t="shared" si="4"/>
        <v>750.3</v>
      </c>
      <c r="U50" s="60">
        <f t="shared" si="4"/>
        <v>750.3</v>
      </c>
      <c r="V50" s="60">
        <f t="shared" si="4"/>
        <v>750.3</v>
      </c>
      <c r="W50" s="60">
        <f t="shared" si="4"/>
        <v>750.3</v>
      </c>
      <c r="X50" s="60">
        <f t="shared" si="4"/>
        <v>756.2</v>
      </c>
      <c r="Y50" s="60">
        <f t="shared" si="4"/>
        <v>761.19999999999993</v>
      </c>
      <c r="Z50" s="60">
        <f t="shared" si="4"/>
        <v>762.9</v>
      </c>
      <c r="AA50" s="60">
        <v>768.6</v>
      </c>
      <c r="AB50" s="60">
        <f t="shared" si="4"/>
        <v>772.1</v>
      </c>
      <c r="AC50" s="60">
        <f t="shared" si="4"/>
        <v>775.1</v>
      </c>
      <c r="AD50" s="60">
        <f t="shared" si="4"/>
        <v>774.1</v>
      </c>
      <c r="AE50" s="60">
        <f t="shared" si="4"/>
        <v>774.1</v>
      </c>
      <c r="AF50" s="60">
        <f t="shared" si="4"/>
        <v>756.6</v>
      </c>
      <c r="AG50" s="61">
        <f>SUM(AG13:AG48)</f>
        <v>919.68</v>
      </c>
      <c r="AH50" s="47">
        <f t="shared" si="2"/>
        <v>775.1</v>
      </c>
      <c r="AI50" s="48">
        <f t="shared" si="3"/>
        <v>0</v>
      </c>
      <c r="AK50" s="49"/>
    </row>
    <row r="51" spans="1:41" x14ac:dyDescent="0.25">
      <c r="A51" s="62" t="s">
        <v>57</v>
      </c>
      <c r="B51" s="45">
        <v>160</v>
      </c>
      <c r="C51" s="45">
        <v>220</v>
      </c>
      <c r="D51" s="45">
        <v>220</v>
      </c>
      <c r="E51" s="45">
        <v>170</v>
      </c>
      <c r="F51" s="45">
        <v>180</v>
      </c>
      <c r="G51" s="45">
        <v>180</v>
      </c>
      <c r="H51" s="45"/>
      <c r="I51" s="45">
        <v>140</v>
      </c>
      <c r="J51" s="45">
        <v>50</v>
      </c>
      <c r="K51" s="45">
        <v>40</v>
      </c>
      <c r="L51" s="45">
        <v>60</v>
      </c>
      <c r="M51" s="45">
        <v>50</v>
      </c>
      <c r="N51" s="45">
        <v>125</v>
      </c>
      <c r="O51" s="45">
        <v>125</v>
      </c>
      <c r="P51" s="63">
        <v>125</v>
      </c>
      <c r="Q51" s="63">
        <v>140</v>
      </c>
      <c r="R51" s="63">
        <v>118</v>
      </c>
      <c r="S51" s="45">
        <v>170</v>
      </c>
      <c r="T51" s="45">
        <v>180</v>
      </c>
      <c r="U51" s="45">
        <v>140</v>
      </c>
      <c r="V51" s="45">
        <v>70</v>
      </c>
      <c r="W51" s="45">
        <v>70</v>
      </c>
      <c r="X51" s="45">
        <v>80</v>
      </c>
      <c r="Y51" s="45">
        <v>110</v>
      </c>
      <c r="Z51" s="45">
        <v>150</v>
      </c>
      <c r="AA51" s="45">
        <v>190</v>
      </c>
      <c r="AB51" s="45">
        <v>210</v>
      </c>
      <c r="AC51" s="45">
        <v>220</v>
      </c>
      <c r="AD51" s="45">
        <v>220</v>
      </c>
      <c r="AE51" s="45">
        <v>228</v>
      </c>
      <c r="AF51" s="45">
        <v>195</v>
      </c>
      <c r="AG51" s="51">
        <v>456</v>
      </c>
      <c r="AH51" s="47">
        <f t="shared" si="2"/>
        <v>228</v>
      </c>
      <c r="AI51" s="48">
        <f t="shared" si="3"/>
        <v>40</v>
      </c>
      <c r="AK51" s="49"/>
    </row>
    <row r="52" spans="1:41" x14ac:dyDescent="0.25">
      <c r="A52" s="64" t="s">
        <v>58</v>
      </c>
      <c r="B52" s="65">
        <v>51</v>
      </c>
      <c r="C52" s="65">
        <v>51</v>
      </c>
      <c r="D52" s="65">
        <v>51</v>
      </c>
      <c r="E52" s="65">
        <v>51</v>
      </c>
      <c r="F52" s="65">
        <v>51</v>
      </c>
      <c r="G52" s="65">
        <v>51</v>
      </c>
      <c r="H52" s="65"/>
      <c r="I52" s="65">
        <v>51</v>
      </c>
      <c r="J52" s="65">
        <v>51</v>
      </c>
      <c r="K52" s="65">
        <v>51</v>
      </c>
      <c r="L52" s="65">
        <v>51</v>
      </c>
      <c r="M52" s="65">
        <v>51</v>
      </c>
      <c r="N52" s="65">
        <v>51</v>
      </c>
      <c r="O52" s="65">
        <v>51</v>
      </c>
      <c r="P52" s="65">
        <v>51</v>
      </c>
      <c r="Q52" s="65">
        <v>51</v>
      </c>
      <c r="R52" s="65">
        <v>51</v>
      </c>
      <c r="S52" s="65">
        <v>51</v>
      </c>
      <c r="T52" s="65">
        <v>51</v>
      </c>
      <c r="U52" s="65">
        <v>51</v>
      </c>
      <c r="V52" s="65">
        <v>50</v>
      </c>
      <c r="W52" s="65">
        <v>50</v>
      </c>
      <c r="X52" s="65">
        <v>50</v>
      </c>
      <c r="Y52" s="65">
        <v>50</v>
      </c>
      <c r="Z52" s="65">
        <v>50</v>
      </c>
      <c r="AA52" s="65">
        <v>45</v>
      </c>
      <c r="AB52" s="65">
        <v>45</v>
      </c>
      <c r="AC52" s="65">
        <v>47</v>
      </c>
      <c r="AD52" s="65">
        <v>47</v>
      </c>
      <c r="AE52" s="65">
        <v>47</v>
      </c>
      <c r="AF52" s="65">
        <v>54</v>
      </c>
      <c r="AG52" s="54">
        <v>60</v>
      </c>
      <c r="AH52" s="47">
        <f t="shared" si="2"/>
        <v>54</v>
      </c>
      <c r="AI52" s="48">
        <f t="shared" si="3"/>
        <v>45</v>
      </c>
      <c r="AK52" s="49"/>
    </row>
    <row r="53" spans="1:41" ht="15.75" thickBot="1" x14ac:dyDescent="0.3">
      <c r="A53" s="66" t="s">
        <v>59</v>
      </c>
      <c r="B53" s="67">
        <v>18</v>
      </c>
      <c r="C53" s="67">
        <v>21.2</v>
      </c>
      <c r="D53" s="67">
        <v>21.2</v>
      </c>
      <c r="E53" s="67">
        <v>21.2</v>
      </c>
      <c r="F53" s="67">
        <v>21.2</v>
      </c>
      <c r="G53" s="67">
        <v>21.2</v>
      </c>
      <c r="H53" s="67"/>
      <c r="I53" s="67">
        <v>21.2</v>
      </c>
      <c r="J53" s="67">
        <v>21.2</v>
      </c>
      <c r="K53" s="67">
        <v>21.2</v>
      </c>
      <c r="L53" s="67">
        <v>21.2</v>
      </c>
      <c r="M53" s="67">
        <v>21.2</v>
      </c>
      <c r="N53" s="67">
        <v>21.2</v>
      </c>
      <c r="O53" s="67">
        <v>21.2</v>
      </c>
      <c r="P53" s="67">
        <v>20.2</v>
      </c>
      <c r="Q53" s="67">
        <v>20.2</v>
      </c>
      <c r="R53" s="67">
        <v>20.2</v>
      </c>
      <c r="S53" s="67">
        <v>20.2</v>
      </c>
      <c r="T53" s="67">
        <v>20.2</v>
      </c>
      <c r="U53" s="67">
        <v>20.2</v>
      </c>
      <c r="V53" s="67">
        <v>20.2</v>
      </c>
      <c r="W53" s="67">
        <v>20.2</v>
      </c>
      <c r="X53" s="67">
        <v>20.2</v>
      </c>
      <c r="Y53" s="67">
        <v>20.2</v>
      </c>
      <c r="Z53" s="67">
        <v>20.2</v>
      </c>
      <c r="AA53" s="67">
        <v>18.2</v>
      </c>
      <c r="AB53" s="67">
        <v>22</v>
      </c>
      <c r="AC53" s="67">
        <v>22</v>
      </c>
      <c r="AD53" s="67">
        <v>22</v>
      </c>
      <c r="AE53" s="67">
        <v>22</v>
      </c>
      <c r="AF53" s="67">
        <v>22</v>
      </c>
      <c r="AG53" s="68">
        <v>22.1</v>
      </c>
      <c r="AH53" s="47">
        <f t="shared" si="2"/>
        <v>22</v>
      </c>
      <c r="AI53" s="48">
        <f t="shared" si="3"/>
        <v>18</v>
      </c>
      <c r="AK53" s="49"/>
    </row>
    <row r="54" spans="1:41" ht="15.75" thickBot="1" x14ac:dyDescent="0.3">
      <c r="A54" s="69" t="s">
        <v>60</v>
      </c>
      <c r="B54" s="60">
        <f>SUM(B51:B53)</f>
        <v>229</v>
      </c>
      <c r="C54" s="60">
        <f t="shared" ref="C54:AG54" si="5">SUM(C51:C53)</f>
        <v>292.2</v>
      </c>
      <c r="D54" s="60">
        <f t="shared" si="5"/>
        <v>292.2</v>
      </c>
      <c r="E54" s="60">
        <f t="shared" si="5"/>
        <v>242.2</v>
      </c>
      <c r="F54" s="60">
        <f t="shared" si="5"/>
        <v>252.2</v>
      </c>
      <c r="G54" s="60">
        <f t="shared" si="5"/>
        <v>252.2</v>
      </c>
      <c r="H54" s="60">
        <f t="shared" si="5"/>
        <v>0</v>
      </c>
      <c r="I54" s="60">
        <f t="shared" si="5"/>
        <v>212.2</v>
      </c>
      <c r="J54" s="60">
        <f t="shared" si="5"/>
        <v>122.2</v>
      </c>
      <c r="K54" s="60">
        <f t="shared" si="5"/>
        <v>112.2</v>
      </c>
      <c r="L54" s="60">
        <f t="shared" si="5"/>
        <v>132.19999999999999</v>
      </c>
      <c r="M54" s="60">
        <f t="shared" si="5"/>
        <v>122.2</v>
      </c>
      <c r="N54" s="60">
        <f t="shared" si="5"/>
        <v>197.2</v>
      </c>
      <c r="O54" s="60">
        <f t="shared" si="5"/>
        <v>197.2</v>
      </c>
      <c r="P54" s="60">
        <f>SUM(P51:P53)</f>
        <v>196.2</v>
      </c>
      <c r="Q54" s="60">
        <f t="shared" si="5"/>
        <v>211.2</v>
      </c>
      <c r="R54" s="60">
        <f t="shared" si="5"/>
        <v>189.2</v>
      </c>
      <c r="S54" s="60">
        <f t="shared" si="5"/>
        <v>241.2</v>
      </c>
      <c r="T54" s="60">
        <f t="shared" si="5"/>
        <v>251.2</v>
      </c>
      <c r="U54" s="60">
        <f t="shared" si="5"/>
        <v>211.2</v>
      </c>
      <c r="V54" s="60">
        <f t="shared" si="5"/>
        <v>140.19999999999999</v>
      </c>
      <c r="W54" s="60">
        <f t="shared" si="5"/>
        <v>140.19999999999999</v>
      </c>
      <c r="X54" s="60">
        <f t="shared" si="5"/>
        <v>150.19999999999999</v>
      </c>
      <c r="Y54" s="60">
        <f t="shared" si="5"/>
        <v>180.2</v>
      </c>
      <c r="Z54" s="60">
        <f t="shared" si="5"/>
        <v>220.2</v>
      </c>
      <c r="AA54" s="60">
        <v>253.2</v>
      </c>
      <c r="AB54" s="60">
        <f t="shared" si="5"/>
        <v>277</v>
      </c>
      <c r="AC54" s="60">
        <f t="shared" si="5"/>
        <v>289</v>
      </c>
      <c r="AD54" s="60">
        <f t="shared" si="5"/>
        <v>289</v>
      </c>
      <c r="AE54" s="60">
        <f t="shared" si="5"/>
        <v>297</v>
      </c>
      <c r="AF54" s="60">
        <f t="shared" si="5"/>
        <v>271</v>
      </c>
      <c r="AG54" s="61">
        <f t="shared" si="5"/>
        <v>538.1</v>
      </c>
      <c r="AH54" s="47">
        <f t="shared" si="2"/>
        <v>297</v>
      </c>
      <c r="AI54" s="48">
        <f t="shared" si="3"/>
        <v>0</v>
      </c>
      <c r="AK54" s="49"/>
    </row>
    <row r="55" spans="1:41" x14ac:dyDescent="0.25">
      <c r="A55" s="44" t="s">
        <v>61</v>
      </c>
      <c r="B55" s="45">
        <v>91.6</v>
      </c>
      <c r="C55" s="45">
        <v>131.80000000000001</v>
      </c>
      <c r="D55" s="45">
        <v>101.2</v>
      </c>
      <c r="E55" s="45">
        <v>82</v>
      </c>
      <c r="F55" s="45">
        <v>120</v>
      </c>
      <c r="G55" s="45">
        <v>132</v>
      </c>
      <c r="H55" s="45"/>
      <c r="I55" s="45">
        <v>110</v>
      </c>
      <c r="J55" s="45">
        <v>129</v>
      </c>
      <c r="K55" s="45">
        <v>143.1</v>
      </c>
      <c r="L55" s="45">
        <v>143.1</v>
      </c>
      <c r="M55" s="45">
        <v>143.1</v>
      </c>
      <c r="N55" s="45">
        <v>145</v>
      </c>
      <c r="O55" s="45">
        <v>145</v>
      </c>
      <c r="P55" s="45">
        <v>136.80000000000001</v>
      </c>
      <c r="Q55" s="45">
        <v>137</v>
      </c>
      <c r="R55" s="45">
        <v>137</v>
      </c>
      <c r="S55" s="45">
        <v>135</v>
      </c>
      <c r="T55" s="45">
        <v>130</v>
      </c>
      <c r="U55" s="45">
        <v>112</v>
      </c>
      <c r="V55" s="45">
        <v>90</v>
      </c>
      <c r="W55" s="45">
        <v>80</v>
      </c>
      <c r="X55" s="45">
        <v>60</v>
      </c>
      <c r="Y55" s="45">
        <v>102.4</v>
      </c>
      <c r="Z55" s="45">
        <v>122</v>
      </c>
      <c r="AA55" s="45">
        <v>146.1</v>
      </c>
      <c r="AB55" s="45">
        <v>142.80000000000001</v>
      </c>
      <c r="AC55" s="45">
        <v>142.5</v>
      </c>
      <c r="AD55" s="45">
        <v>142.5</v>
      </c>
      <c r="AE55" s="45">
        <v>115</v>
      </c>
      <c r="AF55" s="45">
        <v>94.9</v>
      </c>
      <c r="AG55" s="51">
        <v>144</v>
      </c>
      <c r="AH55" s="47">
        <f t="shared" si="2"/>
        <v>146.1</v>
      </c>
      <c r="AI55" s="48">
        <f t="shared" si="3"/>
        <v>60</v>
      </c>
      <c r="AK55" s="49"/>
    </row>
    <row r="56" spans="1:41" x14ac:dyDescent="0.25">
      <c r="A56" s="53" t="s">
        <v>62</v>
      </c>
      <c r="B56" s="45">
        <v>34.6</v>
      </c>
      <c r="C56" s="65">
        <v>35.9</v>
      </c>
      <c r="D56" s="65">
        <v>35.299999999999997</v>
      </c>
      <c r="E56" s="65">
        <v>21</v>
      </c>
      <c r="F56" s="65">
        <v>21</v>
      </c>
      <c r="G56" s="65">
        <v>44</v>
      </c>
      <c r="H56" s="65"/>
      <c r="I56" s="65">
        <v>44</v>
      </c>
      <c r="J56" s="65">
        <v>65</v>
      </c>
      <c r="K56" s="65">
        <v>65</v>
      </c>
      <c r="L56" s="65">
        <v>65</v>
      </c>
      <c r="M56" s="65">
        <v>65</v>
      </c>
      <c r="N56" s="65">
        <v>65</v>
      </c>
      <c r="O56" s="65">
        <v>65</v>
      </c>
      <c r="P56" s="65">
        <v>60</v>
      </c>
      <c r="Q56" s="65">
        <v>60</v>
      </c>
      <c r="R56" s="65">
        <v>60</v>
      </c>
      <c r="S56" s="65">
        <v>60</v>
      </c>
      <c r="T56" s="65">
        <v>60</v>
      </c>
      <c r="U56" s="65">
        <v>60</v>
      </c>
      <c r="V56" s="65">
        <v>60</v>
      </c>
      <c r="W56" s="65">
        <v>60</v>
      </c>
      <c r="X56" s="65">
        <v>45</v>
      </c>
      <c r="Y56" s="45">
        <v>45</v>
      </c>
      <c r="Z56" s="45">
        <v>55</v>
      </c>
      <c r="AA56" s="45">
        <v>71.599999999999994</v>
      </c>
      <c r="AB56" s="45">
        <v>55</v>
      </c>
      <c r="AC56" s="45">
        <v>55</v>
      </c>
      <c r="AD56" s="45">
        <v>55</v>
      </c>
      <c r="AE56" s="45">
        <v>25</v>
      </c>
      <c r="AF56" s="45">
        <v>30</v>
      </c>
      <c r="AG56" s="54">
        <v>70</v>
      </c>
      <c r="AH56" s="47">
        <f t="shared" si="2"/>
        <v>71.599999999999994</v>
      </c>
      <c r="AI56" s="48">
        <f t="shared" si="3"/>
        <v>21</v>
      </c>
      <c r="AK56" s="49"/>
    </row>
    <row r="57" spans="1:41" x14ac:dyDescent="0.25">
      <c r="A57" s="53" t="s">
        <v>63</v>
      </c>
      <c r="B57" s="45">
        <v>71</v>
      </c>
      <c r="C57" s="65">
        <v>71</v>
      </c>
      <c r="D57" s="65">
        <v>70.8</v>
      </c>
      <c r="E57" s="65">
        <v>51</v>
      </c>
      <c r="F57" s="65">
        <v>67</v>
      </c>
      <c r="G57" s="65">
        <v>67</v>
      </c>
      <c r="H57" s="65"/>
      <c r="I57" s="65">
        <v>61</v>
      </c>
      <c r="J57" s="65">
        <v>61</v>
      </c>
      <c r="K57" s="65">
        <v>69</v>
      </c>
      <c r="L57" s="65">
        <v>69</v>
      </c>
      <c r="M57" s="65">
        <v>69</v>
      </c>
      <c r="N57" s="65">
        <v>69</v>
      </c>
      <c r="O57" s="65">
        <v>69</v>
      </c>
      <c r="P57" s="65">
        <v>54.2</v>
      </c>
      <c r="Q57" s="65">
        <v>70</v>
      </c>
      <c r="R57" s="65">
        <v>70</v>
      </c>
      <c r="S57" s="65">
        <v>70</v>
      </c>
      <c r="T57" s="65">
        <v>70</v>
      </c>
      <c r="U57" s="65">
        <v>69</v>
      </c>
      <c r="V57" s="65">
        <v>55</v>
      </c>
      <c r="W57" s="65">
        <v>55</v>
      </c>
      <c r="X57" s="65">
        <v>34.1</v>
      </c>
      <c r="Y57" s="45">
        <v>69.2</v>
      </c>
      <c r="Z57" s="45">
        <v>68.900000000000006</v>
      </c>
      <c r="AA57" s="45">
        <v>70</v>
      </c>
      <c r="AB57" s="45">
        <v>62</v>
      </c>
      <c r="AC57" s="45">
        <v>62.2</v>
      </c>
      <c r="AD57" s="45">
        <v>62.2</v>
      </c>
      <c r="AE57" s="45">
        <v>65.7</v>
      </c>
      <c r="AF57" s="45">
        <v>63</v>
      </c>
      <c r="AG57" s="54">
        <v>69</v>
      </c>
      <c r="AH57" s="47">
        <f t="shared" si="2"/>
        <v>71</v>
      </c>
      <c r="AI57" s="48">
        <f t="shared" si="3"/>
        <v>34.1</v>
      </c>
      <c r="AK57" s="49"/>
    </row>
    <row r="58" spans="1:41" x14ac:dyDescent="0.25">
      <c r="A58" s="53" t="s">
        <v>64</v>
      </c>
      <c r="B58" s="45">
        <v>60</v>
      </c>
      <c r="C58" s="45">
        <v>60</v>
      </c>
      <c r="D58" s="45">
        <v>60</v>
      </c>
      <c r="E58" s="45">
        <v>43</v>
      </c>
      <c r="F58" s="45">
        <v>61.4</v>
      </c>
      <c r="G58" s="45">
        <v>61.4</v>
      </c>
      <c r="H58" s="56"/>
      <c r="I58" s="45">
        <v>61.4</v>
      </c>
      <c r="J58" s="45">
        <v>61.4</v>
      </c>
      <c r="K58" s="45">
        <v>61.4</v>
      </c>
      <c r="L58" s="45">
        <v>61.4</v>
      </c>
      <c r="M58" s="45">
        <v>61.4</v>
      </c>
      <c r="N58" s="45">
        <v>61.4</v>
      </c>
      <c r="O58" s="45">
        <v>61.4</v>
      </c>
      <c r="P58" s="65">
        <v>60.4</v>
      </c>
      <c r="Q58" s="65">
        <v>60.4</v>
      </c>
      <c r="R58" s="65">
        <v>60.4</v>
      </c>
      <c r="S58" s="65">
        <v>60.4</v>
      </c>
      <c r="T58" s="65">
        <v>60.4</v>
      </c>
      <c r="U58" s="65">
        <v>60.4</v>
      </c>
      <c r="V58" s="65">
        <v>60.4</v>
      </c>
      <c r="W58" s="65">
        <v>60.4</v>
      </c>
      <c r="X58" s="65">
        <v>60.4</v>
      </c>
      <c r="Y58" s="45">
        <v>60</v>
      </c>
      <c r="Z58" s="45">
        <v>60</v>
      </c>
      <c r="AA58" s="45">
        <v>61.7</v>
      </c>
      <c r="AB58" s="45">
        <v>61</v>
      </c>
      <c r="AC58" s="45">
        <v>60</v>
      </c>
      <c r="AD58" s="45">
        <v>60</v>
      </c>
      <c r="AE58" s="45">
        <v>60</v>
      </c>
      <c r="AF58" s="45">
        <v>60</v>
      </c>
      <c r="AG58" s="54">
        <v>60</v>
      </c>
      <c r="AH58" s="47">
        <f t="shared" si="2"/>
        <v>61.7</v>
      </c>
      <c r="AI58" s="48">
        <f t="shared" si="3"/>
        <v>43</v>
      </c>
      <c r="AK58" s="49"/>
    </row>
    <row r="59" spans="1:41" x14ac:dyDescent="0.25">
      <c r="A59" s="53" t="s">
        <v>65</v>
      </c>
      <c r="B59" s="45">
        <v>15</v>
      </c>
      <c r="C59" s="45">
        <v>15</v>
      </c>
      <c r="D59" s="45">
        <v>15</v>
      </c>
      <c r="E59" s="45">
        <v>15</v>
      </c>
      <c r="F59" s="45">
        <v>15</v>
      </c>
      <c r="G59" s="45">
        <v>15</v>
      </c>
      <c r="H59" s="56"/>
      <c r="I59" s="45">
        <v>15</v>
      </c>
      <c r="J59" s="45">
        <v>15</v>
      </c>
      <c r="K59" s="45">
        <v>15</v>
      </c>
      <c r="L59" s="45">
        <v>15</v>
      </c>
      <c r="M59" s="45">
        <v>15</v>
      </c>
      <c r="N59" s="45">
        <v>15</v>
      </c>
      <c r="O59" s="45">
        <v>15</v>
      </c>
      <c r="P59" s="56">
        <v>15</v>
      </c>
      <c r="Q59" s="56">
        <v>15</v>
      </c>
      <c r="R59" s="56">
        <v>15</v>
      </c>
      <c r="S59" s="56">
        <v>15</v>
      </c>
      <c r="T59" s="56">
        <v>15</v>
      </c>
      <c r="U59" s="56">
        <v>15</v>
      </c>
      <c r="V59" s="56">
        <v>15</v>
      </c>
      <c r="W59" s="56">
        <v>15</v>
      </c>
      <c r="X59" s="56">
        <v>22</v>
      </c>
      <c r="Y59" s="56">
        <v>22</v>
      </c>
      <c r="Z59" s="45">
        <v>22</v>
      </c>
      <c r="AA59" s="45">
        <v>30</v>
      </c>
      <c r="AB59" s="45">
        <v>30</v>
      </c>
      <c r="AC59" s="45">
        <v>30</v>
      </c>
      <c r="AD59" s="45">
        <v>30</v>
      </c>
      <c r="AE59" s="45">
        <v>22</v>
      </c>
      <c r="AF59" s="45">
        <v>15</v>
      </c>
      <c r="AG59" s="54">
        <v>30</v>
      </c>
      <c r="AH59" s="47">
        <f t="shared" si="2"/>
        <v>30</v>
      </c>
      <c r="AI59" s="48">
        <f t="shared" si="3"/>
        <v>15</v>
      </c>
      <c r="AK59" s="49"/>
    </row>
    <row r="60" spans="1:41" x14ac:dyDescent="0.25">
      <c r="A60" s="53" t="s">
        <v>66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65"/>
      <c r="I60" s="45">
        <v>0</v>
      </c>
      <c r="J60" s="45">
        <v>0</v>
      </c>
      <c r="K60" s="45">
        <v>0</v>
      </c>
      <c r="L60" s="45">
        <v>7.7</v>
      </c>
      <c r="M60" s="45">
        <v>7.7</v>
      </c>
      <c r="N60" s="45">
        <v>7.7</v>
      </c>
      <c r="O60" s="45">
        <v>7.7</v>
      </c>
      <c r="P60" s="45">
        <v>7.7</v>
      </c>
      <c r="Q60" s="45">
        <v>7.7</v>
      </c>
      <c r="R60" s="45">
        <v>7.7</v>
      </c>
      <c r="S60" s="45">
        <v>7.7</v>
      </c>
      <c r="T60" s="45">
        <v>7.7</v>
      </c>
      <c r="U60" s="45">
        <v>7.7</v>
      </c>
      <c r="V60" s="45">
        <v>7.7</v>
      </c>
      <c r="W60" s="45">
        <v>7.7</v>
      </c>
      <c r="X60" s="45">
        <v>7.7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7.7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/>
      <c r="I61" s="65">
        <v>17</v>
      </c>
      <c r="J61" s="65">
        <v>17</v>
      </c>
      <c r="K61" s="65">
        <v>17</v>
      </c>
      <c r="L61" s="65">
        <v>17</v>
      </c>
      <c r="M61" s="65">
        <v>17</v>
      </c>
      <c r="N61" s="65">
        <v>17</v>
      </c>
      <c r="O61" s="65">
        <v>17</v>
      </c>
      <c r="P61" s="65">
        <v>17</v>
      </c>
      <c r="Q61" s="65">
        <v>17</v>
      </c>
      <c r="R61" s="65">
        <v>17</v>
      </c>
      <c r="S61" s="65">
        <v>17</v>
      </c>
      <c r="T61" s="65">
        <v>17</v>
      </c>
      <c r="U61" s="65">
        <v>17</v>
      </c>
      <c r="V61" s="65">
        <v>17</v>
      </c>
      <c r="W61" s="65">
        <v>17</v>
      </c>
      <c r="X61" s="65">
        <v>17</v>
      </c>
      <c r="Y61" s="65">
        <v>17</v>
      </c>
      <c r="Z61" s="65">
        <v>17</v>
      </c>
      <c r="AA61" s="65">
        <v>17</v>
      </c>
      <c r="AB61" s="65">
        <v>17</v>
      </c>
      <c r="AC61" s="65">
        <v>17</v>
      </c>
      <c r="AD61" s="65">
        <v>17</v>
      </c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17</v>
      </c>
      <c r="AK61" s="49"/>
    </row>
    <row r="62" spans="1:41" x14ac:dyDescent="0.25">
      <c r="A62" s="53" t="s">
        <v>68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/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4">
        <v>15</v>
      </c>
      <c r="AH62" s="47">
        <f t="shared" si="2"/>
        <v>0</v>
      </c>
      <c r="AI62" s="48">
        <f t="shared" si="3"/>
        <v>0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12.4</v>
      </c>
      <c r="C63" s="65">
        <v>12.4</v>
      </c>
      <c r="D63" s="65">
        <v>12.4</v>
      </c>
      <c r="E63" s="65">
        <v>12.4</v>
      </c>
      <c r="F63" s="65">
        <v>12.4</v>
      </c>
      <c r="G63" s="65">
        <v>12.4</v>
      </c>
      <c r="H63" s="65"/>
      <c r="I63" s="65">
        <v>12.4</v>
      </c>
      <c r="J63" s="65">
        <v>12.4</v>
      </c>
      <c r="K63" s="65">
        <v>12.4</v>
      </c>
      <c r="L63" s="65">
        <v>12.4</v>
      </c>
      <c r="M63" s="65">
        <v>12.4</v>
      </c>
      <c r="N63" s="65">
        <v>12.4</v>
      </c>
      <c r="O63" s="65">
        <v>12.4</v>
      </c>
      <c r="P63" s="65">
        <v>12.4</v>
      </c>
      <c r="Q63" s="65">
        <v>12.4</v>
      </c>
      <c r="R63" s="65">
        <v>12.4</v>
      </c>
      <c r="S63" s="65">
        <v>12.4</v>
      </c>
      <c r="T63" s="65">
        <v>12.4</v>
      </c>
      <c r="U63" s="65">
        <v>12.4</v>
      </c>
      <c r="V63" s="65">
        <v>12.4</v>
      </c>
      <c r="W63" s="65">
        <v>12.4</v>
      </c>
      <c r="X63" s="65">
        <v>12.4</v>
      </c>
      <c r="Y63" s="65">
        <v>12.4</v>
      </c>
      <c r="Z63" s="65">
        <v>12.4</v>
      </c>
      <c r="AA63" s="65">
        <v>12.4</v>
      </c>
      <c r="AB63" s="65">
        <v>12.4</v>
      </c>
      <c r="AC63" s="65">
        <v>12.4</v>
      </c>
      <c r="AD63" s="65">
        <v>12.4</v>
      </c>
      <c r="AE63" s="65">
        <v>12.4</v>
      </c>
      <c r="AF63" s="65">
        <v>12.4</v>
      </c>
      <c r="AG63" s="54">
        <v>14.1</v>
      </c>
      <c r="AH63" s="47">
        <f t="shared" si="2"/>
        <v>12.4</v>
      </c>
      <c r="AI63" s="48">
        <f t="shared" si="3"/>
        <v>12.4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10.9</v>
      </c>
      <c r="C64" s="65">
        <v>6.9</v>
      </c>
      <c r="D64" s="65">
        <v>6.9</v>
      </c>
      <c r="E64" s="65">
        <v>6.9</v>
      </c>
      <c r="F64" s="65">
        <v>0</v>
      </c>
      <c r="G64" s="65">
        <v>6.9</v>
      </c>
      <c r="H64" s="65"/>
      <c r="I64" s="65">
        <v>6.9</v>
      </c>
      <c r="J64" s="65">
        <v>6.9</v>
      </c>
      <c r="K64" s="65">
        <v>6.9</v>
      </c>
      <c r="L64" s="65">
        <v>6.9</v>
      </c>
      <c r="M64" s="65">
        <v>6.9</v>
      </c>
      <c r="N64" s="65">
        <v>6.9</v>
      </c>
      <c r="O64" s="65">
        <v>6.9</v>
      </c>
      <c r="P64" s="65">
        <v>6.9</v>
      </c>
      <c r="Q64" s="65">
        <v>6.9</v>
      </c>
      <c r="R64" s="65">
        <v>6.9</v>
      </c>
      <c r="S64" s="65">
        <v>6.9</v>
      </c>
      <c r="T64" s="65">
        <v>6.9</v>
      </c>
      <c r="U64" s="65">
        <v>6.9</v>
      </c>
      <c r="V64" s="65">
        <v>6.9</v>
      </c>
      <c r="W64" s="65">
        <v>6.9</v>
      </c>
      <c r="X64" s="65">
        <v>6.9</v>
      </c>
      <c r="Y64" s="65">
        <v>6.9</v>
      </c>
      <c r="Z64" s="65">
        <v>6.9</v>
      </c>
      <c r="AA64" s="65">
        <v>10.9</v>
      </c>
      <c r="AB64" s="65">
        <v>10.9</v>
      </c>
      <c r="AC64" s="65">
        <v>10.9</v>
      </c>
      <c r="AD64" s="65">
        <v>10.9</v>
      </c>
      <c r="AE64" s="65">
        <v>10.9</v>
      </c>
      <c r="AF64" s="65">
        <v>10.9</v>
      </c>
      <c r="AG64" s="54">
        <v>14</v>
      </c>
      <c r="AH64" s="47">
        <f t="shared" si="2"/>
        <v>10.9</v>
      </c>
      <c r="AI64" s="48">
        <f t="shared" si="3"/>
        <v>0</v>
      </c>
      <c r="AK64" s="49"/>
    </row>
    <row r="65" spans="1:40" x14ac:dyDescent="0.25">
      <c r="A65" s="53" t="s">
        <v>71</v>
      </c>
      <c r="B65" s="65">
        <v>4.5</v>
      </c>
      <c r="C65" s="65">
        <v>4.5</v>
      </c>
      <c r="D65" s="65">
        <v>4.5</v>
      </c>
      <c r="E65" s="65">
        <v>4.5</v>
      </c>
      <c r="F65" s="65">
        <v>4.5</v>
      </c>
      <c r="G65" s="65">
        <v>4.5</v>
      </c>
      <c r="H65" s="65"/>
      <c r="I65" s="65">
        <v>4.5</v>
      </c>
      <c r="J65" s="65">
        <v>4.5</v>
      </c>
      <c r="K65" s="65">
        <v>4.5</v>
      </c>
      <c r="L65" s="65">
        <v>4.5</v>
      </c>
      <c r="M65" s="65">
        <v>4.5</v>
      </c>
      <c r="N65" s="65">
        <v>4.5</v>
      </c>
      <c r="O65" s="65">
        <v>4.5</v>
      </c>
      <c r="P65" s="65">
        <v>4.5</v>
      </c>
      <c r="Q65" s="65">
        <v>4.5</v>
      </c>
      <c r="R65" s="65">
        <v>4.5</v>
      </c>
      <c r="S65" s="65">
        <v>4.5</v>
      </c>
      <c r="T65" s="65">
        <v>4.5</v>
      </c>
      <c r="U65" s="65">
        <v>4.5</v>
      </c>
      <c r="V65" s="65">
        <v>4.5</v>
      </c>
      <c r="W65" s="65">
        <v>4.5</v>
      </c>
      <c r="X65" s="65">
        <v>4.5</v>
      </c>
      <c r="Y65" s="65">
        <v>4.5</v>
      </c>
      <c r="Z65" s="65">
        <v>4.5</v>
      </c>
      <c r="AA65" s="65">
        <v>4.5</v>
      </c>
      <c r="AB65" s="65">
        <v>4.5</v>
      </c>
      <c r="AC65" s="65">
        <v>4.5</v>
      </c>
      <c r="AD65" s="65">
        <v>4.5</v>
      </c>
      <c r="AE65" s="65">
        <v>4.5</v>
      </c>
      <c r="AF65" s="65">
        <v>4.5</v>
      </c>
      <c r="AG65" s="54">
        <v>10.050000000000001</v>
      </c>
      <c r="AH65" s="47">
        <f t="shared" si="2"/>
        <v>4.5</v>
      </c>
      <c r="AI65" s="48">
        <f t="shared" si="3"/>
        <v>4.5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/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>SUM(B55:B67)</f>
        <v>322.53999999999996</v>
      </c>
      <c r="C68" s="60">
        <f t="shared" ref="C68:AG68" si="6">SUM(C55:C67)</f>
        <v>360.04</v>
      </c>
      <c r="D68" s="60">
        <f t="shared" si="6"/>
        <v>328.64</v>
      </c>
      <c r="E68" s="60">
        <f t="shared" si="6"/>
        <v>258.34000000000003</v>
      </c>
      <c r="F68" s="60">
        <f t="shared" si="6"/>
        <v>323.83999999999997</v>
      </c>
      <c r="G68" s="60">
        <f t="shared" si="6"/>
        <v>365.73999999999995</v>
      </c>
      <c r="H68" s="60">
        <f t="shared" si="6"/>
        <v>3.54</v>
      </c>
      <c r="I68" s="60">
        <f t="shared" si="6"/>
        <v>337.73999999999995</v>
      </c>
      <c r="J68" s="60">
        <f t="shared" si="6"/>
        <v>377.73999999999995</v>
      </c>
      <c r="K68" s="60">
        <f t="shared" si="6"/>
        <v>399.84</v>
      </c>
      <c r="L68" s="60">
        <f t="shared" si="6"/>
        <v>407.53999999999996</v>
      </c>
      <c r="M68" s="60">
        <f t="shared" si="6"/>
        <v>407.53999999999996</v>
      </c>
      <c r="N68" s="60">
        <f t="shared" si="6"/>
        <v>409.43999999999994</v>
      </c>
      <c r="O68" s="60">
        <f t="shared" si="6"/>
        <v>409.43999999999994</v>
      </c>
      <c r="P68" s="60">
        <f>SUM(P55:P67)</f>
        <v>380.43999999999994</v>
      </c>
      <c r="Q68" s="60">
        <f t="shared" si="6"/>
        <v>396.43999999999994</v>
      </c>
      <c r="R68" s="60">
        <f t="shared" si="6"/>
        <v>396.43999999999994</v>
      </c>
      <c r="S68" s="60">
        <f t="shared" si="6"/>
        <v>394.43999999999994</v>
      </c>
      <c r="T68" s="60">
        <f t="shared" si="6"/>
        <v>389.43999999999994</v>
      </c>
      <c r="U68" s="60">
        <f t="shared" si="6"/>
        <v>370.43999999999994</v>
      </c>
      <c r="V68" s="60">
        <f t="shared" si="6"/>
        <v>334.43999999999994</v>
      </c>
      <c r="W68" s="60">
        <f t="shared" si="6"/>
        <v>324.43999999999994</v>
      </c>
      <c r="X68" s="60">
        <f t="shared" si="6"/>
        <v>275.53999999999996</v>
      </c>
      <c r="Y68" s="60">
        <f t="shared" si="6"/>
        <v>344.94</v>
      </c>
      <c r="Z68" s="60">
        <f t="shared" si="6"/>
        <v>374.23999999999995</v>
      </c>
      <c r="AA68" s="60">
        <f t="shared" si="6"/>
        <v>429.73999999999995</v>
      </c>
      <c r="AB68" s="60">
        <f t="shared" si="6"/>
        <v>401.14</v>
      </c>
      <c r="AC68" s="60">
        <f t="shared" si="6"/>
        <v>400.03999999999996</v>
      </c>
      <c r="AD68" s="60">
        <f t="shared" si="6"/>
        <v>400.03999999999996</v>
      </c>
      <c r="AE68" s="60">
        <f t="shared" si="6"/>
        <v>338.03999999999996</v>
      </c>
      <c r="AF68" s="60">
        <f t="shared" si="6"/>
        <v>313.23999999999995</v>
      </c>
      <c r="AG68" s="61">
        <f t="shared" si="6"/>
        <v>489.91</v>
      </c>
      <c r="AH68" s="47">
        <f t="shared" si="2"/>
        <v>429.73999999999995</v>
      </c>
      <c r="AI68" s="48">
        <f t="shared" si="3"/>
        <v>3.54</v>
      </c>
      <c r="AK68" s="49"/>
    </row>
    <row r="69" spans="1:40" x14ac:dyDescent="0.25">
      <c r="A69" s="44" t="s">
        <v>75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14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30</v>
      </c>
      <c r="W69" s="45">
        <v>30</v>
      </c>
      <c r="X69" s="45">
        <v>14</v>
      </c>
      <c r="Y69" s="45">
        <v>10</v>
      </c>
      <c r="Z69" s="45">
        <v>10</v>
      </c>
      <c r="AA69" s="45">
        <v>10</v>
      </c>
      <c r="AB69" s="45">
        <v>14</v>
      </c>
      <c r="AC69" s="45">
        <v>14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30</v>
      </c>
      <c r="AI69" s="48">
        <f t="shared" si="3"/>
        <v>0</v>
      </c>
      <c r="AK69" s="49"/>
    </row>
    <row r="70" spans="1:40" x14ac:dyDescent="0.25">
      <c r="A70" s="53" t="s">
        <v>76</v>
      </c>
      <c r="B70" s="65">
        <v>0</v>
      </c>
      <c r="C70" s="45">
        <v>0</v>
      </c>
      <c r="D70" s="45">
        <v>0</v>
      </c>
      <c r="E70" s="4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4</v>
      </c>
      <c r="L70" s="65">
        <v>4.8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14</v>
      </c>
      <c r="W70" s="65">
        <v>14</v>
      </c>
      <c r="X70" s="65">
        <v>5</v>
      </c>
      <c r="Y70" s="65">
        <v>3.9</v>
      </c>
      <c r="Z70" s="65">
        <v>3.9</v>
      </c>
      <c r="AA70" s="65">
        <v>0</v>
      </c>
      <c r="AB70" s="65">
        <v>16</v>
      </c>
      <c r="AC70" s="65">
        <v>10</v>
      </c>
      <c r="AD70" s="65">
        <v>4.9000000000000004</v>
      </c>
      <c r="AE70" s="65">
        <v>3.8</v>
      </c>
      <c r="AF70" s="65">
        <v>0</v>
      </c>
      <c r="AG70" s="54">
        <v>32</v>
      </c>
      <c r="AH70" s="47">
        <f t="shared" si="2"/>
        <v>16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67">
        <v>0</v>
      </c>
      <c r="C71" s="45">
        <v>0</v>
      </c>
      <c r="D71" s="45">
        <v>0</v>
      </c>
      <c r="E71" s="45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1.7</v>
      </c>
      <c r="L71" s="67">
        <v>1.7</v>
      </c>
      <c r="M71" s="67">
        <v>0</v>
      </c>
      <c r="N71" s="67">
        <v>0</v>
      </c>
      <c r="O71" s="67">
        <v>0</v>
      </c>
      <c r="P71" s="67">
        <v>0</v>
      </c>
      <c r="Q71" s="67">
        <v>0</v>
      </c>
      <c r="R71" s="67">
        <v>0</v>
      </c>
      <c r="S71" s="67">
        <v>0</v>
      </c>
      <c r="T71" s="67">
        <v>0</v>
      </c>
      <c r="U71" s="67">
        <v>0</v>
      </c>
      <c r="V71" s="67">
        <v>8</v>
      </c>
      <c r="W71" s="67">
        <v>8</v>
      </c>
      <c r="X71" s="67">
        <v>1.8</v>
      </c>
      <c r="Y71" s="67">
        <v>1.4</v>
      </c>
      <c r="Z71" s="67">
        <v>1.4</v>
      </c>
      <c r="AA71" s="67">
        <v>0</v>
      </c>
      <c r="AB71" s="67">
        <v>6.2</v>
      </c>
      <c r="AC71" s="67">
        <v>3.7</v>
      </c>
      <c r="AD71" s="67">
        <v>1.8</v>
      </c>
      <c r="AE71" s="67">
        <v>1.4</v>
      </c>
      <c r="AF71" s="67">
        <v>0</v>
      </c>
      <c r="AG71" s="68">
        <v>14</v>
      </c>
      <c r="AH71" s="47">
        <f t="shared" si="2"/>
        <v>8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6.5</v>
      </c>
      <c r="M72" s="60">
        <f t="shared" ref="M72:AF72" si="7">M69+M70+M71</f>
        <v>0</v>
      </c>
      <c r="N72" s="60">
        <f t="shared" si="7"/>
        <v>0</v>
      </c>
      <c r="O72" s="60">
        <f t="shared" si="7"/>
        <v>0</v>
      </c>
      <c r="P72" s="60">
        <f t="shared" si="7"/>
        <v>0</v>
      </c>
      <c r="Q72" s="60">
        <f t="shared" si="7"/>
        <v>0</v>
      </c>
      <c r="R72" s="60">
        <f t="shared" si="7"/>
        <v>0</v>
      </c>
      <c r="S72" s="60">
        <f t="shared" si="7"/>
        <v>0</v>
      </c>
      <c r="T72" s="60">
        <f t="shared" si="7"/>
        <v>0</v>
      </c>
      <c r="U72" s="60">
        <f t="shared" si="7"/>
        <v>0</v>
      </c>
      <c r="V72" s="60">
        <f t="shared" si="7"/>
        <v>52</v>
      </c>
      <c r="W72" s="60">
        <f t="shared" si="7"/>
        <v>52</v>
      </c>
      <c r="X72" s="60">
        <f t="shared" si="7"/>
        <v>20.8</v>
      </c>
      <c r="Y72" s="60">
        <f t="shared" si="7"/>
        <v>15.3</v>
      </c>
      <c r="Z72" s="60">
        <f t="shared" si="7"/>
        <v>15.3</v>
      </c>
      <c r="AA72" s="60">
        <v>10</v>
      </c>
      <c r="AB72" s="60">
        <f t="shared" si="7"/>
        <v>36.200000000000003</v>
      </c>
      <c r="AC72" s="60">
        <f t="shared" si="7"/>
        <v>27.7</v>
      </c>
      <c r="AD72" s="60">
        <f t="shared" si="7"/>
        <v>6.7</v>
      </c>
      <c r="AE72" s="60">
        <f t="shared" si="7"/>
        <v>5.1999999999999993</v>
      </c>
      <c r="AF72" s="60">
        <f t="shared" si="7"/>
        <v>0</v>
      </c>
      <c r="AG72" s="61">
        <f>SUM(AG69:AG71)</f>
        <v>106</v>
      </c>
      <c r="AH72" s="47">
        <f t="shared" si="2"/>
        <v>52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35.6</v>
      </c>
      <c r="C73" s="45">
        <v>0</v>
      </c>
      <c r="D73" s="45">
        <v>0</v>
      </c>
      <c r="E73" s="45">
        <v>0</v>
      </c>
      <c r="F73" s="45">
        <v>0</v>
      </c>
      <c r="G73" s="45">
        <v>0</v>
      </c>
      <c r="H73" s="45"/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45">
        <v>0</v>
      </c>
      <c r="T73" s="45">
        <v>0</v>
      </c>
      <c r="U73" s="45">
        <v>0</v>
      </c>
      <c r="V73" s="45">
        <v>0</v>
      </c>
      <c r="W73" s="45">
        <v>0</v>
      </c>
      <c r="X73" s="45">
        <v>0</v>
      </c>
      <c r="Y73" s="45">
        <v>0</v>
      </c>
      <c r="Z73" s="45">
        <v>0</v>
      </c>
      <c r="AA73" s="45">
        <v>42</v>
      </c>
      <c r="AB73" s="45">
        <v>13</v>
      </c>
      <c r="AC73" s="45">
        <v>11.5</v>
      </c>
      <c r="AD73" s="45">
        <v>0</v>
      </c>
      <c r="AE73" s="45">
        <v>0</v>
      </c>
      <c r="AF73" s="45">
        <v>0</v>
      </c>
      <c r="AG73" s="51"/>
      <c r="AH73" s="47">
        <f t="shared" si="2"/>
        <v>42</v>
      </c>
      <c r="AI73" s="48">
        <f t="shared" si="3"/>
        <v>0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/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0</v>
      </c>
      <c r="C75" s="65">
        <v>-133</v>
      </c>
      <c r="D75" s="65">
        <v>-103.3</v>
      </c>
      <c r="E75" s="65">
        <v>-84</v>
      </c>
      <c r="F75" s="65">
        <v>-92</v>
      </c>
      <c r="G75" s="65">
        <v>-111</v>
      </c>
      <c r="H75" s="65"/>
      <c r="I75" s="65">
        <v>-112</v>
      </c>
      <c r="J75" s="65">
        <v>2.6</v>
      </c>
      <c r="K75" s="65">
        <v>40</v>
      </c>
      <c r="L75" s="65">
        <v>53</v>
      </c>
      <c r="M75" s="65">
        <v>58</v>
      </c>
      <c r="N75" s="65">
        <v>-4.2</v>
      </c>
      <c r="O75" s="65">
        <v>-12</v>
      </c>
      <c r="P75" s="65">
        <v>-12</v>
      </c>
      <c r="Q75" s="65">
        <v>-3.6</v>
      </c>
      <c r="R75" s="65">
        <v>-3.6</v>
      </c>
      <c r="S75" s="65">
        <v>6.2</v>
      </c>
      <c r="T75" s="65">
        <v>5.7</v>
      </c>
      <c r="U75" s="65">
        <v>5.7</v>
      </c>
      <c r="V75" s="65">
        <v>5.7</v>
      </c>
      <c r="W75" s="65">
        <v>5.7</v>
      </c>
      <c r="X75" s="65">
        <v>5.7</v>
      </c>
      <c r="Y75" s="65">
        <v>0</v>
      </c>
      <c r="Z75" s="65">
        <v>0</v>
      </c>
      <c r="AA75" s="65">
        <v>10</v>
      </c>
      <c r="AB75" s="65">
        <v>0</v>
      </c>
      <c r="AC75" s="65">
        <v>0</v>
      </c>
      <c r="AD75" s="65">
        <v>0</v>
      </c>
      <c r="AE75" s="65">
        <v>0</v>
      </c>
      <c r="AF75" s="65">
        <v>0</v>
      </c>
      <c r="AG75" s="75"/>
      <c r="AH75" s="47">
        <f t="shared" si="2"/>
        <v>58</v>
      </c>
      <c r="AI75" s="48">
        <f t="shared" si="3"/>
        <v>-133</v>
      </c>
      <c r="AK75" s="49"/>
    </row>
    <row r="76" spans="1:40" x14ac:dyDescent="0.25">
      <c r="A76" s="53" t="s">
        <v>82</v>
      </c>
      <c r="B76" s="76">
        <v>0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76"/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65">
        <v>0</v>
      </c>
      <c r="E77" s="65">
        <v>0</v>
      </c>
      <c r="F77" s="65">
        <v>0</v>
      </c>
      <c r="G77" s="65">
        <v>0</v>
      </c>
      <c r="H77" s="45"/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8">MAX(B77:AF77)</f>
        <v>0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77">
        <v>0</v>
      </c>
      <c r="C78" s="77">
        <v>0</v>
      </c>
      <c r="D78" s="65">
        <v>0</v>
      </c>
      <c r="E78" s="65">
        <v>0</v>
      </c>
      <c r="F78" s="65">
        <v>0</v>
      </c>
      <c r="G78" s="65">
        <v>0</v>
      </c>
      <c r="H78" s="77"/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8"/>
        <v>0</v>
      </c>
      <c r="AI78" s="48">
        <f t="shared" si="9"/>
        <v>0</v>
      </c>
      <c r="AK78" s="49"/>
    </row>
    <row r="79" spans="1:40" ht="15.75" thickBot="1" x14ac:dyDescent="0.3">
      <c r="A79" s="53" t="s">
        <v>85</v>
      </c>
      <c r="B79" s="77">
        <v>0</v>
      </c>
      <c r="C79" s="77">
        <v>0</v>
      </c>
      <c r="D79" s="65">
        <v>0</v>
      </c>
      <c r="E79" s="65">
        <v>0</v>
      </c>
      <c r="F79" s="65">
        <v>0</v>
      </c>
      <c r="G79" s="65">
        <v>0</v>
      </c>
      <c r="H79" s="77"/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77">
        <v>0</v>
      </c>
      <c r="C80" s="77">
        <v>0</v>
      </c>
      <c r="D80" s="65">
        <v>0</v>
      </c>
      <c r="E80" s="65">
        <v>0</v>
      </c>
      <c r="F80" s="65">
        <v>0</v>
      </c>
      <c r="G80" s="65">
        <v>0</v>
      </c>
      <c r="H80" s="77"/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77">
        <v>0</v>
      </c>
      <c r="C81" s="77">
        <v>0</v>
      </c>
      <c r="D81" s="65">
        <v>0</v>
      </c>
      <c r="E81" s="65">
        <v>0</v>
      </c>
      <c r="F81" s="65">
        <v>0</v>
      </c>
      <c r="G81" s="65">
        <v>0</v>
      </c>
      <c r="H81" s="77"/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0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77">
        <v>0</v>
      </c>
      <c r="C82" s="77">
        <v>0</v>
      </c>
      <c r="D82" s="65">
        <v>0</v>
      </c>
      <c r="E82" s="65">
        <v>0</v>
      </c>
      <c r="F82" s="65">
        <v>0</v>
      </c>
      <c r="G82" s="65">
        <v>0</v>
      </c>
      <c r="H82" s="77"/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77">
        <v>0</v>
      </c>
      <c r="C83" s="77">
        <v>0</v>
      </c>
      <c r="D83" s="65">
        <v>0</v>
      </c>
      <c r="E83" s="65">
        <v>0</v>
      </c>
      <c r="F83" s="65">
        <v>0</v>
      </c>
      <c r="G83" s="65">
        <v>0</v>
      </c>
      <c r="H83" s="77"/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>SUMIF(B73:B83,"&gt;0")</f>
        <v>35.6</v>
      </c>
      <c r="C84" s="60">
        <f t="shared" ref="C84:AF84" si="10">SUMIF(C73:C83,"&gt;0")</f>
        <v>0</v>
      </c>
      <c r="D84" s="60">
        <f t="shared" si="10"/>
        <v>0</v>
      </c>
      <c r="E84" s="60">
        <f t="shared" si="10"/>
        <v>0</v>
      </c>
      <c r="F84" s="60">
        <f t="shared" si="10"/>
        <v>0</v>
      </c>
      <c r="G84" s="60">
        <f t="shared" si="10"/>
        <v>0</v>
      </c>
      <c r="H84" s="60">
        <f t="shared" si="10"/>
        <v>0</v>
      </c>
      <c r="I84" s="60">
        <f t="shared" si="10"/>
        <v>0</v>
      </c>
      <c r="J84" s="60">
        <f t="shared" si="10"/>
        <v>2.6</v>
      </c>
      <c r="K84" s="60">
        <f t="shared" si="10"/>
        <v>40</v>
      </c>
      <c r="L84" s="60">
        <f t="shared" si="10"/>
        <v>53</v>
      </c>
      <c r="M84" s="60">
        <f t="shared" si="10"/>
        <v>58</v>
      </c>
      <c r="N84" s="60">
        <f t="shared" si="10"/>
        <v>0</v>
      </c>
      <c r="O84" s="60">
        <f t="shared" si="10"/>
        <v>0</v>
      </c>
      <c r="P84" s="60">
        <f t="shared" si="10"/>
        <v>0</v>
      </c>
      <c r="Q84" s="60">
        <f t="shared" si="10"/>
        <v>0</v>
      </c>
      <c r="R84" s="60">
        <f t="shared" si="10"/>
        <v>0</v>
      </c>
      <c r="S84" s="60">
        <f t="shared" si="10"/>
        <v>6.2</v>
      </c>
      <c r="T84" s="60">
        <f t="shared" si="10"/>
        <v>5.7</v>
      </c>
      <c r="U84" s="60">
        <f t="shared" si="10"/>
        <v>5.7</v>
      </c>
      <c r="V84" s="60">
        <f t="shared" si="10"/>
        <v>5.7</v>
      </c>
      <c r="W84" s="60">
        <f t="shared" si="10"/>
        <v>5.7</v>
      </c>
      <c r="X84" s="60">
        <f t="shared" si="10"/>
        <v>5.7</v>
      </c>
      <c r="Y84" s="60">
        <f t="shared" si="10"/>
        <v>0</v>
      </c>
      <c r="Z84" s="60">
        <f t="shared" si="10"/>
        <v>0</v>
      </c>
      <c r="AA84" s="60">
        <f t="shared" si="10"/>
        <v>52</v>
      </c>
      <c r="AB84" s="60">
        <f t="shared" si="10"/>
        <v>13</v>
      </c>
      <c r="AC84" s="60">
        <f t="shared" si="10"/>
        <v>11.5</v>
      </c>
      <c r="AD84" s="60">
        <f t="shared" si="10"/>
        <v>0</v>
      </c>
      <c r="AE84" s="60">
        <f t="shared" si="10"/>
        <v>0</v>
      </c>
      <c r="AF84" s="60">
        <f t="shared" si="10"/>
        <v>0</v>
      </c>
      <c r="AG84" s="88">
        <f>SUM(AG73:AG83)</f>
        <v>0</v>
      </c>
      <c r="AH84" s="47">
        <f t="shared" si="8"/>
        <v>58</v>
      </c>
      <c r="AI84" s="48">
        <f t="shared" si="9"/>
        <v>0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>
        <v>0</v>
      </c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>B50+B54+B72+B68+B84+B88</f>
        <v>1315.7399999999998</v>
      </c>
      <c r="C89" s="95">
        <f t="shared" ref="C89:AG89" si="11">C50+C54+C72+C68+C84+C88</f>
        <v>1380.34</v>
      </c>
      <c r="D89" s="95">
        <f t="shared" si="11"/>
        <v>1348.94</v>
      </c>
      <c r="E89" s="95">
        <f t="shared" si="11"/>
        <v>1228.6399999999999</v>
      </c>
      <c r="F89" s="95">
        <f t="shared" si="11"/>
        <v>1304.1399999999999</v>
      </c>
      <c r="G89" s="95">
        <f t="shared" si="11"/>
        <v>1346.04</v>
      </c>
      <c r="H89" s="95">
        <f t="shared" si="11"/>
        <v>3.54</v>
      </c>
      <c r="I89" s="95">
        <f t="shared" si="11"/>
        <v>1265.04</v>
      </c>
      <c r="J89" s="95">
        <f t="shared" si="11"/>
        <v>1217.6399999999999</v>
      </c>
      <c r="K89" s="95">
        <f t="shared" si="11"/>
        <v>1270.1399999999999</v>
      </c>
      <c r="L89" s="95">
        <f t="shared" si="11"/>
        <v>1337.34</v>
      </c>
      <c r="M89" s="95">
        <f t="shared" si="11"/>
        <v>1332.84</v>
      </c>
      <c r="N89" s="95">
        <f t="shared" si="11"/>
        <v>1351.7399999999998</v>
      </c>
      <c r="O89" s="95">
        <f t="shared" si="11"/>
        <v>1351.7399999999998</v>
      </c>
      <c r="P89" s="95">
        <f t="shared" si="11"/>
        <v>1334.94</v>
      </c>
      <c r="Q89" s="95">
        <f t="shared" si="11"/>
        <v>1365.94</v>
      </c>
      <c r="R89" s="95">
        <f t="shared" si="11"/>
        <v>1343.94</v>
      </c>
      <c r="S89" s="95">
        <f t="shared" si="11"/>
        <v>1392.14</v>
      </c>
      <c r="T89" s="95">
        <f t="shared" si="11"/>
        <v>1396.64</v>
      </c>
      <c r="U89" s="95">
        <f t="shared" si="11"/>
        <v>1337.64</v>
      </c>
      <c r="V89" s="95">
        <f t="shared" si="11"/>
        <v>1282.6400000000001</v>
      </c>
      <c r="W89" s="95">
        <f t="shared" si="11"/>
        <v>1272.6400000000001</v>
      </c>
      <c r="X89" s="95">
        <f t="shared" si="11"/>
        <v>1208.44</v>
      </c>
      <c r="Y89" s="95">
        <f t="shared" si="11"/>
        <v>1301.6399999999999</v>
      </c>
      <c r="Z89" s="95">
        <f t="shared" si="11"/>
        <v>1372.6399999999999</v>
      </c>
      <c r="AA89" s="95">
        <f t="shared" si="11"/>
        <v>1513.54</v>
      </c>
      <c r="AB89" s="95">
        <f t="shared" si="11"/>
        <v>1499.44</v>
      </c>
      <c r="AC89" s="95">
        <f t="shared" si="11"/>
        <v>1503.34</v>
      </c>
      <c r="AD89" s="95">
        <f t="shared" si="11"/>
        <v>1469.84</v>
      </c>
      <c r="AE89" s="95">
        <f t="shared" si="11"/>
        <v>1414.34</v>
      </c>
      <c r="AF89" s="95">
        <f t="shared" si="11"/>
        <v>1340.84</v>
      </c>
      <c r="AG89" s="61">
        <f t="shared" si="11"/>
        <v>2109.09</v>
      </c>
      <c r="AH89" s="47">
        <f t="shared" si="8"/>
        <v>1513.54</v>
      </c>
      <c r="AI89" s="48">
        <f t="shared" si="9"/>
        <v>3.54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8"/>
        <v>0</v>
      </c>
      <c r="AI90" s="48">
        <f t="shared" si="9"/>
        <v>0</v>
      </c>
    </row>
    <row r="91" spans="1:40" ht="15.75" thickBot="1" x14ac:dyDescent="0.3">
      <c r="A91" s="74" t="s">
        <v>100</v>
      </c>
      <c r="B91" s="95">
        <f>B89+B90</f>
        <v>1315.7399999999998</v>
      </c>
      <c r="C91" s="95">
        <f t="shared" ref="C91:AF91" si="12">C89+C90</f>
        <v>1380.34</v>
      </c>
      <c r="D91" s="95">
        <f t="shared" si="12"/>
        <v>1348.94</v>
      </c>
      <c r="E91" s="95">
        <f t="shared" si="12"/>
        <v>1228.6399999999999</v>
      </c>
      <c r="F91" s="95">
        <f t="shared" si="12"/>
        <v>1304.1399999999999</v>
      </c>
      <c r="G91" s="95">
        <f t="shared" si="12"/>
        <v>1346.04</v>
      </c>
      <c r="H91" s="95">
        <f t="shared" si="12"/>
        <v>3.54</v>
      </c>
      <c r="I91" s="95">
        <f t="shared" si="12"/>
        <v>1265.04</v>
      </c>
      <c r="J91" s="95">
        <f t="shared" si="12"/>
        <v>1217.6399999999999</v>
      </c>
      <c r="K91" s="95">
        <f t="shared" si="12"/>
        <v>1270.1399999999999</v>
      </c>
      <c r="L91" s="95">
        <f t="shared" si="12"/>
        <v>1337.34</v>
      </c>
      <c r="M91" s="95">
        <f t="shared" si="12"/>
        <v>1332.84</v>
      </c>
      <c r="N91" s="95">
        <f t="shared" si="12"/>
        <v>1351.7399999999998</v>
      </c>
      <c r="O91" s="95">
        <f t="shared" si="12"/>
        <v>1351.7399999999998</v>
      </c>
      <c r="P91" s="95">
        <f t="shared" si="12"/>
        <v>1334.94</v>
      </c>
      <c r="Q91" s="95">
        <f t="shared" si="12"/>
        <v>1365.94</v>
      </c>
      <c r="R91" s="95">
        <f t="shared" si="12"/>
        <v>1343.94</v>
      </c>
      <c r="S91" s="95">
        <f t="shared" si="12"/>
        <v>1392.14</v>
      </c>
      <c r="T91" s="95">
        <f t="shared" si="12"/>
        <v>1396.64</v>
      </c>
      <c r="U91" s="95">
        <f t="shared" si="12"/>
        <v>1337.64</v>
      </c>
      <c r="V91" s="95">
        <f t="shared" si="12"/>
        <v>1282.6400000000001</v>
      </c>
      <c r="W91" s="95">
        <f t="shared" si="12"/>
        <v>1272.6400000000001</v>
      </c>
      <c r="X91" s="95">
        <f t="shared" si="12"/>
        <v>1208.44</v>
      </c>
      <c r="Y91" s="95">
        <f t="shared" si="12"/>
        <v>1301.6399999999999</v>
      </c>
      <c r="Z91" s="95">
        <f t="shared" si="12"/>
        <v>1372.6399999999999</v>
      </c>
      <c r="AA91" s="95">
        <v>1699.54</v>
      </c>
      <c r="AB91" s="95">
        <f t="shared" si="12"/>
        <v>1499.44</v>
      </c>
      <c r="AC91" s="95">
        <f t="shared" si="12"/>
        <v>1503.34</v>
      </c>
      <c r="AD91" s="95">
        <f t="shared" si="12"/>
        <v>1469.84</v>
      </c>
      <c r="AE91" s="95">
        <f t="shared" si="12"/>
        <v>1414.34</v>
      </c>
      <c r="AF91" s="95">
        <f t="shared" si="12"/>
        <v>1340.84</v>
      </c>
      <c r="AG91" s="88">
        <f>AG88+AG84+AG72+AG68+AG50+AG90</f>
        <v>1570.99</v>
      </c>
      <c r="AH91" s="47">
        <f t="shared" si="8"/>
        <v>1699.54</v>
      </c>
      <c r="AI91" s="48">
        <f t="shared" si="9"/>
        <v>3.54</v>
      </c>
    </row>
    <row r="92" spans="1:40" ht="15.75" thickBot="1" x14ac:dyDescent="0.3">
      <c r="A92" s="74" t="s">
        <v>101</v>
      </c>
      <c r="B92" s="95">
        <f>B91-B99</f>
        <v>1315.7399999999998</v>
      </c>
      <c r="C92" s="95">
        <f t="shared" ref="C92:AF92" si="13">C91-C99</f>
        <v>1380.34</v>
      </c>
      <c r="D92" s="95">
        <f t="shared" si="13"/>
        <v>1348.94</v>
      </c>
      <c r="E92" s="95">
        <f t="shared" si="13"/>
        <v>1228.6399999999999</v>
      </c>
      <c r="F92" s="95">
        <f t="shared" si="13"/>
        <v>1304.1399999999999</v>
      </c>
      <c r="G92" s="95">
        <f t="shared" si="13"/>
        <v>1346.04</v>
      </c>
      <c r="H92" s="95">
        <f t="shared" si="13"/>
        <v>3.54</v>
      </c>
      <c r="I92" s="95">
        <f t="shared" si="13"/>
        <v>1265.04</v>
      </c>
      <c r="J92" s="95">
        <f t="shared" si="13"/>
        <v>1217.6399999999999</v>
      </c>
      <c r="K92" s="95">
        <f t="shared" si="13"/>
        <v>1270.1399999999999</v>
      </c>
      <c r="L92" s="95">
        <f t="shared" si="13"/>
        <v>1337.34</v>
      </c>
      <c r="M92" s="95">
        <f t="shared" si="13"/>
        <v>1332.84</v>
      </c>
      <c r="N92" s="95">
        <f t="shared" si="13"/>
        <v>1351.7399999999998</v>
      </c>
      <c r="O92" s="95">
        <f t="shared" si="13"/>
        <v>1351.7399999999998</v>
      </c>
      <c r="P92" s="95">
        <f t="shared" si="13"/>
        <v>1334.94</v>
      </c>
      <c r="Q92" s="95">
        <f t="shared" si="13"/>
        <v>1365.94</v>
      </c>
      <c r="R92" s="95">
        <f t="shared" si="13"/>
        <v>1343.94</v>
      </c>
      <c r="S92" s="95">
        <f t="shared" si="13"/>
        <v>1392.14</v>
      </c>
      <c r="T92" s="95">
        <f t="shared" si="13"/>
        <v>1396.64</v>
      </c>
      <c r="U92" s="95">
        <f t="shared" si="13"/>
        <v>1337.64</v>
      </c>
      <c r="V92" s="95">
        <f t="shared" si="13"/>
        <v>1282.6400000000001</v>
      </c>
      <c r="W92" s="95">
        <f t="shared" si="13"/>
        <v>1272.6400000000001</v>
      </c>
      <c r="X92" s="95">
        <f t="shared" si="13"/>
        <v>1208.44</v>
      </c>
      <c r="Y92" s="95">
        <f t="shared" si="13"/>
        <v>1301.6399999999999</v>
      </c>
      <c r="Z92" s="95">
        <f t="shared" si="13"/>
        <v>1372.6399999999999</v>
      </c>
      <c r="AA92" s="95">
        <v>1699.54</v>
      </c>
      <c r="AB92" s="95">
        <f t="shared" si="13"/>
        <v>1499.44</v>
      </c>
      <c r="AC92" s="95">
        <f t="shared" si="13"/>
        <v>1503.34</v>
      </c>
      <c r="AD92" s="95">
        <f t="shared" si="13"/>
        <v>1469.84</v>
      </c>
      <c r="AE92" s="95">
        <f t="shared" si="13"/>
        <v>1414.34</v>
      </c>
      <c r="AF92" s="95">
        <f t="shared" si="13"/>
        <v>1340.84</v>
      </c>
      <c r="AG92" s="88"/>
      <c r="AH92" s="47">
        <f t="shared" si="8"/>
        <v>1699.54</v>
      </c>
      <c r="AI92" s="48">
        <f t="shared" si="9"/>
        <v>3.54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0</v>
      </c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>B84-B99</f>
        <v>35.6</v>
      </c>
      <c r="C100" s="60">
        <f t="shared" ref="C100:AF100" si="14">C84-C99</f>
        <v>0</v>
      </c>
      <c r="D100" s="60">
        <f t="shared" si="14"/>
        <v>0</v>
      </c>
      <c r="E100" s="60">
        <f t="shared" si="14"/>
        <v>0</v>
      </c>
      <c r="F100" s="60">
        <f t="shared" si="14"/>
        <v>0</v>
      </c>
      <c r="G100" s="60">
        <f t="shared" si="14"/>
        <v>0</v>
      </c>
      <c r="H100" s="60">
        <f t="shared" si="14"/>
        <v>0</v>
      </c>
      <c r="I100" s="60">
        <f t="shared" si="14"/>
        <v>0</v>
      </c>
      <c r="J100" s="60">
        <f t="shared" si="14"/>
        <v>2.6</v>
      </c>
      <c r="K100" s="60">
        <f t="shared" si="14"/>
        <v>40</v>
      </c>
      <c r="L100" s="60">
        <f t="shared" si="14"/>
        <v>53</v>
      </c>
      <c r="M100" s="60">
        <f t="shared" si="14"/>
        <v>58</v>
      </c>
      <c r="N100" s="60">
        <f t="shared" si="14"/>
        <v>0</v>
      </c>
      <c r="O100" s="60">
        <f t="shared" si="14"/>
        <v>0</v>
      </c>
      <c r="P100" s="60">
        <f t="shared" si="14"/>
        <v>0</v>
      </c>
      <c r="Q100" s="60">
        <f t="shared" si="14"/>
        <v>0</v>
      </c>
      <c r="R100" s="60">
        <f t="shared" si="14"/>
        <v>0</v>
      </c>
      <c r="S100" s="60">
        <f t="shared" si="14"/>
        <v>6.2</v>
      </c>
      <c r="T100" s="60">
        <f t="shared" si="14"/>
        <v>5.7</v>
      </c>
      <c r="U100" s="60">
        <f t="shared" si="14"/>
        <v>5.7</v>
      </c>
      <c r="V100" s="60">
        <f t="shared" si="14"/>
        <v>5.7</v>
      </c>
      <c r="W100" s="60">
        <f t="shared" si="14"/>
        <v>5.7</v>
      </c>
      <c r="X100" s="60">
        <f t="shared" si="14"/>
        <v>5.7</v>
      </c>
      <c r="Y100" s="60">
        <f t="shared" si="14"/>
        <v>0</v>
      </c>
      <c r="Z100" s="60">
        <f t="shared" si="14"/>
        <v>0</v>
      </c>
      <c r="AA100" s="60">
        <f t="shared" si="14"/>
        <v>52</v>
      </c>
      <c r="AB100" s="60">
        <f t="shared" si="14"/>
        <v>13</v>
      </c>
      <c r="AC100" s="60">
        <f t="shared" si="14"/>
        <v>11.5</v>
      </c>
      <c r="AD100" s="60">
        <f t="shared" si="14"/>
        <v>0</v>
      </c>
      <c r="AE100" s="60">
        <f t="shared" si="14"/>
        <v>0</v>
      </c>
      <c r="AF100" s="60">
        <f t="shared" si="14"/>
        <v>0</v>
      </c>
      <c r="AG100" s="88"/>
      <c r="AH100" s="47">
        <f t="shared" si="8"/>
        <v>58</v>
      </c>
      <c r="AI100" s="48">
        <f t="shared" si="9"/>
        <v>0</v>
      </c>
    </row>
    <row r="101" spans="1:37" x14ac:dyDescent="0.25">
      <c r="A101" s="100" t="s">
        <v>107</v>
      </c>
      <c r="B101" s="101">
        <v>50.01</v>
      </c>
      <c r="C101" s="101">
        <v>49.942999999999998</v>
      </c>
      <c r="D101" s="101">
        <v>50.066000000000003</v>
      </c>
      <c r="E101" s="101">
        <v>50.015000000000001</v>
      </c>
      <c r="F101" s="101">
        <v>50.064999999999998</v>
      </c>
      <c r="G101" s="101">
        <v>50.021000000000001</v>
      </c>
      <c r="H101" s="101"/>
      <c r="I101" s="101">
        <v>50.075000000000003</v>
      </c>
      <c r="J101" s="101">
        <v>50.183999999999997</v>
      </c>
      <c r="K101" s="101">
        <v>50.207999999999998</v>
      </c>
      <c r="L101" s="101">
        <v>50.095999999999997</v>
      </c>
      <c r="M101" s="101">
        <v>50.112000000000002</v>
      </c>
      <c r="N101" s="101">
        <v>50.021000000000001</v>
      </c>
      <c r="O101" s="101">
        <v>49.941000000000003</v>
      </c>
      <c r="P101" s="101">
        <v>49.96</v>
      </c>
      <c r="Q101" s="101">
        <v>50.069000000000003</v>
      </c>
      <c r="R101" s="101">
        <v>49.951999999999998</v>
      </c>
      <c r="S101" s="101">
        <v>50.01</v>
      </c>
      <c r="T101" s="101">
        <v>49.8</v>
      </c>
      <c r="U101" s="101">
        <v>49.94</v>
      </c>
      <c r="V101" s="101">
        <v>50</v>
      </c>
      <c r="W101" s="101">
        <v>49.98</v>
      </c>
      <c r="X101" s="101">
        <v>49.88</v>
      </c>
      <c r="Y101" s="101">
        <v>49.96</v>
      </c>
      <c r="Z101" s="101">
        <v>50.02</v>
      </c>
      <c r="AA101" s="101">
        <v>49.906999999999996</v>
      </c>
      <c r="AB101" s="101">
        <v>49.945999999999998</v>
      </c>
      <c r="AC101" s="101">
        <v>49.796999999999997</v>
      </c>
      <c r="AD101" s="101">
        <v>49.863</v>
      </c>
      <c r="AE101" s="101">
        <v>49.923999999999999</v>
      </c>
      <c r="AF101" s="101">
        <v>49.881999999999998</v>
      </c>
      <c r="AG101" s="102"/>
      <c r="AH101" s="47">
        <f t="shared" si="8"/>
        <v>50.207999999999998</v>
      </c>
      <c r="AI101" s="48">
        <f t="shared" si="9"/>
        <v>49.796999999999997</v>
      </c>
    </row>
    <row r="102" spans="1:37" x14ac:dyDescent="0.25">
      <c r="A102" s="103" t="s">
        <v>108</v>
      </c>
      <c r="B102" s="65">
        <v>123.9</v>
      </c>
      <c r="C102" s="65">
        <v>125</v>
      </c>
      <c r="D102" s="65">
        <v>125.4</v>
      </c>
      <c r="E102" s="65"/>
      <c r="F102" s="65"/>
      <c r="G102" s="65"/>
      <c r="H102" s="65"/>
      <c r="I102" s="65"/>
      <c r="J102" s="65"/>
      <c r="K102" s="65"/>
      <c r="L102" s="65">
        <v>123.6</v>
      </c>
      <c r="M102" s="65">
        <v>124.4</v>
      </c>
      <c r="N102" s="65">
        <v>123.3</v>
      </c>
      <c r="O102" s="65">
        <v>122.3</v>
      </c>
      <c r="P102" s="65">
        <v>124.6</v>
      </c>
      <c r="Q102" s="65">
        <v>124</v>
      </c>
      <c r="R102" s="65">
        <v>122.9</v>
      </c>
      <c r="S102" s="65"/>
      <c r="T102" s="65">
        <v>122.8</v>
      </c>
      <c r="U102" s="65">
        <v>125.6</v>
      </c>
      <c r="V102" s="65">
        <v>126.3</v>
      </c>
      <c r="W102" s="65">
        <v>126.3</v>
      </c>
      <c r="X102" s="65">
        <v>127</v>
      </c>
      <c r="Y102" s="65">
        <v>126.9</v>
      </c>
      <c r="Z102" s="65">
        <v>125.8</v>
      </c>
      <c r="AA102" s="65">
        <v>123.1</v>
      </c>
      <c r="AB102" s="65">
        <v>127</v>
      </c>
      <c r="AC102" s="65">
        <v>126</v>
      </c>
      <c r="AD102" s="65">
        <v>125</v>
      </c>
      <c r="AE102" s="65">
        <v>125</v>
      </c>
      <c r="AF102" s="65">
        <v>125</v>
      </c>
      <c r="AG102" s="104"/>
      <c r="AH102" s="47">
        <f t="shared" si="8"/>
        <v>127</v>
      </c>
      <c r="AI102" s="48">
        <f t="shared" si="9"/>
        <v>122.3</v>
      </c>
    </row>
    <row r="103" spans="1:37" x14ac:dyDescent="0.25">
      <c r="A103" s="103" t="s">
        <v>109</v>
      </c>
      <c r="B103" s="65">
        <v>128.69999999999999</v>
      </c>
      <c r="C103" s="65">
        <v>129.6</v>
      </c>
      <c r="D103" s="65">
        <v>130</v>
      </c>
      <c r="E103" s="65">
        <v>131</v>
      </c>
      <c r="F103" s="65">
        <v>130.69999999999999</v>
      </c>
      <c r="G103" s="65">
        <v>129.80000000000001</v>
      </c>
      <c r="H103" s="65"/>
      <c r="I103" s="65">
        <v>129.80000000000001</v>
      </c>
      <c r="J103" s="65">
        <v>129.1</v>
      </c>
      <c r="K103" s="65">
        <v>128.80000000000001</v>
      </c>
      <c r="L103" s="65">
        <v>126.8</v>
      </c>
      <c r="M103" s="65">
        <v>127.6</v>
      </c>
      <c r="N103" s="65">
        <v>126.6</v>
      </c>
      <c r="O103" s="65">
        <v>126.1</v>
      </c>
      <c r="P103" s="65">
        <v>128.6</v>
      </c>
      <c r="Q103" s="65">
        <v>128</v>
      </c>
      <c r="R103" s="65">
        <v>127.5</v>
      </c>
      <c r="S103" s="65">
        <v>127.7</v>
      </c>
      <c r="T103" s="65">
        <v>127.3</v>
      </c>
      <c r="U103" s="65">
        <v>129.5</v>
      </c>
      <c r="V103" s="65">
        <v>129.69999999999999</v>
      </c>
      <c r="W103" s="65">
        <v>129.69999999999999</v>
      </c>
      <c r="X103" s="65">
        <v>130.4</v>
      </c>
      <c r="Y103" s="65">
        <v>130.4</v>
      </c>
      <c r="Z103" s="65">
        <v>129</v>
      </c>
      <c r="AA103" s="65">
        <v>126.8</v>
      </c>
      <c r="AB103" s="65">
        <v>130.69999999999999</v>
      </c>
      <c r="AC103" s="65">
        <v>129.9</v>
      </c>
      <c r="AD103" s="65">
        <v>129</v>
      </c>
      <c r="AE103" s="65">
        <v>129</v>
      </c>
      <c r="AF103" s="65">
        <v>129</v>
      </c>
      <c r="AG103" s="104"/>
      <c r="AH103" s="47">
        <f t="shared" si="8"/>
        <v>131</v>
      </c>
      <c r="AI103" s="48">
        <f t="shared" si="9"/>
        <v>126.1</v>
      </c>
    </row>
    <row r="104" spans="1:37" x14ac:dyDescent="0.25">
      <c r="A104" s="103" t="s">
        <v>110</v>
      </c>
      <c r="B104" s="65">
        <v>139.30000000000001</v>
      </c>
      <c r="C104" s="65">
        <v>136.30000000000001</v>
      </c>
      <c r="D104" s="65">
        <v>133.1</v>
      </c>
      <c r="E104" s="65">
        <v>132</v>
      </c>
      <c r="F104" s="65">
        <v>132.4</v>
      </c>
      <c r="G104" s="65">
        <v>134.19999999999999</v>
      </c>
      <c r="H104" s="65"/>
      <c r="I104" s="65">
        <v>134.19999999999999</v>
      </c>
      <c r="J104" s="65">
        <v>128.30000000000001</v>
      </c>
      <c r="K104" s="65">
        <v>128.69999999999999</v>
      </c>
      <c r="L104" s="65">
        <v>127</v>
      </c>
      <c r="M104" s="65">
        <v>131</v>
      </c>
      <c r="N104" s="65">
        <v>128.9</v>
      </c>
      <c r="O104" s="65">
        <v>129.5</v>
      </c>
      <c r="P104" s="65">
        <v>127.4</v>
      </c>
      <c r="Q104" s="65">
        <v>130.30000000000001</v>
      </c>
      <c r="R104" s="65">
        <v>130.5</v>
      </c>
      <c r="S104" s="65">
        <v>130.5</v>
      </c>
      <c r="T104" s="65">
        <v>130.5</v>
      </c>
      <c r="U104" s="65">
        <v>129.80000000000001</v>
      </c>
      <c r="V104" s="65">
        <v>132.6</v>
      </c>
      <c r="W104" s="65">
        <v>132.6</v>
      </c>
      <c r="X104" s="65">
        <v>131.19999999999999</v>
      </c>
      <c r="Y104" s="65">
        <v>129.9</v>
      </c>
      <c r="Z104" s="65">
        <v>127.3</v>
      </c>
      <c r="AA104" s="65">
        <v>127</v>
      </c>
      <c r="AB104" s="65">
        <v>129.9</v>
      </c>
      <c r="AC104" s="65">
        <v>129.69999999999999</v>
      </c>
      <c r="AD104" s="65">
        <v>130.5</v>
      </c>
      <c r="AE104" s="65">
        <v>130.5</v>
      </c>
      <c r="AF104" s="65">
        <v>130.5</v>
      </c>
      <c r="AG104" s="104"/>
      <c r="AH104" s="47">
        <f t="shared" si="8"/>
        <v>139.30000000000001</v>
      </c>
      <c r="AI104" s="48">
        <f t="shared" si="9"/>
        <v>127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129.30000000000001</v>
      </c>
      <c r="C106" s="106">
        <v>131.5</v>
      </c>
      <c r="D106" s="106">
        <v>130.69999999999999</v>
      </c>
      <c r="E106" s="106">
        <v>131.6</v>
      </c>
      <c r="F106" s="106">
        <v>130.1</v>
      </c>
      <c r="G106" s="106">
        <v>129.4</v>
      </c>
      <c r="H106" s="106"/>
      <c r="I106" s="106">
        <v>129.4</v>
      </c>
      <c r="J106" s="106">
        <v>134.5</v>
      </c>
      <c r="K106" s="106">
        <v>132.30000000000001</v>
      </c>
      <c r="L106" s="106">
        <v>129.19999999999999</v>
      </c>
      <c r="M106" s="106">
        <v>129.30000000000001</v>
      </c>
      <c r="N106" s="106">
        <v>131.5</v>
      </c>
      <c r="O106" s="106">
        <v>134.1</v>
      </c>
      <c r="P106" s="106">
        <v>129.4</v>
      </c>
      <c r="Q106" s="106">
        <v>133</v>
      </c>
      <c r="R106" s="106">
        <v>132.9</v>
      </c>
      <c r="S106" s="106">
        <v>132.9</v>
      </c>
      <c r="T106" s="106">
        <v>132.9</v>
      </c>
      <c r="U106" s="106">
        <v>132</v>
      </c>
      <c r="V106" s="106">
        <v>129.4</v>
      </c>
      <c r="W106" s="106">
        <v>129.4</v>
      </c>
      <c r="X106" s="106">
        <v>133.80000000000001</v>
      </c>
      <c r="Y106" s="106">
        <v>134.6</v>
      </c>
      <c r="Z106" s="106">
        <v>132.6</v>
      </c>
      <c r="AA106" s="106">
        <v>133.69999999999999</v>
      </c>
      <c r="AB106" s="106">
        <v>132.80000000000001</v>
      </c>
      <c r="AC106" s="106">
        <v>131.6</v>
      </c>
      <c r="AD106" s="106">
        <v>130.80000000000001</v>
      </c>
      <c r="AE106" s="106">
        <v>130.80000000000001</v>
      </c>
      <c r="AF106" s="106">
        <v>130.80000000000001</v>
      </c>
      <c r="AG106" s="107"/>
      <c r="AH106" s="47">
        <f t="shared" si="8"/>
        <v>134.6</v>
      </c>
      <c r="AI106" s="48">
        <f t="shared" si="9"/>
        <v>129.19999999999999</v>
      </c>
    </row>
    <row r="107" spans="1:37" x14ac:dyDescent="0.25">
      <c r="A107" s="103" t="s">
        <v>113</v>
      </c>
      <c r="B107" s="65">
        <v>132</v>
      </c>
      <c r="C107" s="65">
        <v>134.30000000000001</v>
      </c>
      <c r="D107" s="65">
        <v>131</v>
      </c>
      <c r="E107" s="65">
        <v>130</v>
      </c>
      <c r="F107" s="65">
        <v>131.4</v>
      </c>
      <c r="G107" s="65">
        <v>129.69999999999999</v>
      </c>
      <c r="H107" s="65"/>
      <c r="I107" s="65">
        <v>129.69999999999999</v>
      </c>
      <c r="J107" s="65">
        <v>132.69999999999999</v>
      </c>
      <c r="K107" s="65">
        <v>129.69999999999999</v>
      </c>
      <c r="L107" s="65">
        <v>126.8</v>
      </c>
      <c r="M107" s="65">
        <v>125.4</v>
      </c>
      <c r="N107" s="65">
        <v>130.4</v>
      </c>
      <c r="O107" s="65">
        <v>133.69999999999999</v>
      </c>
      <c r="P107" s="65">
        <v>127.9</v>
      </c>
      <c r="Q107" s="65">
        <v>134.5</v>
      </c>
      <c r="R107" s="65">
        <v>130.6</v>
      </c>
      <c r="S107" s="65">
        <v>130.6</v>
      </c>
      <c r="T107" s="65">
        <v>130.6</v>
      </c>
      <c r="U107" s="65">
        <v>133</v>
      </c>
      <c r="V107" s="65">
        <v>128.4</v>
      </c>
      <c r="W107" s="65">
        <v>128.4</v>
      </c>
      <c r="X107" s="65">
        <v>138</v>
      </c>
      <c r="Y107" s="65">
        <v>135</v>
      </c>
      <c r="Z107" s="65">
        <v>130.19999999999999</v>
      </c>
      <c r="AA107" s="65">
        <v>127.1</v>
      </c>
      <c r="AB107" s="65">
        <v>131</v>
      </c>
      <c r="AC107" s="65">
        <v>129</v>
      </c>
      <c r="AD107" s="65">
        <v>129.69999999999999</v>
      </c>
      <c r="AE107" s="65">
        <v>129.69999999999999</v>
      </c>
      <c r="AF107" s="65">
        <v>129.69999999999999</v>
      </c>
      <c r="AG107" s="104"/>
      <c r="AH107" s="47">
        <f t="shared" si="8"/>
        <v>138</v>
      </c>
      <c r="AI107" s="48">
        <f t="shared" si="9"/>
        <v>125.4</v>
      </c>
    </row>
    <row r="108" spans="1:37" ht="15.75" thickBot="1" x14ac:dyDescent="0.3">
      <c r="A108" s="103" t="s">
        <v>114</v>
      </c>
      <c r="B108" s="92">
        <v>64.8</v>
      </c>
      <c r="C108" s="92">
        <v>65.2</v>
      </c>
      <c r="D108" s="92">
        <v>65.5</v>
      </c>
      <c r="E108" s="92">
        <v>65.599999999999994</v>
      </c>
      <c r="F108" s="92">
        <v>65.7</v>
      </c>
      <c r="G108" s="92">
        <v>65</v>
      </c>
      <c r="H108" s="92"/>
      <c r="I108" s="92">
        <v>65</v>
      </c>
      <c r="J108" s="92">
        <v>64.900000000000006</v>
      </c>
      <c r="K108" s="92">
        <v>65</v>
      </c>
      <c r="L108" s="92">
        <v>63.8</v>
      </c>
      <c r="M108" s="92">
        <v>64.5</v>
      </c>
      <c r="N108" s="92">
        <v>63.7</v>
      </c>
      <c r="O108" s="92">
        <v>63.45</v>
      </c>
      <c r="P108" s="92">
        <v>64.7</v>
      </c>
      <c r="Q108" s="92">
        <v>64.5</v>
      </c>
      <c r="R108" s="92">
        <v>64.2</v>
      </c>
      <c r="S108" s="92">
        <v>64.2</v>
      </c>
      <c r="T108" s="92">
        <v>64.2</v>
      </c>
      <c r="U108" s="92">
        <v>64.900000000000006</v>
      </c>
      <c r="V108" s="92">
        <v>65.099999999999994</v>
      </c>
      <c r="W108" s="92">
        <v>65.099999999999994</v>
      </c>
      <c r="X108" s="92">
        <v>65.400000000000006</v>
      </c>
      <c r="Y108" s="92">
        <v>65.400000000000006</v>
      </c>
      <c r="Z108" s="92">
        <v>64.7</v>
      </c>
      <c r="AA108" s="92">
        <v>63.8</v>
      </c>
      <c r="AB108" s="92">
        <v>65.5</v>
      </c>
      <c r="AC108" s="92">
        <v>65.2</v>
      </c>
      <c r="AD108" s="92">
        <v>64.7</v>
      </c>
      <c r="AE108" s="92">
        <v>65.3</v>
      </c>
      <c r="AF108" s="92">
        <v>65</v>
      </c>
      <c r="AG108" s="108"/>
      <c r="AH108" s="47">
        <f t="shared" si="8"/>
        <v>65.7</v>
      </c>
      <c r="AI108" s="48">
        <f t="shared" si="9"/>
        <v>63.45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 t="s">
        <v>115</v>
      </c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>SUM(B20,B26,B29:B30,B58,B60:B61,B63,B65,B111:B115,B138,B144,B150,B159,B161,B173,B180,B183:B184,B191,B193,B195,B199:B201,B203:B205,B210,B216:B217,B219:B221,B229,B234)</f>
        <v>108.29999999999998</v>
      </c>
      <c r="C110" s="111">
        <f t="shared" ref="C110:O110" si="15">SUM(C20,C26,C29:C30,C58,C60:C61,C63,C65,C111:C115,C138,C144,C150,C159,C161,C173,C180,C183:C184,C191,C193,C195,C199:C201,C203:C205,C210,C216:C217,C219:C221,C229,C234)</f>
        <v>103.73999999999998</v>
      </c>
      <c r="D110" s="111">
        <f t="shared" si="15"/>
        <v>97.539999999999992</v>
      </c>
      <c r="E110" s="111">
        <f t="shared" si="15"/>
        <v>197.74</v>
      </c>
      <c r="F110" s="111">
        <f t="shared" si="15"/>
        <v>182.94</v>
      </c>
      <c r="G110" s="111">
        <f t="shared" si="15"/>
        <v>196.24</v>
      </c>
      <c r="H110" s="111">
        <f t="shared" si="15"/>
        <v>0.94</v>
      </c>
      <c r="I110" s="111">
        <f t="shared" si="15"/>
        <v>196.24</v>
      </c>
      <c r="J110" s="111">
        <f t="shared" si="15"/>
        <v>243.94</v>
      </c>
      <c r="K110" s="111">
        <f t="shared" si="15"/>
        <v>258.33999999999997</v>
      </c>
      <c r="L110" s="111">
        <f t="shared" si="15"/>
        <v>245.44</v>
      </c>
      <c r="M110" s="111">
        <f t="shared" si="15"/>
        <v>253.94</v>
      </c>
      <c r="N110" s="111">
        <f t="shared" si="15"/>
        <v>251.04000000000005</v>
      </c>
      <c r="O110" s="111">
        <f t="shared" si="15"/>
        <v>248.04000000000005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195.40000000000003</v>
      </c>
      <c r="R110" s="111">
        <f t="shared" si="16"/>
        <v>170.60000000000005</v>
      </c>
      <c r="S110" s="111">
        <f t="shared" si="16"/>
        <v>182.60000000000002</v>
      </c>
      <c r="T110" s="111">
        <f t="shared" si="16"/>
        <v>205.1</v>
      </c>
      <c r="U110" s="111">
        <f t="shared" si="16"/>
        <v>193.20000000000002</v>
      </c>
      <c r="V110" s="111">
        <f t="shared" si="16"/>
        <v>185.8</v>
      </c>
      <c r="W110" s="111">
        <f t="shared" si="16"/>
        <v>185.8</v>
      </c>
      <c r="X110" s="111">
        <f t="shared" si="16"/>
        <v>198.10000000000002</v>
      </c>
      <c r="Y110" s="111">
        <f t="shared" si="16"/>
        <v>229.30000000000004</v>
      </c>
      <c r="Z110" s="111">
        <f t="shared" si="16"/>
        <v>261.79999999999995</v>
      </c>
      <c r="AA110" s="111">
        <v>407.09708333333327</v>
      </c>
      <c r="AB110" s="111">
        <f t="shared" si="16"/>
        <v>229.79999999999998</v>
      </c>
      <c r="AC110" s="111">
        <f t="shared" si="16"/>
        <v>206.9</v>
      </c>
      <c r="AD110" s="111"/>
      <c r="AE110" s="111">
        <f t="shared" si="16"/>
        <v>121.80000000000001</v>
      </c>
      <c r="AF110" s="111">
        <f t="shared" si="16"/>
        <v>83.7</v>
      </c>
      <c r="AG110" s="112"/>
      <c r="AH110" s="47">
        <f t="shared" si="8"/>
        <v>407.09708333333327</v>
      </c>
      <c r="AI110" s="48">
        <f t="shared" si="9"/>
        <v>0.94</v>
      </c>
    </row>
    <row r="111" spans="1:37" x14ac:dyDescent="0.25">
      <c r="A111" s="100" t="s">
        <v>117</v>
      </c>
      <c r="B111" s="113">
        <v>24.7</v>
      </c>
      <c r="C111" s="113">
        <v>27</v>
      </c>
      <c r="D111" s="113">
        <v>20</v>
      </c>
      <c r="E111" s="113">
        <v>15.4</v>
      </c>
      <c r="F111" s="113">
        <v>15.2</v>
      </c>
      <c r="G111" s="113">
        <v>21.6</v>
      </c>
      <c r="H111" s="113"/>
      <c r="I111" s="113">
        <v>21.6</v>
      </c>
      <c r="J111" s="113">
        <v>33.200000000000003</v>
      </c>
      <c r="K111" s="113">
        <v>38.200000000000003</v>
      </c>
      <c r="L111" s="113">
        <v>45.1</v>
      </c>
      <c r="M111" s="113">
        <v>49.5</v>
      </c>
      <c r="N111" s="113">
        <v>53.7</v>
      </c>
      <c r="O111" s="113">
        <v>55.8</v>
      </c>
      <c r="P111" s="113">
        <v>39.1</v>
      </c>
      <c r="Q111" s="113">
        <v>42.8</v>
      </c>
      <c r="R111" s="113">
        <v>37.200000000000003</v>
      </c>
      <c r="S111" s="113">
        <v>36.200000000000003</v>
      </c>
      <c r="T111" s="113">
        <v>42.3</v>
      </c>
      <c r="U111" s="113">
        <v>41.1</v>
      </c>
      <c r="V111" s="113">
        <v>36.5</v>
      </c>
      <c r="W111" s="113">
        <v>36.5</v>
      </c>
      <c r="X111" s="113">
        <v>30.8</v>
      </c>
      <c r="Y111" s="113">
        <v>45</v>
      </c>
      <c r="Z111" s="113">
        <v>51.3</v>
      </c>
      <c r="AA111" s="113">
        <v>65.5</v>
      </c>
      <c r="AB111" s="113">
        <v>34.799999999999997</v>
      </c>
      <c r="AC111" s="113">
        <v>38.200000000000003</v>
      </c>
      <c r="AD111" s="113">
        <v>36.1</v>
      </c>
      <c r="AE111" s="113">
        <v>21.5</v>
      </c>
      <c r="AF111" s="113">
        <v>12.7</v>
      </c>
      <c r="AG111" s="114">
        <v>75</v>
      </c>
      <c r="AH111" s="47">
        <f t="shared" si="8"/>
        <v>65.5</v>
      </c>
      <c r="AI111" s="48">
        <f t="shared" si="9"/>
        <v>12.7</v>
      </c>
    </row>
    <row r="112" spans="1:37" x14ac:dyDescent="0.25">
      <c r="A112" s="103" t="s">
        <v>118</v>
      </c>
      <c r="B112" s="115">
        <v>41.8</v>
      </c>
      <c r="C112" s="115">
        <v>43.8</v>
      </c>
      <c r="D112" s="115">
        <v>37.6</v>
      </c>
      <c r="E112" s="115">
        <v>23</v>
      </c>
      <c r="F112" s="115">
        <v>22.8</v>
      </c>
      <c r="G112" s="115">
        <v>33.9</v>
      </c>
      <c r="H112" s="115"/>
      <c r="I112" s="115">
        <v>33.9</v>
      </c>
      <c r="J112" s="115">
        <v>53</v>
      </c>
      <c r="K112" s="115">
        <v>60.4</v>
      </c>
      <c r="L112" s="115">
        <v>70.900000000000006</v>
      </c>
      <c r="M112" s="115">
        <v>74</v>
      </c>
      <c r="N112" s="115">
        <v>76</v>
      </c>
      <c r="O112" s="115">
        <v>78.900000000000006</v>
      </c>
      <c r="P112" s="115">
        <v>59.4</v>
      </c>
      <c r="Q112" s="115">
        <v>63.8</v>
      </c>
      <c r="R112" s="115">
        <v>56.7</v>
      </c>
      <c r="S112" s="115">
        <v>55.7</v>
      </c>
      <c r="T112" s="115">
        <v>60.9</v>
      </c>
      <c r="U112" s="115">
        <v>61.5</v>
      </c>
      <c r="V112" s="115">
        <v>50.5</v>
      </c>
      <c r="W112" s="115">
        <v>50.5</v>
      </c>
      <c r="X112" s="115">
        <v>41.6</v>
      </c>
      <c r="Y112" s="115">
        <v>64.7</v>
      </c>
      <c r="Z112" s="115">
        <v>72.599999999999994</v>
      </c>
      <c r="AA112" s="115">
        <v>91.9</v>
      </c>
      <c r="AB112" s="115">
        <v>51.6</v>
      </c>
      <c r="AC112" s="115">
        <v>56.1</v>
      </c>
      <c r="AD112" s="115">
        <v>54.4</v>
      </c>
      <c r="AE112" s="115">
        <v>33.4</v>
      </c>
      <c r="AF112" s="115">
        <v>26.4</v>
      </c>
      <c r="AG112" s="114">
        <v>240</v>
      </c>
      <c r="AH112" s="47">
        <f t="shared" si="8"/>
        <v>91.9</v>
      </c>
      <c r="AI112" s="48">
        <f t="shared" si="9"/>
        <v>22.8</v>
      </c>
    </row>
    <row r="113" spans="1:37" x14ac:dyDescent="0.25">
      <c r="A113" s="103" t="s">
        <v>119</v>
      </c>
      <c r="B113" s="115">
        <v>-85</v>
      </c>
      <c r="C113" s="115">
        <v>-96</v>
      </c>
      <c r="D113" s="115">
        <v>-98</v>
      </c>
      <c r="E113" s="115"/>
      <c r="F113" s="115"/>
      <c r="G113" s="115"/>
      <c r="H113" s="115"/>
      <c r="I113" s="115"/>
      <c r="J113" s="115"/>
      <c r="K113" s="115"/>
      <c r="L113" s="115">
        <v>-40</v>
      </c>
      <c r="M113" s="115">
        <v>-39</v>
      </c>
      <c r="N113" s="115">
        <v>-48</v>
      </c>
      <c r="O113" s="115">
        <v>-52</v>
      </c>
      <c r="P113" s="115">
        <v>-70</v>
      </c>
      <c r="Q113" s="115">
        <v>-80</v>
      </c>
      <c r="R113" s="115">
        <v>-90</v>
      </c>
      <c r="S113" s="115">
        <f>-28.7-31.7</f>
        <v>-60.4</v>
      </c>
      <c r="T113" s="115">
        <f>-24.2-25</f>
        <v>-49.2</v>
      </c>
      <c r="U113" s="115">
        <f>-43-35.1</f>
        <v>-78.099999999999994</v>
      </c>
      <c r="V113" s="115">
        <f>-36.1-30.8</f>
        <v>-66.900000000000006</v>
      </c>
      <c r="W113" s="115">
        <f>-36.1-30.8</f>
        <v>-66.900000000000006</v>
      </c>
      <c r="X113" s="115">
        <f>-20.4-15.1</f>
        <v>-35.5</v>
      </c>
      <c r="Y113" s="115">
        <f>-37.2-34.9</f>
        <v>-72.099999999999994</v>
      </c>
      <c r="Z113" s="115">
        <f>-38.1-36.3</f>
        <v>-74.400000000000006</v>
      </c>
      <c r="AA113" s="115">
        <v>-62</v>
      </c>
      <c r="AB113" s="115">
        <v>-52</v>
      </c>
      <c r="AC113" s="115">
        <v>-65</v>
      </c>
      <c r="AD113" s="115">
        <v>-67</v>
      </c>
      <c r="AE113" s="115">
        <v>-79.5</v>
      </c>
      <c r="AF113" s="115">
        <v>-94</v>
      </c>
      <c r="AG113" s="114">
        <v>240</v>
      </c>
      <c r="AH113" s="47">
        <f t="shared" si="8"/>
        <v>-35.5</v>
      </c>
      <c r="AI113" s="48">
        <f t="shared" si="9"/>
        <v>-98</v>
      </c>
    </row>
    <row r="114" spans="1:37" x14ac:dyDescent="0.25">
      <c r="A114" s="103" t="s">
        <v>120</v>
      </c>
      <c r="B114" s="115">
        <v>-13.6</v>
      </c>
      <c r="C114" s="115">
        <v>-12.4</v>
      </c>
      <c r="D114" s="115">
        <v>-3.4</v>
      </c>
      <c r="E114" s="115">
        <v>-3</v>
      </c>
      <c r="F114" s="115">
        <v>2.2000000000000002</v>
      </c>
      <c r="G114" s="115">
        <v>-2</v>
      </c>
      <c r="H114" s="115"/>
      <c r="I114" s="115">
        <v>-2</v>
      </c>
      <c r="J114" s="115">
        <v>15</v>
      </c>
      <c r="K114" s="115">
        <v>22</v>
      </c>
      <c r="L114" s="115">
        <v>12</v>
      </c>
      <c r="M114" s="115">
        <v>12</v>
      </c>
      <c r="N114" s="115">
        <v>11.9</v>
      </c>
      <c r="O114" s="115">
        <v>7.9</v>
      </c>
      <c r="P114" s="115">
        <v>3</v>
      </c>
      <c r="Q114" s="115">
        <v>0</v>
      </c>
      <c r="R114" s="115">
        <v>-2.7</v>
      </c>
      <c r="S114" s="115">
        <v>3.6</v>
      </c>
      <c r="T114" s="115">
        <v>3.6</v>
      </c>
      <c r="U114" s="115">
        <v>21.2</v>
      </c>
      <c r="V114" s="115">
        <v>18.2</v>
      </c>
      <c r="W114" s="115">
        <v>18.2</v>
      </c>
      <c r="X114" s="115">
        <v>13.7</v>
      </c>
      <c r="Y114" s="115">
        <v>14.4</v>
      </c>
      <c r="Z114" s="115">
        <v>15.7</v>
      </c>
      <c r="AA114" s="115">
        <v>11.2</v>
      </c>
      <c r="AB114" s="115">
        <v>19</v>
      </c>
      <c r="AC114" s="115">
        <v>17</v>
      </c>
      <c r="AD114" s="115">
        <v>5.2</v>
      </c>
      <c r="AE114" s="115">
        <v>1</v>
      </c>
      <c r="AF114" s="115">
        <v>-1.8</v>
      </c>
      <c r="AG114" s="114">
        <v>60</v>
      </c>
      <c r="AH114" s="47">
        <f t="shared" si="8"/>
        <v>22</v>
      </c>
      <c r="AI114" s="48">
        <f t="shared" si="9"/>
        <v>-13.6</v>
      </c>
    </row>
    <row r="115" spans="1:37" x14ac:dyDescent="0.25">
      <c r="A115" s="116" t="s">
        <v>121</v>
      </c>
      <c r="B115" s="117">
        <v>0</v>
      </c>
      <c r="C115" s="117">
        <v>0</v>
      </c>
      <c r="D115" s="117">
        <v>0</v>
      </c>
      <c r="E115" s="117">
        <v>38</v>
      </c>
      <c r="F115" s="117">
        <v>0</v>
      </c>
      <c r="G115" s="117">
        <v>0</v>
      </c>
      <c r="H115" s="117"/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  <c r="O115" s="117">
        <v>0</v>
      </c>
      <c r="P115" s="117">
        <v>14</v>
      </c>
      <c r="Q115" s="117">
        <v>13.3</v>
      </c>
      <c r="R115" s="117">
        <v>13.9</v>
      </c>
      <c r="S115" s="117">
        <v>0</v>
      </c>
      <c r="T115" s="117">
        <v>0</v>
      </c>
      <c r="U115" s="117">
        <v>0</v>
      </c>
      <c r="V115" s="117">
        <v>0</v>
      </c>
      <c r="W115" s="117">
        <v>0</v>
      </c>
      <c r="X115" s="117">
        <v>0</v>
      </c>
      <c r="Y115" s="117">
        <v>35.9</v>
      </c>
      <c r="Z115" s="117">
        <v>53.2</v>
      </c>
      <c r="AA115" s="117">
        <v>89.2</v>
      </c>
      <c r="AB115" s="117">
        <v>30</v>
      </c>
      <c r="AC115" s="117">
        <v>15.2</v>
      </c>
      <c r="AD115" s="117">
        <v>16</v>
      </c>
      <c r="AE115" s="117">
        <v>0</v>
      </c>
      <c r="AF115" s="117">
        <v>0</v>
      </c>
      <c r="AG115" s="118">
        <v>120</v>
      </c>
      <c r="AH115" s="47">
        <f t="shared" si="8"/>
        <v>89.2</v>
      </c>
      <c r="AI115" s="48">
        <f t="shared" si="9"/>
        <v>0</v>
      </c>
    </row>
    <row r="116" spans="1:37" x14ac:dyDescent="0.25">
      <c r="A116" s="116" t="s">
        <v>122</v>
      </c>
      <c r="B116" s="117">
        <v>93.9</v>
      </c>
      <c r="C116" s="117">
        <v>89.3</v>
      </c>
      <c r="D116" s="117">
        <v>71.2</v>
      </c>
      <c r="E116" s="117">
        <v>53</v>
      </c>
      <c r="F116" s="117">
        <v>68</v>
      </c>
      <c r="G116" s="117">
        <v>62</v>
      </c>
      <c r="H116" s="117"/>
      <c r="I116" s="117">
        <v>62</v>
      </c>
      <c r="J116" s="117">
        <v>65</v>
      </c>
      <c r="K116" s="117">
        <v>78</v>
      </c>
      <c r="L116" s="117">
        <v>74</v>
      </c>
      <c r="M116" s="117">
        <v>71</v>
      </c>
      <c r="N116" s="117">
        <v>71.599999999999994</v>
      </c>
      <c r="O116" s="117">
        <v>72.8</v>
      </c>
      <c r="P116" s="117">
        <v>63.1</v>
      </c>
      <c r="Q116" s="117">
        <v>68.2</v>
      </c>
      <c r="R116" s="117">
        <v>80.5</v>
      </c>
      <c r="S116" s="117">
        <v>85</v>
      </c>
      <c r="T116" s="117">
        <v>85</v>
      </c>
      <c r="U116" s="117">
        <v>65.5</v>
      </c>
      <c r="V116" s="117">
        <v>60</v>
      </c>
      <c r="W116" s="117">
        <v>60</v>
      </c>
      <c r="X116" s="117">
        <v>75</v>
      </c>
      <c r="Y116" s="117">
        <v>36</v>
      </c>
      <c r="Z116" s="117">
        <v>43</v>
      </c>
      <c r="AA116" s="117">
        <v>82</v>
      </c>
      <c r="AB116" s="117">
        <v>60.5</v>
      </c>
      <c r="AC116" s="117">
        <v>49.6</v>
      </c>
      <c r="AD116" s="117">
        <v>60</v>
      </c>
      <c r="AE116" s="117">
        <v>70.900000000000006</v>
      </c>
      <c r="AF116" s="117">
        <v>70.3</v>
      </c>
      <c r="AG116" s="118"/>
      <c r="AH116" s="47">
        <f t="shared" si="8"/>
        <v>93.9</v>
      </c>
      <c r="AI116" s="48">
        <f t="shared" si="9"/>
        <v>36</v>
      </c>
    </row>
    <row r="117" spans="1:37" x14ac:dyDescent="0.25">
      <c r="A117" s="116" t="s">
        <v>123</v>
      </c>
      <c r="B117" s="117">
        <v>44.9</v>
      </c>
      <c r="C117" s="117">
        <v>47.8</v>
      </c>
      <c r="D117" s="117">
        <v>51.9</v>
      </c>
      <c r="E117" s="117"/>
      <c r="F117" s="117"/>
      <c r="G117" s="117"/>
      <c r="H117" s="117"/>
      <c r="I117" s="117"/>
      <c r="J117" s="117"/>
      <c r="K117" s="117">
        <v>31</v>
      </c>
      <c r="L117" s="117"/>
      <c r="M117" s="117"/>
      <c r="N117" s="117"/>
      <c r="O117" s="117">
        <v>12.1</v>
      </c>
      <c r="P117" s="117"/>
      <c r="Q117" s="117">
        <v>16.7</v>
      </c>
      <c r="R117" s="117">
        <v>28.6</v>
      </c>
      <c r="S117" s="117">
        <v>26.6</v>
      </c>
      <c r="T117" s="117">
        <v>26.6</v>
      </c>
      <c r="U117" s="117">
        <v>30.2</v>
      </c>
      <c r="V117" s="117">
        <v>39.299999999999997</v>
      </c>
      <c r="W117" s="117">
        <v>39.299999999999997</v>
      </c>
      <c r="X117" s="117">
        <v>47.5</v>
      </c>
      <c r="Y117" s="117">
        <v>33.5</v>
      </c>
      <c r="Z117" s="117">
        <v>27.3</v>
      </c>
      <c r="AA117" s="117">
        <v>3.4</v>
      </c>
      <c r="AB117" s="117">
        <v>46.7</v>
      </c>
      <c r="AC117" s="117">
        <v>37.200000000000003</v>
      </c>
      <c r="AD117" s="117">
        <v>37.700000000000003</v>
      </c>
      <c r="AE117" s="117">
        <v>51.4</v>
      </c>
      <c r="AF117" s="117">
        <v>57.9</v>
      </c>
      <c r="AG117" s="119"/>
      <c r="AH117" s="47">
        <f t="shared" si="8"/>
        <v>57.9</v>
      </c>
      <c r="AI117" s="48">
        <f t="shared" si="9"/>
        <v>3.4</v>
      </c>
    </row>
    <row r="118" spans="1:37" x14ac:dyDescent="0.25">
      <c r="A118" s="120" t="s">
        <v>124</v>
      </c>
      <c r="B118" s="106">
        <v>22.5</v>
      </c>
      <c r="C118" s="106">
        <v>39.6</v>
      </c>
      <c r="D118" s="106">
        <v>41.6</v>
      </c>
      <c r="E118" s="106">
        <v>49</v>
      </c>
      <c r="F118" s="106">
        <v>52</v>
      </c>
      <c r="G118" s="106">
        <v>49</v>
      </c>
      <c r="H118" s="106"/>
      <c r="I118" s="106">
        <v>49</v>
      </c>
      <c r="J118" s="106">
        <v>54</v>
      </c>
      <c r="K118" s="106">
        <v>53</v>
      </c>
      <c r="L118" s="106">
        <v>45</v>
      </c>
      <c r="M118" s="106">
        <v>38</v>
      </c>
      <c r="N118" s="106">
        <v>35.9</v>
      </c>
      <c r="O118" s="106">
        <v>29.8</v>
      </c>
      <c r="P118" s="106">
        <v>37.1</v>
      </c>
      <c r="Q118" s="106">
        <v>31.4</v>
      </c>
      <c r="R118" s="106">
        <v>29.9</v>
      </c>
      <c r="S118" s="106">
        <v>25.7</v>
      </c>
      <c r="T118" s="106">
        <v>25.7</v>
      </c>
      <c r="U118" s="106">
        <v>30.5</v>
      </c>
      <c r="V118" s="106">
        <v>31.7</v>
      </c>
      <c r="W118" s="106">
        <v>31.7</v>
      </c>
      <c r="X118" s="106">
        <v>-24</v>
      </c>
      <c r="Y118" s="106">
        <v>-23.8</v>
      </c>
      <c r="Z118" s="106">
        <v>-1.1000000000000001</v>
      </c>
      <c r="AA118" s="106">
        <v>8.6999999999999993</v>
      </c>
      <c r="AB118" s="106">
        <v>3.6</v>
      </c>
      <c r="AC118" s="106">
        <v>3.9</v>
      </c>
      <c r="AD118" s="106">
        <v>11.9</v>
      </c>
      <c r="AE118" s="106">
        <v>13.3</v>
      </c>
      <c r="AF118" s="106">
        <v>17.2</v>
      </c>
      <c r="AG118" s="119"/>
      <c r="AH118" s="47">
        <f t="shared" si="8"/>
        <v>54</v>
      </c>
      <c r="AI118" s="48">
        <f t="shared" si="9"/>
        <v>-24</v>
      </c>
    </row>
    <row r="119" spans="1:37" x14ac:dyDescent="0.25">
      <c r="A119" s="175" t="s">
        <v>265</v>
      </c>
      <c r="B119" s="106">
        <v>77.599999999999994</v>
      </c>
      <c r="C119" s="106">
        <v>89.6</v>
      </c>
      <c r="D119" s="106">
        <v>102.7</v>
      </c>
      <c r="E119" s="106"/>
      <c r="F119" s="106"/>
      <c r="G119" s="106"/>
      <c r="H119" s="106"/>
      <c r="I119" s="106"/>
      <c r="J119" s="106"/>
      <c r="K119" s="106"/>
      <c r="L119" s="106">
        <v>71</v>
      </c>
      <c r="M119" s="106">
        <v>46</v>
      </c>
      <c r="N119" s="106">
        <v>63</v>
      </c>
      <c r="O119" s="106">
        <v>79</v>
      </c>
      <c r="P119" s="106">
        <v>70.3</v>
      </c>
      <c r="Q119" s="106">
        <v>101</v>
      </c>
      <c r="R119" s="106">
        <v>100.4</v>
      </c>
      <c r="S119" s="106">
        <v>95</v>
      </c>
      <c r="T119" s="106">
        <v>95</v>
      </c>
      <c r="U119" s="106">
        <v>90</v>
      </c>
      <c r="V119" s="106">
        <v>73.2</v>
      </c>
      <c r="W119" s="106">
        <v>73.2</v>
      </c>
      <c r="X119" s="106">
        <v>27.8</v>
      </c>
      <c r="Y119" s="106">
        <v>98.5</v>
      </c>
      <c r="Z119" s="106">
        <v>88.1</v>
      </c>
      <c r="AA119" s="106">
        <v>87.6</v>
      </c>
      <c r="AB119" s="106">
        <v>78</v>
      </c>
      <c r="AC119" s="106">
        <v>92.4</v>
      </c>
      <c r="AD119" s="106">
        <v>92.3</v>
      </c>
      <c r="AE119" s="106">
        <v>89.4</v>
      </c>
      <c r="AF119" s="106">
        <v>94</v>
      </c>
      <c r="AG119" s="119"/>
      <c r="AH119" s="47">
        <f t="shared" si="8"/>
        <v>102.7</v>
      </c>
      <c r="AI119" s="48">
        <f t="shared" si="9"/>
        <v>27.8</v>
      </c>
    </row>
    <row r="120" spans="1:37" ht="15.75" thickBot="1" x14ac:dyDescent="0.3">
      <c r="A120" s="120" t="s">
        <v>125</v>
      </c>
      <c r="B120" s="106">
        <v>56</v>
      </c>
      <c r="C120" s="106">
        <v>5.5</v>
      </c>
      <c r="D120" s="106">
        <v>12.5</v>
      </c>
      <c r="E120" s="106">
        <v>17</v>
      </c>
      <c r="F120" s="106">
        <v>13</v>
      </c>
      <c r="G120" s="106">
        <v>2.6</v>
      </c>
      <c r="H120" s="106"/>
      <c r="I120" s="106">
        <v>2.6</v>
      </c>
      <c r="J120" s="106">
        <v>6</v>
      </c>
      <c r="K120" s="106">
        <v>9</v>
      </c>
      <c r="L120" s="106">
        <v>26</v>
      </c>
      <c r="M120" s="106">
        <v>30</v>
      </c>
      <c r="N120" s="106">
        <v>25.3</v>
      </c>
      <c r="O120" s="106">
        <v>25.6</v>
      </c>
      <c r="P120" s="106">
        <v>23.8</v>
      </c>
      <c r="Q120" s="106">
        <v>19.600000000000001</v>
      </c>
      <c r="R120" s="106">
        <v>13.2</v>
      </c>
      <c r="S120" s="106">
        <v>30.2</v>
      </c>
      <c r="T120" s="106">
        <v>32.299999999999997</v>
      </c>
      <c r="U120" s="106">
        <v>29</v>
      </c>
      <c r="V120" s="106">
        <v>21.6</v>
      </c>
      <c r="W120" s="106">
        <v>21.6</v>
      </c>
      <c r="X120" s="106">
        <v>22.4</v>
      </c>
      <c r="Y120" s="106">
        <v>29.8</v>
      </c>
      <c r="Z120" s="106">
        <v>58.8</v>
      </c>
      <c r="AA120" s="106"/>
      <c r="AB120" s="106">
        <v>62.6</v>
      </c>
      <c r="AC120" s="106">
        <v>61.8</v>
      </c>
      <c r="AD120" s="106">
        <v>59.4</v>
      </c>
      <c r="AE120" s="106">
        <v>61.2</v>
      </c>
      <c r="AF120" s="106">
        <v>58.4</v>
      </c>
      <c r="AG120" s="119"/>
      <c r="AH120" s="47">
        <f t="shared" si="8"/>
        <v>62.6</v>
      </c>
      <c r="AI120" s="48">
        <f t="shared" si="9"/>
        <v>2.6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119.19900000000008</v>
      </c>
      <c r="N231" s="128">
        <f t="shared" ca="1" si="19"/>
        <v>119.19900000000008</v>
      </c>
      <c r="O231" s="128">
        <f t="shared" ca="1" si="19"/>
        <v>111.15900000000006</v>
      </c>
      <c r="P231" s="128">
        <f t="shared" ca="1" si="19"/>
        <v>111.15900000000006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125.2590000000001</v>
      </c>
      <c r="M235" s="136">
        <f t="shared" ca="1" si="20"/>
        <v>121.23900000000009</v>
      </c>
      <c r="N235" s="136">
        <f t="shared" ca="1" si="20"/>
        <v>121.23900000000009</v>
      </c>
      <c r="O235" s="136">
        <f t="shared" ca="1" si="20"/>
        <v>113.19900000000007</v>
      </c>
      <c r="P235" s="136">
        <f t="shared" ca="1" si="20"/>
        <v>113.19900000000007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1351.7399999999998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13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2080/02/13)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2080/02/13)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1315.7399999999998</v>
      </c>
      <c r="U249" s="170">
        <f t="shared" si="21"/>
        <v>1380.34</v>
      </c>
      <c r="V249" s="170">
        <f t="shared" si="21"/>
        <v>1348.94</v>
      </c>
      <c r="W249" s="170">
        <f t="shared" si="21"/>
        <v>1228.6399999999999</v>
      </c>
      <c r="X249" s="170">
        <f t="shared" si="21"/>
        <v>1304.1399999999999</v>
      </c>
      <c r="Y249" s="170">
        <f t="shared" si="21"/>
        <v>1346.04</v>
      </c>
      <c r="Z249" s="170">
        <f t="shared" si="21"/>
        <v>3.54</v>
      </c>
      <c r="AA249" s="170">
        <f t="shared" si="21"/>
        <v>1265.04</v>
      </c>
      <c r="AB249" s="170">
        <f t="shared" si="21"/>
        <v>1217.6399999999999</v>
      </c>
      <c r="AC249" s="170">
        <f t="shared" si="21"/>
        <v>1270.1399999999999</v>
      </c>
      <c r="AD249" s="170">
        <f t="shared" si="21"/>
        <v>1337.34</v>
      </c>
      <c r="AE249" s="170">
        <f t="shared" si="21"/>
        <v>1332.84</v>
      </c>
      <c r="AF249" s="170">
        <f t="shared" si="21"/>
        <v>1351.7399999999998</v>
      </c>
      <c r="AG249" s="170">
        <f t="shared" si="21"/>
        <v>1351.7399999999998</v>
      </c>
      <c r="AH249" s="170">
        <f t="shared" si="21"/>
        <v>1334.94</v>
      </c>
      <c r="AI249" s="170">
        <f t="shared" si="21"/>
        <v>1365.94</v>
      </c>
      <c r="AJ249" s="170">
        <f t="shared" si="21"/>
        <v>1343.94</v>
      </c>
      <c r="AK249" s="170">
        <f t="shared" si="21"/>
        <v>1392.14</v>
      </c>
      <c r="AL249" s="170">
        <f t="shared" si="21"/>
        <v>1396.64</v>
      </c>
      <c r="AM249" s="170">
        <f t="shared" si="21"/>
        <v>1337.64</v>
      </c>
      <c r="AN249" s="170">
        <f t="shared" si="21"/>
        <v>1282.6400000000001</v>
      </c>
      <c r="AO249" s="170">
        <f t="shared" si="21"/>
        <v>1272.6400000000001</v>
      </c>
      <c r="AP249" s="170">
        <f t="shared" si="21"/>
        <v>1208.44</v>
      </c>
      <c r="AQ249" s="170">
        <f t="shared" si="21"/>
        <v>1301.6399999999999</v>
      </c>
      <c r="AR249" s="170">
        <f t="shared" si="21"/>
        <v>1372.6399999999999</v>
      </c>
      <c r="AS249" s="170">
        <f t="shared" si="21"/>
        <v>1699.54</v>
      </c>
      <c r="AT249" s="170">
        <f t="shared" si="21"/>
        <v>1499.44</v>
      </c>
      <c r="AU249" s="170">
        <f t="shared" si="21"/>
        <v>1503.34</v>
      </c>
      <c r="AV249" s="170">
        <f t="shared" si="21"/>
        <v>1469.84</v>
      </c>
      <c r="AW249" s="170">
        <f t="shared" si="21"/>
        <v>1414.34</v>
      </c>
      <c r="AX249" s="170">
        <f t="shared" si="21"/>
        <v>1340.84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8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86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H111 D113:H119 J111:AF111 J113:AF119 H14:AF17 H12:AF12">
    <cfRule type="expression" dxfId="9131" priority="582">
      <formula>B$9&gt;=20/24</formula>
    </cfRule>
    <cfRule type="expression" dxfId="9130" priority="583">
      <formula>AND(B$9&gt;=14/24,B$9&lt;20/24)</formula>
    </cfRule>
    <cfRule type="expression" dxfId="9129" priority="584">
      <formula>AND(B$9&gt;=8/24,B$9&lt;14/24)</formula>
    </cfRule>
    <cfRule type="expression" dxfId="9128" priority="585">
      <formula>B$9&lt;8/24</formula>
    </cfRule>
  </conditionalFormatting>
  <conditionalFormatting sqref="AL4:AL6">
    <cfRule type="iconSet" priority="581">
      <iconSet iconSet="3TrafficLights2" reverse="1">
        <cfvo type="percent" val="0"/>
        <cfvo type="num" val="1"/>
        <cfvo type="num" val="1"/>
      </iconSet>
    </cfRule>
  </conditionalFormatting>
  <conditionalFormatting sqref="AG67 H14:AF17 H12:AF12">
    <cfRule type="expression" dxfId="9127" priority="580">
      <formula>H12&gt;$AG12</formula>
    </cfRule>
  </conditionalFormatting>
  <conditionalFormatting sqref="A101:A111 A61:A88 A97:A99 A205:A235 A48:A59 A121:A192 A43:A44 A93:A95 A90:A91 A113:A115 A40:A41 A21:A22 A24:A34 A19 A36:A38 A12:A17">
    <cfRule type="expression" dxfId="9126" priority="579">
      <formula>$AH12=0</formula>
    </cfRule>
  </conditionalFormatting>
  <conditionalFormatting sqref="A116">
    <cfRule type="expression" dxfId="9125" priority="578">
      <formula>$AH116=0</formula>
    </cfRule>
  </conditionalFormatting>
  <conditionalFormatting sqref="AL44">
    <cfRule type="iconSet" priority="577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9124" priority="576">
      <formula>$AH47=0</formula>
    </cfRule>
  </conditionalFormatting>
  <conditionalFormatting sqref="A100">
    <cfRule type="expression" dxfId="9123" priority="575">
      <formula>$AH100=0</formula>
    </cfRule>
  </conditionalFormatting>
  <conditionalFormatting sqref="A20">
    <cfRule type="expression" dxfId="9122" priority="574">
      <formula>$AH20=0</formula>
    </cfRule>
  </conditionalFormatting>
  <conditionalFormatting sqref="A199:A204">
    <cfRule type="expression" dxfId="9121" priority="573">
      <formula>$AH199=0</formula>
    </cfRule>
  </conditionalFormatting>
  <conditionalFormatting sqref="A193:A198">
    <cfRule type="expression" dxfId="9120" priority="572">
      <formula>$AH193=0</formula>
    </cfRule>
  </conditionalFormatting>
  <conditionalFormatting sqref="A60">
    <cfRule type="expression" dxfId="9119" priority="571">
      <formula>$AH60=0</formula>
    </cfRule>
  </conditionalFormatting>
  <conditionalFormatting sqref="A96">
    <cfRule type="expression" dxfId="9118" priority="570">
      <formula>$AH96=0</formula>
    </cfRule>
  </conditionalFormatting>
  <conditionalFormatting sqref="AD101:AF101 E101:Y101">
    <cfRule type="expression" dxfId="9117" priority="566">
      <formula>E$9&gt;=20/24</formula>
    </cfRule>
    <cfRule type="expression" dxfId="9116" priority="567">
      <formula>AND(E$9&gt;=14/24,E$9&lt;20/24)</formula>
    </cfRule>
    <cfRule type="expression" dxfId="9115" priority="568">
      <formula>AND(E$9&gt;=8/24,E$9&lt;14/24)</formula>
    </cfRule>
    <cfRule type="expression" dxfId="9114" priority="569">
      <formula>E$9&lt;8/24</formula>
    </cfRule>
  </conditionalFormatting>
  <conditionalFormatting sqref="AL45">
    <cfRule type="iconSet" priority="56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113" priority="588">
      <formula>C$9&gt;=20/24</formula>
    </cfRule>
    <cfRule type="expression" dxfId="9112" priority="589">
      <formula>AND(C$9&gt;=14/24,C$9&lt;20/24)</formula>
    </cfRule>
    <cfRule type="expression" dxfId="9111" priority="590">
      <formula>AND(C$9&gt;=8/24,C$9&lt;14/24)</formula>
    </cfRule>
    <cfRule type="expression" dxfId="9110" priority="591">
      <formula>C$9&lt;8/24</formula>
    </cfRule>
  </conditionalFormatting>
  <conditionalFormatting sqref="A236">
    <cfRule type="expression" dxfId="9109" priority="592">
      <formula>$AH236=0</formula>
    </cfRule>
  </conditionalFormatting>
  <conditionalFormatting sqref="AG248">
    <cfRule type="expression" dxfId="9108" priority="593">
      <formula>B$9&gt;=20/24</formula>
    </cfRule>
    <cfRule type="expression" dxfId="9107" priority="594">
      <formula>AND(B$9&gt;=14/24,B$9&lt;20/24)</formula>
    </cfRule>
    <cfRule type="expression" dxfId="9106" priority="595">
      <formula>AND(B$9&gt;=8/24,B$9&lt;14/24)</formula>
    </cfRule>
    <cfRule type="expression" dxfId="9105" priority="596">
      <formula>B$9&lt;8/24</formula>
    </cfRule>
  </conditionalFormatting>
  <conditionalFormatting sqref="S8">
    <cfRule type="expression" dxfId="9104" priority="561">
      <formula>U$9&gt;=20/24</formula>
    </cfRule>
    <cfRule type="expression" dxfId="9103" priority="562">
      <formula>AND(U$9&gt;=14/24,U$9&lt;20/24)</formula>
    </cfRule>
    <cfRule type="expression" dxfId="9102" priority="563">
      <formula>AND(U$9&gt;=8/24,U$9&lt;14/24)</formula>
    </cfRule>
    <cfRule type="expression" dxfId="9101" priority="564">
      <formula>U$9&lt;8/24</formula>
    </cfRule>
  </conditionalFormatting>
  <conditionalFormatting sqref="AB8">
    <cfRule type="expression" dxfId="9100" priority="557">
      <formula>AD$9&gt;=20/24</formula>
    </cfRule>
    <cfRule type="expression" dxfId="9099" priority="558">
      <formula>AND(AD$9&gt;=14/24,AD$9&lt;20/24)</formula>
    </cfRule>
    <cfRule type="expression" dxfId="9098" priority="559">
      <formula>AND(AD$9&gt;=8/24,AD$9&lt;14/24)</formula>
    </cfRule>
    <cfRule type="expression" dxfId="9097" priority="560">
      <formula>AD$9&lt;8/24</formula>
    </cfRule>
  </conditionalFormatting>
  <conditionalFormatting sqref="AH248:AX248">
    <cfRule type="expression" dxfId="9096" priority="597">
      <formula>AG$9&gt;=20/24</formula>
    </cfRule>
    <cfRule type="expression" dxfId="9095" priority="598">
      <formula>AND(AG$9&gt;=14/24,AG$9&lt;20/24)</formula>
    </cfRule>
    <cfRule type="expression" dxfId="9094" priority="599">
      <formula>AND(AG$9&gt;=8/24,AG$9&lt;14/24)</formula>
    </cfRule>
    <cfRule type="expression" dxfId="9093" priority="600">
      <formula>AG$9&lt;8/24</formula>
    </cfRule>
  </conditionalFormatting>
  <conditionalFormatting sqref="T248">
    <cfRule type="expression" dxfId="9092" priority="601">
      <formula>AX$9&gt;=20/24</formula>
    </cfRule>
    <cfRule type="expression" dxfId="9091" priority="602">
      <formula>AND(AX$9&gt;=14/24,AX$9&lt;20/24)</formula>
    </cfRule>
    <cfRule type="expression" dxfId="9090" priority="603">
      <formula>AND(AX$9&gt;=8/24,AX$9&lt;14/24)</formula>
    </cfRule>
    <cfRule type="expression" dxfId="9089" priority="604">
      <formula>AX$9&lt;8/24</formula>
    </cfRule>
  </conditionalFormatting>
  <conditionalFormatting sqref="A117:A119">
    <cfRule type="expression" dxfId="9088" priority="556">
      <formula>$AH117=0</formula>
    </cfRule>
  </conditionalFormatting>
  <conditionalFormatting sqref="H73 AF73 P56:X58 O73:AD73">
    <cfRule type="expression" dxfId="9087" priority="552">
      <formula>H$9&gt;=20/24</formula>
    </cfRule>
    <cfRule type="expression" dxfId="9086" priority="553">
      <formula>AND(H$9&gt;=14/24,H$9&lt;20/24)</formula>
    </cfRule>
    <cfRule type="expression" dxfId="9085" priority="554">
      <formula>AND(H$9&gt;=8/24,H$9&lt;14/24)</formula>
    </cfRule>
    <cfRule type="expression" dxfId="9084" priority="555">
      <formula>H$9&lt;8/24</formula>
    </cfRule>
  </conditionalFormatting>
  <conditionalFormatting sqref="P55:X55">
    <cfRule type="expression" dxfId="9083" priority="548">
      <formula>P$9&gt;=20/24</formula>
    </cfRule>
    <cfRule type="expression" dxfId="9082" priority="549">
      <formula>AND(P$9&gt;=14/24,P$9&lt;20/24)</formula>
    </cfRule>
    <cfRule type="expression" dxfId="9081" priority="550">
      <formula>AND(P$9&gt;=8/24,P$9&lt;14/24)</formula>
    </cfRule>
    <cfRule type="expression" dxfId="9080" priority="551">
      <formula>P$9&lt;8/24</formula>
    </cfRule>
  </conditionalFormatting>
  <conditionalFormatting sqref="P55:X58">
    <cfRule type="expression" dxfId="9079" priority="547">
      <formula>P55&gt;$AG55</formula>
    </cfRule>
  </conditionalFormatting>
  <conditionalFormatting sqref="D88:AF88 X98:AF98 AD74 X49:AF49 H74:H75 AF74 AA69:AF71 M102:Y108 O74:AC75 AD75:AF75">
    <cfRule type="expression" dxfId="9078" priority="543">
      <formula>D$9&gt;=20/24</formula>
    </cfRule>
    <cfRule type="expression" dxfId="9077" priority="544">
      <formula>AND(D$9&gt;=14/24,D$9&lt;20/24)</formula>
    </cfRule>
    <cfRule type="expression" dxfId="9076" priority="545">
      <formula>AND(D$9&gt;=8/24,D$9&lt;14/24)</formula>
    </cfRule>
    <cfRule type="expression" dxfId="9075" priority="546">
      <formula>D$9&lt;8/24</formula>
    </cfRule>
  </conditionalFormatting>
  <conditionalFormatting sqref="X49:AF49 AA69:AF71">
    <cfRule type="expression" dxfId="9074" priority="542">
      <formula>X49&gt;$AG49</formula>
    </cfRule>
  </conditionalFormatting>
  <conditionalFormatting sqref="Y55:AC58 Z59:AA59 AA60 AB59:AC60 AD55:AD60 AE60">
    <cfRule type="expression" dxfId="9073" priority="538">
      <formula>Y$9&gt;=20/24</formula>
    </cfRule>
    <cfRule type="expression" dxfId="9072" priority="539">
      <formula>AND(Y$9&gt;=14/24,Y$9&lt;20/24)</formula>
    </cfRule>
    <cfRule type="expression" dxfId="9071" priority="540">
      <formula>AND(Y$9&gt;=8/24,Y$9&lt;14/24)</formula>
    </cfRule>
    <cfRule type="expression" dxfId="9070" priority="541">
      <formula>Y$9&lt;8/24</formula>
    </cfRule>
  </conditionalFormatting>
  <conditionalFormatting sqref="Y55:AC58 Z59:AA59 AA60 AB59:AC60 AD55:AD60 AE60">
    <cfRule type="expression" dxfId="9069" priority="537">
      <formula>Y55&gt;$AG55</formula>
    </cfRule>
  </conditionalFormatting>
  <conditionalFormatting sqref="C99:AF99 D90:AF90">
    <cfRule type="expression" dxfId="9068" priority="533">
      <formula>C$9&gt;=20/24</formula>
    </cfRule>
    <cfRule type="expression" dxfId="9067" priority="534">
      <formula>AND(C$9&gt;=14/24,C$9&lt;20/24)</formula>
    </cfRule>
    <cfRule type="expression" dxfId="9066" priority="535">
      <formula>AND(C$9&gt;=8/24,C$9&lt;14/24)</formula>
    </cfRule>
    <cfRule type="expression" dxfId="9065" priority="536">
      <formula>C$9&lt;8/24</formula>
    </cfRule>
  </conditionalFormatting>
  <conditionalFormatting sqref="T49:W49">
    <cfRule type="expression" dxfId="9064" priority="529">
      <formula>T$9&gt;=20/24</formula>
    </cfRule>
    <cfRule type="expression" dxfId="9063" priority="530">
      <formula>AND(T$9&gt;=14/24,T$9&lt;20/24)</formula>
    </cfRule>
    <cfRule type="expression" dxfId="9062" priority="531">
      <formula>AND(T$9&gt;=8/24,T$9&lt;14/24)</formula>
    </cfRule>
    <cfRule type="expression" dxfId="9061" priority="532">
      <formula>T$9&lt;8/24</formula>
    </cfRule>
  </conditionalFormatting>
  <conditionalFormatting sqref="T49:W49">
    <cfRule type="expression" dxfId="9060" priority="528">
      <formula>T49&gt;$AG49</formula>
    </cfRule>
  </conditionalFormatting>
  <conditionalFormatting sqref="H56:H57">
    <cfRule type="expression" dxfId="9059" priority="524">
      <formula>H$9&gt;=20/24</formula>
    </cfRule>
    <cfRule type="expression" dxfId="9058" priority="525">
      <formula>AND(H$9&gt;=14/24,H$9&lt;20/24)</formula>
    </cfRule>
    <cfRule type="expression" dxfId="9057" priority="526">
      <formula>AND(H$9&gt;=8/24,H$9&lt;14/24)</formula>
    </cfRule>
    <cfRule type="expression" dxfId="9056" priority="527">
      <formula>H$9&lt;8/24</formula>
    </cfRule>
  </conditionalFormatting>
  <conditionalFormatting sqref="H55">
    <cfRule type="expression" dxfId="9055" priority="520">
      <formula>H$9&gt;=20/24</formula>
    </cfRule>
    <cfRule type="expression" dxfId="9054" priority="521">
      <formula>AND(H$9&gt;=14/24,H$9&lt;20/24)</formula>
    </cfRule>
    <cfRule type="expression" dxfId="9053" priority="522">
      <formula>AND(H$9&gt;=8/24,H$9&lt;14/24)</formula>
    </cfRule>
    <cfRule type="expression" dxfId="9052" priority="523">
      <formula>H$9&lt;8/24</formula>
    </cfRule>
  </conditionalFormatting>
  <conditionalFormatting sqref="H55:H57">
    <cfRule type="expression" dxfId="9051" priority="519">
      <formula>H55&gt;$AG55</formula>
    </cfRule>
  </conditionalFormatting>
  <conditionalFormatting sqref="AG72 AG89 E102:L108">
    <cfRule type="expression" dxfId="9050" priority="515">
      <formula>E$9&gt;=20/24</formula>
    </cfRule>
    <cfRule type="expression" dxfId="9049" priority="516">
      <formula>AND(E$9&gt;=14/24,E$9&lt;20/24)</formula>
    </cfRule>
    <cfRule type="expression" dxfId="9048" priority="517">
      <formula>AND(E$9&gt;=8/24,E$9&lt;14/24)</formula>
    </cfRule>
    <cfRule type="expression" dxfId="9047" priority="518">
      <formula>E$9&lt;8/24</formula>
    </cfRule>
  </conditionalFormatting>
  <conditionalFormatting sqref="AG50 AG68 AG72">
    <cfRule type="expression" dxfId="9046" priority="514">
      <formula>AG50&gt;$AG50</formula>
    </cfRule>
  </conditionalFormatting>
  <conditionalFormatting sqref="A45">
    <cfRule type="expression" dxfId="9045" priority="508">
      <formula>$AH45=0</formula>
    </cfRule>
  </conditionalFormatting>
  <conditionalFormatting sqref="X93:AF97">
    <cfRule type="expression" dxfId="9044" priority="504">
      <formula>X$9&gt;=20/24</formula>
    </cfRule>
    <cfRule type="expression" dxfId="9043" priority="505">
      <formula>AND(X$9&gt;=14/24,X$9&lt;20/24)</formula>
    </cfRule>
    <cfRule type="expression" dxfId="9042" priority="506">
      <formula>AND(X$9&gt;=8/24,X$9&lt;14/24)</formula>
    </cfRule>
    <cfRule type="expression" dxfId="9041" priority="507">
      <formula>X$9&lt;8/24</formula>
    </cfRule>
  </conditionalFormatting>
  <conditionalFormatting sqref="AL47 AL43 AL24:AL34 AL40:AL41 AL19:AL22 AL36:AL38 AL7:AL17">
    <cfRule type="iconSet" priority="605">
      <iconSet iconSet="3TrafficLights2" reverse="1">
        <cfvo type="percent" val="0"/>
        <cfvo type="num" val="1"/>
        <cfvo type="num" val="1"/>
      </iconSet>
    </cfRule>
  </conditionalFormatting>
  <conditionalFormatting sqref="H51:H53 J51:O51 P51:AF53">
    <cfRule type="expression" dxfId="9040" priority="500">
      <formula>H$9&gt;=20/24</formula>
    </cfRule>
    <cfRule type="expression" dxfId="9039" priority="501">
      <formula>AND(H$9&gt;=14/24,H$9&lt;20/24)</formula>
    </cfRule>
    <cfRule type="expression" dxfId="9038" priority="502">
      <formula>AND(H$9&gt;=8/24,H$9&lt;14/24)</formula>
    </cfRule>
    <cfRule type="expression" dxfId="9037" priority="503">
      <formula>H$9&lt;8/24</formula>
    </cfRule>
  </conditionalFormatting>
  <conditionalFormatting sqref="H51:H53 J51:O51 P51:AF53">
    <cfRule type="expression" dxfId="9036" priority="499">
      <formula>H51&gt;$AG51</formula>
    </cfRule>
  </conditionalFormatting>
  <conditionalFormatting sqref="AG54">
    <cfRule type="expression" dxfId="9035" priority="495">
      <formula>AG$9&gt;=20/24</formula>
    </cfRule>
    <cfRule type="expression" dxfId="9034" priority="496">
      <formula>AND(AG$9&gt;=14/24,AG$9&lt;20/24)</formula>
    </cfRule>
    <cfRule type="expression" dxfId="9033" priority="497">
      <formula>AND(AG$9&gt;=8/24,AG$9&lt;14/24)</formula>
    </cfRule>
    <cfRule type="expression" dxfId="9032" priority="498">
      <formula>AG$9&lt;8/24</formula>
    </cfRule>
  </conditionalFormatting>
  <conditionalFormatting sqref="AG54">
    <cfRule type="expression" dxfId="9031" priority="494">
      <formula>AG54&gt;$AG54</formula>
    </cfRule>
  </conditionalFormatting>
  <conditionalFormatting sqref="C109:AF109">
    <cfRule type="expression" dxfId="9030" priority="490">
      <formula>C$9&gt;=20/24</formula>
    </cfRule>
    <cfRule type="expression" dxfId="9029" priority="491">
      <formula>AND(C$9&gt;=14/24,C$9&lt;20/24)</formula>
    </cfRule>
    <cfRule type="expression" dxfId="9028" priority="492">
      <formula>AND(C$9&gt;=8/24,C$9&lt;14/24)</formula>
    </cfRule>
    <cfRule type="expression" dxfId="9027" priority="493">
      <formula>C$9&lt;8/24</formula>
    </cfRule>
  </conditionalFormatting>
  <conditionalFormatting sqref="AL42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9026" priority="488">
      <formula>$AH42=0</formula>
    </cfRule>
  </conditionalFormatting>
  <conditionalFormatting sqref="A92">
    <cfRule type="expression" dxfId="9025" priority="486">
      <formula>$AH92=0</formula>
    </cfRule>
  </conditionalFormatting>
  <conditionalFormatting sqref="A89">
    <cfRule type="expression" dxfId="9024" priority="487">
      <formula>$AH89=0</formula>
    </cfRule>
  </conditionalFormatting>
  <conditionalFormatting sqref="D112:H112 J112:AF112">
    <cfRule type="expression" dxfId="9023" priority="482">
      <formula>D$9&gt;=20/24</formula>
    </cfRule>
    <cfRule type="expression" dxfId="9022" priority="483">
      <formula>AND(D$9&gt;=14/24,D$9&lt;20/24)</formula>
    </cfRule>
    <cfRule type="expression" dxfId="9021" priority="484">
      <formula>AND(D$9&gt;=8/24,D$9&lt;14/24)</formula>
    </cfRule>
    <cfRule type="expression" dxfId="9020" priority="485">
      <formula>D$9&lt;8/24</formula>
    </cfRule>
  </conditionalFormatting>
  <conditionalFormatting sqref="A112">
    <cfRule type="expression" dxfId="9019" priority="481">
      <formula>$AH112=0</formula>
    </cfRule>
  </conditionalFormatting>
  <conditionalFormatting sqref="A23">
    <cfRule type="expression" dxfId="9018" priority="479">
      <formula>$AH23=0</formula>
    </cfRule>
  </conditionalFormatting>
  <conditionalFormatting sqref="AL23">
    <cfRule type="iconSet" priority="480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9017" priority="477">
      <formula>$AH39=0</formula>
    </cfRule>
  </conditionalFormatting>
  <conditionalFormatting sqref="AL39">
    <cfRule type="iconSet" priority="478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9016" priority="473">
      <formula>Z$9&gt;=20/24</formula>
    </cfRule>
    <cfRule type="expression" dxfId="9015" priority="474">
      <formula>AND(Z$9&gt;=14/24,Z$9&lt;20/24)</formula>
    </cfRule>
    <cfRule type="expression" dxfId="9014" priority="475">
      <formula>AND(Z$9&gt;=8/24,Z$9&lt;14/24)</formula>
    </cfRule>
    <cfRule type="expression" dxfId="9013" priority="476">
      <formula>Z$9&lt;8/24</formula>
    </cfRule>
  </conditionalFormatting>
  <conditionalFormatting sqref="Z102:AF108">
    <cfRule type="expression" dxfId="9012" priority="469">
      <formula>Z$9&gt;=20/24</formula>
    </cfRule>
    <cfRule type="expression" dxfId="9011" priority="470">
      <formula>AND(Z$9&gt;=14/24,Z$9&lt;20/24)</formula>
    </cfRule>
    <cfRule type="expression" dxfId="9010" priority="471">
      <formula>AND(Z$9&gt;=8/24,Z$9&lt;14/24)</formula>
    </cfRule>
    <cfRule type="expression" dxfId="9009" priority="472">
      <formula>Z$9&lt;8/24</formula>
    </cfRule>
  </conditionalFormatting>
  <conditionalFormatting sqref="C111 C113:C119 AA19:AF30 AA36:AF45 AA32:AF34">
    <cfRule type="expression" dxfId="9008" priority="465">
      <formula>C$9&gt;=20/24</formula>
    </cfRule>
    <cfRule type="expression" dxfId="9007" priority="466">
      <formula>AND(C$9&gt;=14/24,C$9&lt;20/24)</formula>
    </cfRule>
    <cfRule type="expression" dxfId="9006" priority="467">
      <formula>AND(C$9&gt;=8/24,C$9&lt;14/24)</formula>
    </cfRule>
    <cfRule type="expression" dxfId="9005" priority="468">
      <formula>C$9&lt;8/24</formula>
    </cfRule>
  </conditionalFormatting>
  <conditionalFormatting sqref="E49:S49">
    <cfRule type="expression" dxfId="9004" priority="461">
      <formula>E$9&gt;=20/24</formula>
    </cfRule>
    <cfRule type="expression" dxfId="9003" priority="462">
      <formula>AND(E$9&gt;=14/24,E$9&lt;20/24)</formula>
    </cfRule>
    <cfRule type="expression" dxfId="9002" priority="463">
      <formula>AND(E$9&gt;=8/24,E$9&lt;14/24)</formula>
    </cfRule>
    <cfRule type="expression" dxfId="9001" priority="464">
      <formula>E$9&lt;8/24</formula>
    </cfRule>
  </conditionalFormatting>
  <conditionalFormatting sqref="E49:S49 AA19:AF30 AA36:AF45 AA32:AF34">
    <cfRule type="expression" dxfId="9000" priority="460">
      <formula>E19&gt;$AG19</formula>
    </cfRule>
  </conditionalFormatting>
  <conditionalFormatting sqref="C101:D101">
    <cfRule type="expression" dxfId="8999" priority="456">
      <formula>C$9&gt;=20/24</formula>
    </cfRule>
    <cfRule type="expression" dxfId="8998" priority="457">
      <formula>AND(C$9&gt;=14/24,C$9&lt;20/24)</formula>
    </cfRule>
    <cfRule type="expression" dxfId="8997" priority="458">
      <formula>AND(C$9&gt;=8/24,C$9&lt;14/24)</formula>
    </cfRule>
    <cfRule type="expression" dxfId="8996" priority="459">
      <formula>C$9&lt;8/24</formula>
    </cfRule>
  </conditionalFormatting>
  <conditionalFormatting sqref="C88 C98:W98 C85:AF87 D102:D108 H76:H78 F69:Z71 O76:AF78">
    <cfRule type="expression" dxfId="8995" priority="452">
      <formula>C$9&gt;=20/24</formula>
    </cfRule>
    <cfRule type="expression" dxfId="8994" priority="453">
      <formula>AND(C$9&gt;=14/24,C$9&lt;20/24)</formula>
    </cfRule>
    <cfRule type="expression" dxfId="8993" priority="454">
      <formula>AND(C$9&gt;=8/24,C$9&lt;14/24)</formula>
    </cfRule>
    <cfRule type="expression" dxfId="8992" priority="455">
      <formula>C$9&lt;8/24</formula>
    </cfRule>
  </conditionalFormatting>
  <conditionalFormatting sqref="H58:H59 P59:Y59 F69:Z71">
    <cfRule type="expression" dxfId="8991" priority="451">
      <formula>F58&gt;$AG58</formula>
    </cfRule>
  </conditionalFormatting>
  <conditionalFormatting sqref="D56:G57 C73:G73">
    <cfRule type="expression" dxfId="8990" priority="393">
      <formula>C$9&gt;=20/24</formula>
    </cfRule>
    <cfRule type="expression" dxfId="8989" priority="394">
      <formula>AND(C$9&gt;=14/24,C$9&lt;20/24)</formula>
    </cfRule>
    <cfRule type="expression" dxfId="8988" priority="395">
      <formula>AND(C$9&gt;=8/24,C$9&lt;14/24)</formula>
    </cfRule>
    <cfRule type="expression" dxfId="8987" priority="396">
      <formula>C$9&lt;8/24</formula>
    </cfRule>
  </conditionalFormatting>
  <conditionalFormatting sqref="C91:AF91 C72:AF72 C89:AF89 C100:AF100">
    <cfRule type="expression" dxfId="8986" priority="447">
      <formula>C$9&gt;=20/24</formula>
    </cfRule>
    <cfRule type="expression" dxfId="8985" priority="448">
      <formula>AND(C$9&gt;=14/24,C$9&lt;20/24)</formula>
    </cfRule>
    <cfRule type="expression" dxfId="8984" priority="449">
      <formula>AND(C$9&gt;=8/24,C$9&lt;14/24)</formula>
    </cfRule>
    <cfRule type="expression" dxfId="8983" priority="450">
      <formula>C$9&lt;8/24</formula>
    </cfRule>
  </conditionalFormatting>
  <conditionalFormatting sqref="C72:AF72 D67:AF68">
    <cfRule type="expression" dxfId="8982" priority="446">
      <formula>C67&gt;$AG67</formula>
    </cfRule>
  </conditionalFormatting>
  <conditionalFormatting sqref="C84:AF84">
    <cfRule type="expression" dxfId="8981" priority="442">
      <formula>C$9&gt;=20/24</formula>
    </cfRule>
    <cfRule type="expression" dxfId="8980" priority="443">
      <formula>AND(C$9&gt;=14/24,C$9&lt;20/24)</formula>
    </cfRule>
    <cfRule type="expression" dxfId="8979" priority="444">
      <formula>AND(C$9&gt;=8/24,C$9&lt;14/24)</formula>
    </cfRule>
    <cfRule type="expression" dxfId="8978" priority="445">
      <formula>C$9&lt;8/24</formula>
    </cfRule>
  </conditionalFormatting>
  <conditionalFormatting sqref="C93:W97">
    <cfRule type="expression" dxfId="8977" priority="438">
      <formula>C$9&gt;=20/24</formula>
    </cfRule>
    <cfRule type="expression" dxfId="8976" priority="439">
      <formula>AND(C$9&gt;=14/24,C$9&lt;20/24)</formula>
    </cfRule>
    <cfRule type="expression" dxfId="8975" priority="440">
      <formula>AND(C$9&gt;=8/24,C$9&lt;14/24)</formula>
    </cfRule>
    <cfRule type="expression" dxfId="8974" priority="441">
      <formula>C$9&lt;8/24</formula>
    </cfRule>
  </conditionalFormatting>
  <conditionalFormatting sqref="D54:AF54">
    <cfRule type="expression" dxfId="8973" priority="434">
      <formula>D$9&gt;=20/24</formula>
    </cfRule>
    <cfRule type="expression" dxfId="8972" priority="435">
      <formula>AND(D$9&gt;=14/24,D$9&lt;20/24)</formula>
    </cfRule>
    <cfRule type="expression" dxfId="8971" priority="436">
      <formula>AND(D$9&gt;=8/24,D$9&lt;14/24)</formula>
    </cfRule>
    <cfRule type="expression" dxfId="8970" priority="437">
      <formula>D$9&lt;8/24</formula>
    </cfRule>
  </conditionalFormatting>
  <conditionalFormatting sqref="D54:AF54">
    <cfRule type="expression" dxfId="8969" priority="433">
      <formula>D54&gt;$AG54</formula>
    </cfRule>
  </conditionalFormatting>
  <conditionalFormatting sqref="C112">
    <cfRule type="expression" dxfId="8968" priority="425">
      <formula>C$9&gt;=20/24</formula>
    </cfRule>
    <cfRule type="expression" dxfId="8967" priority="426">
      <formula>AND(C$9&gt;=14/24,C$9&lt;20/24)</formula>
    </cfRule>
    <cfRule type="expression" dxfId="8966" priority="427">
      <formula>AND(C$9&gt;=8/24,C$9&lt;14/24)</formula>
    </cfRule>
    <cfRule type="expression" dxfId="8965" priority="428">
      <formula>C$9&lt;8/24</formula>
    </cfRule>
  </conditionalFormatting>
  <conditionalFormatting sqref="AA61:AF66">
    <cfRule type="expression" dxfId="8964" priority="421">
      <formula>AA$9&gt;=20/24</formula>
    </cfRule>
    <cfRule type="expression" dxfId="8963" priority="422">
      <formula>AND(AA$9&gt;=14/24,AA$9&lt;20/24)</formula>
    </cfRule>
    <cfRule type="expression" dxfId="8962" priority="423">
      <formula>AND(AA$9&gt;=8/24,AA$9&lt;14/24)</formula>
    </cfRule>
    <cfRule type="expression" dxfId="8961" priority="424">
      <formula>AA$9&lt;8/24</formula>
    </cfRule>
  </conditionalFormatting>
  <conditionalFormatting sqref="AA61:AF66">
    <cfRule type="expression" dxfId="8960" priority="420">
      <formula>AA61&gt;$AG61</formula>
    </cfRule>
  </conditionalFormatting>
  <conditionalFormatting sqref="AA47:AF47">
    <cfRule type="expression" dxfId="8959" priority="419">
      <formula>AA47&gt;$AG47</formula>
    </cfRule>
  </conditionalFormatting>
  <conditionalFormatting sqref="AA13:AF13">
    <cfRule type="expression" dxfId="8958" priority="415">
      <formula>AA$9&gt;=20/24</formula>
    </cfRule>
    <cfRule type="expression" dxfId="8957" priority="416">
      <formula>AND(AA$9&gt;=14/24,AA$9&lt;20/24)</formula>
    </cfRule>
    <cfRule type="expression" dxfId="8956" priority="417">
      <formula>AND(AA$9&gt;=8/24,AA$9&lt;14/24)</formula>
    </cfRule>
    <cfRule type="expression" dxfId="8955" priority="418">
      <formula>AA$9&lt;8/24</formula>
    </cfRule>
  </conditionalFormatting>
  <conditionalFormatting sqref="AA13:AF13">
    <cfRule type="expression" dxfId="8954" priority="414">
      <formula>AA13&gt;$AG13</formula>
    </cfRule>
  </conditionalFormatting>
  <conditionalFormatting sqref="AA47:AF47">
    <cfRule type="expression" dxfId="8953" priority="410">
      <formula>AA$9&gt;=20/24</formula>
    </cfRule>
    <cfRule type="expression" dxfId="8952" priority="411">
      <formula>AND(AA$9&gt;=14/24,AA$9&lt;20/24)</formula>
    </cfRule>
    <cfRule type="expression" dxfId="8951" priority="412">
      <formula>AND(AA$9&gt;=8/24,AA$9&lt;14/24)</formula>
    </cfRule>
    <cfRule type="expression" dxfId="8950" priority="413">
      <formula>AA$9&lt;8/24</formula>
    </cfRule>
  </conditionalFormatting>
  <conditionalFormatting sqref="H79:H83 O79:AF83">
    <cfRule type="expression" dxfId="8949" priority="406">
      <formula>H$9&gt;=20/24</formula>
    </cfRule>
    <cfRule type="expression" dxfId="8948" priority="407">
      <formula>AND(H$9&gt;=14/24,H$9&lt;20/24)</formula>
    </cfRule>
    <cfRule type="expression" dxfId="8947" priority="408">
      <formula>AND(H$9&gt;=8/24,H$9&lt;14/24)</formula>
    </cfRule>
    <cfRule type="expression" dxfId="8946" priority="409">
      <formula>H$9&lt;8/24</formula>
    </cfRule>
  </conditionalFormatting>
  <conditionalFormatting sqref="AL80:AN80 AL86:AN86 AN81:AN82">
    <cfRule type="expression" dxfId="8945" priority="402">
      <formula>AL$9&gt;=20/24</formula>
    </cfRule>
    <cfRule type="expression" dxfId="8944" priority="403">
      <formula>AND(AL$9&gt;=14/24,AL$9&lt;20/24)</formula>
    </cfRule>
    <cfRule type="expression" dxfId="8943" priority="404">
      <formula>AND(AL$9&gt;=8/24,AL$9&lt;14/24)</formula>
    </cfRule>
    <cfRule type="expression" dxfId="8942" priority="405">
      <formula>AL$9&lt;8/24</formula>
    </cfRule>
  </conditionalFormatting>
  <conditionalFormatting sqref="AN83:AN84">
    <cfRule type="expression" dxfId="8941" priority="398">
      <formula>AN$9&gt;=20/24</formula>
    </cfRule>
    <cfRule type="expression" dxfId="8940" priority="399">
      <formula>AND(AN$9&gt;=14/24,AN$9&lt;20/24)</formula>
    </cfRule>
    <cfRule type="expression" dxfId="8939" priority="400">
      <formula>AND(AN$9&gt;=8/24,AN$9&lt;14/24)</formula>
    </cfRule>
    <cfRule type="expression" dxfId="8938" priority="401">
      <formula>AN$9&lt;8/24</formula>
    </cfRule>
  </conditionalFormatting>
  <conditionalFormatting sqref="AL81:AM85">
    <cfRule type="expression" dxfId="8937" priority="606">
      <formula>AJ$9&gt;=20/24</formula>
    </cfRule>
    <cfRule type="expression" dxfId="8936" priority="607">
      <formula>AND(AJ$9&gt;=14/24,AJ$9&lt;20/24)</formula>
    </cfRule>
    <cfRule type="expression" dxfId="8935" priority="608">
      <formula>AND(AJ$9&gt;=8/24,AJ$9&lt;14/24)</formula>
    </cfRule>
    <cfRule type="expression" dxfId="8934" priority="609">
      <formula>AJ$9&lt;8/24</formula>
    </cfRule>
  </conditionalFormatting>
  <conditionalFormatting sqref="A120">
    <cfRule type="expression" dxfId="8933" priority="397">
      <formula>$AH120=0</formula>
    </cfRule>
  </conditionalFormatting>
  <conditionalFormatting sqref="D55:G55">
    <cfRule type="expression" dxfId="8932" priority="389">
      <formula>D$9&gt;=20/24</formula>
    </cfRule>
    <cfRule type="expression" dxfId="8931" priority="390">
      <formula>AND(D$9&gt;=14/24,D$9&lt;20/24)</formula>
    </cfRule>
    <cfRule type="expression" dxfId="8930" priority="391">
      <formula>AND(D$9&gt;=8/24,D$9&lt;14/24)</formula>
    </cfRule>
    <cfRule type="expression" dxfId="8929" priority="392">
      <formula>D$9&lt;8/24</formula>
    </cfRule>
  </conditionalFormatting>
  <conditionalFormatting sqref="D55:G57">
    <cfRule type="expression" dxfId="8928" priority="388">
      <formula>D55&gt;$AG55</formula>
    </cfRule>
  </conditionalFormatting>
  <conditionalFormatting sqref="C74:D76 C102:C108 D77:D83 E74:G83">
    <cfRule type="expression" dxfId="8927" priority="384">
      <formula>C$9&gt;=20/24</formula>
    </cfRule>
    <cfRule type="expression" dxfId="8926" priority="385">
      <formula>AND(C$9&gt;=14/24,C$9&lt;20/24)</formula>
    </cfRule>
    <cfRule type="expression" dxfId="8925" priority="386">
      <formula>AND(C$9&gt;=8/24,C$9&lt;14/24)</formula>
    </cfRule>
    <cfRule type="expression" dxfId="8924" priority="387">
      <formula>C$9&lt;8/24</formula>
    </cfRule>
  </conditionalFormatting>
  <conditionalFormatting sqref="C90">
    <cfRule type="expression" dxfId="8923" priority="379">
      <formula>C$9&gt;=20/24</formula>
    </cfRule>
    <cfRule type="expression" dxfId="8922" priority="380">
      <formula>AND(C$9&gt;=14/24,C$9&lt;20/24)</formula>
    </cfRule>
    <cfRule type="expression" dxfId="8921" priority="381">
      <formula>AND(C$9&gt;=8/24,C$9&lt;14/24)</formula>
    </cfRule>
    <cfRule type="expression" dxfId="8920" priority="382">
      <formula>C$9&lt;8/24</formula>
    </cfRule>
  </conditionalFormatting>
  <conditionalFormatting sqref="AA48:AF48">
    <cfRule type="expression" dxfId="8919" priority="375">
      <formula>AA$9&gt;=20/24</formula>
    </cfRule>
    <cfRule type="expression" dxfId="8918" priority="376">
      <formula>AND(AA$9&gt;=14/24,AA$9&lt;20/24)</formula>
    </cfRule>
    <cfRule type="expression" dxfId="8917" priority="377">
      <formula>AND(AA$9&gt;=8/24,AA$9&lt;14/24)</formula>
    </cfRule>
    <cfRule type="expression" dxfId="8916" priority="378">
      <formula>AA$9&lt;8/24</formula>
    </cfRule>
  </conditionalFormatting>
  <conditionalFormatting sqref="AA48:AF48">
    <cfRule type="expression" dxfId="8915" priority="374">
      <formula>AA48&gt;$AG48</formula>
    </cfRule>
  </conditionalFormatting>
  <conditionalFormatting sqref="H60">
    <cfRule type="expression" dxfId="8914" priority="370">
      <formula>H$9&gt;=20/24</formula>
    </cfRule>
    <cfRule type="expression" dxfId="8913" priority="371">
      <formula>AND(H$9&gt;=14/24,H$9&lt;20/24)</formula>
    </cfRule>
    <cfRule type="expression" dxfId="8912" priority="372">
      <formula>AND(H$9&gt;=8/24,H$9&lt;14/24)</formula>
    </cfRule>
    <cfRule type="expression" dxfId="8911" priority="373">
      <formula>H$9&lt;8/24</formula>
    </cfRule>
  </conditionalFormatting>
  <conditionalFormatting sqref="H60">
    <cfRule type="expression" dxfId="8910" priority="369">
      <formula>H60&gt;$AG60</formula>
    </cfRule>
  </conditionalFormatting>
  <conditionalFormatting sqref="C49:D49 C69:E71">
    <cfRule type="expression" dxfId="8909" priority="299">
      <formula>C$9&gt;=20/24</formula>
    </cfRule>
    <cfRule type="expression" dxfId="8908" priority="300">
      <formula>AND(C$9&gt;=14/24,C$9&lt;20/24)</formula>
    </cfRule>
    <cfRule type="expression" dxfId="8907" priority="301">
      <formula>AND(C$9&gt;=8/24,C$9&lt;14/24)</formula>
    </cfRule>
    <cfRule type="expression" dxfId="8906" priority="302">
      <formula>C$9&lt;8/24</formula>
    </cfRule>
  </conditionalFormatting>
  <conditionalFormatting sqref="C77:C78">
    <cfRule type="expression" dxfId="8905" priority="365">
      <formula>C$9&gt;=20/24</formula>
    </cfRule>
    <cfRule type="expression" dxfId="8904" priority="366">
      <formula>AND(C$9&gt;=14/24,C$9&lt;20/24)</formula>
    </cfRule>
    <cfRule type="expression" dxfId="8903" priority="367">
      <formula>AND(C$9&gt;=8/24,C$9&lt;14/24)</formula>
    </cfRule>
    <cfRule type="expression" dxfId="8902" priority="368">
      <formula>C$9&lt;8/24</formula>
    </cfRule>
  </conditionalFormatting>
  <conditionalFormatting sqref="E50:AF50">
    <cfRule type="expression" dxfId="8901" priority="364">
      <formula>E50&gt;$AG50</formula>
    </cfRule>
  </conditionalFormatting>
  <conditionalFormatting sqref="H61:H66">
    <cfRule type="expression" dxfId="8900" priority="360">
      <formula>H$9&gt;=20/24</formula>
    </cfRule>
    <cfRule type="expression" dxfId="8899" priority="361">
      <formula>AND(H$9&gt;=14/24,H$9&lt;20/24)</formula>
    </cfRule>
    <cfRule type="expression" dxfId="8898" priority="362">
      <formula>AND(H$9&gt;=8/24,H$9&lt;14/24)</formula>
    </cfRule>
    <cfRule type="expression" dxfId="8897" priority="363">
      <formula>H$9&lt;8/24</formula>
    </cfRule>
  </conditionalFormatting>
  <conditionalFormatting sqref="H61:H66">
    <cfRule type="expression" dxfId="8896" priority="359">
      <formula>H61&gt;$AG61</formula>
    </cfRule>
  </conditionalFormatting>
  <conditionalFormatting sqref="C79:C83">
    <cfRule type="expression" dxfId="8895" priority="355">
      <formula>C$9&gt;=20/24</formula>
    </cfRule>
    <cfRule type="expression" dxfId="8894" priority="356">
      <formula>AND(C$9&gt;=14/24,C$9&lt;20/24)</formula>
    </cfRule>
    <cfRule type="expression" dxfId="8893" priority="357">
      <formula>AND(C$9&gt;=8/24,C$9&lt;14/24)</formula>
    </cfRule>
    <cfRule type="expression" dxfId="8892" priority="358">
      <formula>C$9&lt;8/24</formula>
    </cfRule>
  </conditionalFormatting>
  <conditionalFormatting sqref="A11">
    <cfRule type="expression" dxfId="8891" priority="354">
      <formula>$AH11=0</formula>
    </cfRule>
  </conditionalFormatting>
  <conditionalFormatting sqref="A18">
    <cfRule type="expression" dxfId="8890" priority="347">
      <formula>$AH18=0</formula>
    </cfRule>
  </conditionalFormatting>
  <conditionalFormatting sqref="AL18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8889" priority="343">
      <formula>AA$9&gt;=20/24</formula>
    </cfRule>
    <cfRule type="expression" dxfId="8888" priority="344">
      <formula>AND(AA$9&gt;=14/24,AA$9&lt;20/24)</formula>
    </cfRule>
    <cfRule type="expression" dxfId="8887" priority="345">
      <formula>AND(AA$9&gt;=8/24,AA$9&lt;14/24)</formula>
    </cfRule>
    <cfRule type="expression" dxfId="8886" priority="346">
      <formula>AA$9&lt;8/24</formula>
    </cfRule>
  </conditionalFormatting>
  <conditionalFormatting sqref="AA18:AF18">
    <cfRule type="expression" dxfId="8885" priority="342">
      <formula>AA18&gt;$AG18</formula>
    </cfRule>
  </conditionalFormatting>
  <conditionalFormatting sqref="A35">
    <cfRule type="expression" dxfId="8884" priority="340">
      <formula>$AH35=0</formula>
    </cfRule>
  </conditionalFormatting>
  <conditionalFormatting sqref="AL35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8883" priority="336">
      <formula>AA$9&gt;=20/24</formula>
    </cfRule>
    <cfRule type="expression" dxfId="8882" priority="337">
      <formula>AND(AA$9&gt;=14/24,AA$9&lt;20/24)</formula>
    </cfRule>
    <cfRule type="expression" dxfId="8881" priority="338">
      <formula>AND(AA$9&gt;=8/24,AA$9&lt;14/24)</formula>
    </cfRule>
    <cfRule type="expression" dxfId="8880" priority="339">
      <formula>AA$9&lt;8/24</formula>
    </cfRule>
  </conditionalFormatting>
  <conditionalFormatting sqref="AA35:AF35">
    <cfRule type="expression" dxfId="8879" priority="335">
      <formula>AA35&gt;$AG35</formula>
    </cfRule>
  </conditionalFormatting>
  <conditionalFormatting sqref="A46">
    <cfRule type="expression" dxfId="8878" priority="333">
      <formula>$AH46=0</formula>
    </cfRule>
  </conditionalFormatting>
  <conditionalFormatting sqref="AL46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8877" priority="332">
      <formula>AA46&gt;$AG46</formula>
    </cfRule>
  </conditionalFormatting>
  <conditionalFormatting sqref="AA46:AF46">
    <cfRule type="expression" dxfId="8876" priority="328">
      <formula>AA$9&gt;=20/24</formula>
    </cfRule>
    <cfRule type="expression" dxfId="8875" priority="329">
      <formula>AND(AA$9&gt;=14/24,AA$9&lt;20/24)</formula>
    </cfRule>
    <cfRule type="expression" dxfId="8874" priority="330">
      <formula>AND(AA$9&gt;=8/24,AA$9&lt;14/24)</formula>
    </cfRule>
    <cfRule type="expression" dxfId="8873" priority="331">
      <formula>AA$9&lt;8/24</formula>
    </cfRule>
  </conditionalFormatting>
  <conditionalFormatting sqref="D120:H120 J120:AF120">
    <cfRule type="expression" dxfId="8872" priority="324">
      <formula>D$9&gt;=20/24</formula>
    </cfRule>
    <cfRule type="expression" dxfId="8871" priority="325">
      <formula>AND(D$9&gt;=14/24,D$9&lt;20/24)</formula>
    </cfRule>
    <cfRule type="expression" dxfId="8870" priority="326">
      <formula>AND(D$9&gt;=8/24,D$9&lt;14/24)</formula>
    </cfRule>
    <cfRule type="expression" dxfId="8869" priority="327">
      <formula>D$9&lt;8/24</formula>
    </cfRule>
  </conditionalFormatting>
  <conditionalFormatting sqref="C120">
    <cfRule type="expression" dxfId="8868" priority="320">
      <formula>C$9&gt;=20/24</formula>
    </cfRule>
    <cfRule type="expression" dxfId="8867" priority="321">
      <formula>AND(C$9&gt;=14/24,C$9&lt;20/24)</formula>
    </cfRule>
    <cfRule type="expression" dxfId="8866" priority="322">
      <formula>AND(C$9&gt;=8/24,C$9&lt;14/24)</formula>
    </cfRule>
    <cfRule type="expression" dxfId="8865" priority="323">
      <formula>C$9&lt;8/24</formula>
    </cfRule>
  </conditionalFormatting>
  <conditionalFormatting sqref="C56:C57">
    <cfRule type="expression" dxfId="8864" priority="308">
      <formula>C$9&gt;=20/24</formula>
    </cfRule>
    <cfRule type="expression" dxfId="8863" priority="309">
      <formula>AND(C$9&gt;=14/24,C$9&lt;20/24)</formula>
    </cfRule>
    <cfRule type="expression" dxfId="8862" priority="310">
      <formula>AND(C$9&gt;=8/24,C$9&lt;14/24)</formula>
    </cfRule>
    <cfRule type="expression" dxfId="8861" priority="311">
      <formula>C$9&lt;8/24</formula>
    </cfRule>
  </conditionalFormatting>
  <conditionalFormatting sqref="C55">
    <cfRule type="expression" dxfId="8860" priority="304">
      <formula>C$9&gt;=20/24</formula>
    </cfRule>
    <cfRule type="expression" dxfId="8859" priority="305">
      <formula>AND(C$9&gt;=14/24,C$9&lt;20/24)</formula>
    </cfRule>
    <cfRule type="expression" dxfId="8858" priority="306">
      <formula>AND(C$9&gt;=8/24,C$9&lt;14/24)</formula>
    </cfRule>
    <cfRule type="expression" dxfId="8857" priority="307">
      <formula>C$9&lt;8/24</formula>
    </cfRule>
  </conditionalFormatting>
  <conditionalFormatting sqref="C55:C57">
    <cfRule type="expression" dxfId="8856" priority="303">
      <formula>C55&gt;$AG55</formula>
    </cfRule>
  </conditionalFormatting>
  <conditionalFormatting sqref="C49:D49 C69:E71">
    <cfRule type="expression" dxfId="8855" priority="298">
      <formula>C49&gt;$AG49</formula>
    </cfRule>
  </conditionalFormatting>
  <conditionalFormatting sqref="C51:G53">
    <cfRule type="expression" dxfId="8854" priority="281">
      <formula>C$9&gt;=20/24</formula>
    </cfRule>
    <cfRule type="expression" dxfId="8853" priority="282">
      <formula>AND(C$9&gt;=14/24,C$9&lt;20/24)</formula>
    </cfRule>
    <cfRule type="expression" dxfId="8852" priority="283">
      <formula>AND(C$9&gt;=8/24,C$9&lt;14/24)</formula>
    </cfRule>
    <cfRule type="expression" dxfId="8851" priority="284">
      <formula>C$9&lt;8/24</formula>
    </cfRule>
  </conditionalFormatting>
  <conditionalFormatting sqref="C51:G53">
    <cfRule type="expression" dxfId="8850" priority="280">
      <formula>C51&gt;$AG51</formula>
    </cfRule>
  </conditionalFormatting>
  <conditionalFormatting sqref="H36:Z45 H19:Z34 AA31:AF31">
    <cfRule type="expression" dxfId="8849" priority="268">
      <formula>H$9&gt;=20/24</formula>
    </cfRule>
    <cfRule type="expression" dxfId="8848" priority="269">
      <formula>AND(H$9&gt;=14/24,H$9&lt;20/24)</formula>
    </cfRule>
    <cfRule type="expression" dxfId="8847" priority="270">
      <formula>AND(H$9&gt;=8/24,H$9&lt;14/24)</formula>
    </cfRule>
    <cfRule type="expression" dxfId="8846" priority="271">
      <formula>H$9&lt;8/24</formula>
    </cfRule>
  </conditionalFormatting>
  <conditionalFormatting sqref="H36:Z45 H19:Z34 AA31:AF31">
    <cfRule type="expression" dxfId="8845" priority="267">
      <formula>H19&gt;$AG19</formula>
    </cfRule>
  </conditionalFormatting>
  <conditionalFormatting sqref="C67:C68">
    <cfRule type="expression" dxfId="8844" priority="258">
      <formula>C67&gt;$AG67</formula>
    </cfRule>
  </conditionalFormatting>
  <conditionalFormatting sqref="C54">
    <cfRule type="expression" dxfId="8843" priority="250">
      <formula>C$9&gt;=20/24</formula>
    </cfRule>
    <cfRule type="expression" dxfId="8842" priority="251">
      <formula>AND(C$9&gt;=14/24,C$9&lt;20/24)</formula>
    </cfRule>
    <cfRule type="expression" dxfId="8841" priority="252">
      <formula>AND(C$9&gt;=8/24,C$9&lt;14/24)</formula>
    </cfRule>
    <cfRule type="expression" dxfId="8840" priority="253">
      <formula>C$9&lt;8/24</formula>
    </cfRule>
  </conditionalFormatting>
  <conditionalFormatting sqref="C54">
    <cfRule type="expression" dxfId="8839" priority="249">
      <formula>C54&gt;$AG54</formula>
    </cfRule>
  </conditionalFormatting>
  <conditionalFormatting sqref="H47:Z47">
    <cfRule type="expression" dxfId="8838" priority="239">
      <formula>H47&gt;$AG47</formula>
    </cfRule>
  </conditionalFormatting>
  <conditionalFormatting sqref="H13:Z13">
    <cfRule type="expression" dxfId="8837" priority="235">
      <formula>H$9&gt;=20/24</formula>
    </cfRule>
    <cfRule type="expression" dxfId="8836" priority="236">
      <formula>AND(H$9&gt;=14/24,H$9&lt;20/24)</formula>
    </cfRule>
    <cfRule type="expression" dxfId="8835" priority="237">
      <formula>AND(H$9&gt;=8/24,H$9&lt;14/24)</formula>
    </cfRule>
    <cfRule type="expression" dxfId="8834" priority="238">
      <formula>H$9&lt;8/24</formula>
    </cfRule>
  </conditionalFormatting>
  <conditionalFormatting sqref="H13:Z13">
    <cfRule type="expression" dxfId="8833" priority="234">
      <formula>H13&gt;$AG13</formula>
    </cfRule>
  </conditionalFormatting>
  <conditionalFormatting sqref="H47:Z47">
    <cfRule type="expression" dxfId="8832" priority="230">
      <formula>H$9&gt;=20/24</formula>
    </cfRule>
    <cfRule type="expression" dxfId="8831" priority="231">
      <formula>AND(H$9&gt;=14/24,H$9&lt;20/24)</formula>
    </cfRule>
    <cfRule type="expression" dxfId="8830" priority="232">
      <formula>AND(H$9&gt;=8/24,H$9&lt;14/24)</formula>
    </cfRule>
    <cfRule type="expression" dxfId="8829" priority="233">
      <formula>H$9&lt;8/24</formula>
    </cfRule>
  </conditionalFormatting>
  <conditionalFormatting sqref="H48:Z48">
    <cfRule type="expression" dxfId="8828" priority="226">
      <formula>H$9&gt;=20/24</formula>
    </cfRule>
    <cfRule type="expression" dxfId="8827" priority="227">
      <formula>AND(H$9&gt;=14/24,H$9&lt;20/24)</formula>
    </cfRule>
    <cfRule type="expression" dxfId="8826" priority="228">
      <formula>AND(H$9&gt;=8/24,H$9&lt;14/24)</formula>
    </cfRule>
    <cfRule type="expression" dxfId="8825" priority="229">
      <formula>H$9&lt;8/24</formula>
    </cfRule>
  </conditionalFormatting>
  <conditionalFormatting sqref="H48:Z48">
    <cfRule type="expression" dxfId="8824" priority="225">
      <formula>H48&gt;$AG48</formula>
    </cfRule>
  </conditionalFormatting>
  <conditionalFormatting sqref="C50:D50">
    <cfRule type="expression" dxfId="8823" priority="224">
      <formula>C50&gt;$AG50</formula>
    </cfRule>
  </conditionalFormatting>
  <conditionalFormatting sqref="H11:AF11">
    <cfRule type="expression" dxfId="8822" priority="220">
      <formula>H$9&gt;=20/24</formula>
    </cfRule>
    <cfRule type="expression" dxfId="8821" priority="221">
      <formula>AND(H$9&gt;=14/24,H$9&lt;20/24)</formula>
    </cfRule>
    <cfRule type="expression" dxfId="8820" priority="222">
      <formula>AND(H$9&gt;=8/24,H$9&lt;14/24)</formula>
    </cfRule>
    <cfRule type="expression" dxfId="8819" priority="223">
      <formula>H$9&lt;8/24</formula>
    </cfRule>
  </conditionalFormatting>
  <conditionalFormatting sqref="H11:AF11">
    <cfRule type="expression" dxfId="8818" priority="219">
      <formula>H11&gt;$AG11</formula>
    </cfRule>
  </conditionalFormatting>
  <conditionalFormatting sqref="H18:Z18">
    <cfRule type="expression" dxfId="8817" priority="215">
      <formula>H$9&gt;=20/24</formula>
    </cfRule>
    <cfRule type="expression" dxfId="8816" priority="216">
      <formula>AND(H$9&gt;=14/24,H$9&lt;20/24)</formula>
    </cfRule>
    <cfRule type="expression" dxfId="8815" priority="217">
      <formula>AND(H$9&gt;=8/24,H$9&lt;14/24)</formula>
    </cfRule>
    <cfRule type="expression" dxfId="8814" priority="218">
      <formula>H$9&lt;8/24</formula>
    </cfRule>
  </conditionalFormatting>
  <conditionalFormatting sqref="H18:Z18">
    <cfRule type="expression" dxfId="8813" priority="214">
      <formula>H18&gt;$AG18</formula>
    </cfRule>
  </conditionalFormatting>
  <conditionalFormatting sqref="H35:Z35">
    <cfRule type="expression" dxfId="8812" priority="210">
      <formula>H$9&gt;=20/24</formula>
    </cfRule>
    <cfRule type="expression" dxfId="8811" priority="211">
      <formula>AND(H$9&gt;=14/24,H$9&lt;20/24)</formula>
    </cfRule>
    <cfRule type="expression" dxfId="8810" priority="212">
      <formula>AND(H$9&gt;=8/24,H$9&lt;14/24)</formula>
    </cfRule>
    <cfRule type="expression" dxfId="8809" priority="213">
      <formula>H$9&lt;8/24</formula>
    </cfRule>
  </conditionalFormatting>
  <conditionalFormatting sqref="H35:Z35">
    <cfRule type="expression" dxfId="8808" priority="209">
      <formula>H35&gt;$AG35</formula>
    </cfRule>
  </conditionalFormatting>
  <conditionalFormatting sqref="H46:Z46">
    <cfRule type="expression" dxfId="8807" priority="208">
      <formula>H46&gt;$AG46</formula>
    </cfRule>
  </conditionalFormatting>
  <conditionalFormatting sqref="H46:Z46">
    <cfRule type="expression" dxfId="8806" priority="204">
      <formula>H$9&gt;=20/24</formula>
    </cfRule>
    <cfRule type="expression" dxfId="8805" priority="205">
      <formula>AND(H$9&gt;=14/24,H$9&lt;20/24)</formula>
    </cfRule>
    <cfRule type="expression" dxfId="8804" priority="206">
      <formula>AND(H$9&gt;=8/24,H$9&lt;14/24)</formula>
    </cfRule>
    <cfRule type="expression" dxfId="8803" priority="207">
      <formula>H$9&lt;8/24</formula>
    </cfRule>
  </conditionalFormatting>
  <conditionalFormatting sqref="AE55:AF59 AF60">
    <cfRule type="expression" dxfId="8802" priority="196">
      <formula>AE$9&gt;=20/24</formula>
    </cfRule>
    <cfRule type="expression" dxfId="8801" priority="197">
      <formula>AND(AE$9&gt;=14/24,AE$9&lt;20/24)</formula>
    </cfRule>
    <cfRule type="expression" dxfId="8800" priority="198">
      <formula>AND(AE$9&gt;=8/24,AE$9&lt;14/24)</formula>
    </cfRule>
    <cfRule type="expression" dxfId="8799" priority="199">
      <formula>AE$9&lt;8/24</formula>
    </cfRule>
  </conditionalFormatting>
  <conditionalFormatting sqref="AE55:AF59 AF60">
    <cfRule type="expression" dxfId="8798" priority="195">
      <formula>AE55&gt;$AG55</formula>
    </cfRule>
  </conditionalFormatting>
  <conditionalFormatting sqref="AE73">
    <cfRule type="expression" dxfId="8797" priority="186">
      <formula>AE$9&gt;=20/24</formula>
    </cfRule>
    <cfRule type="expression" dxfId="8796" priority="187">
      <formula>AND(AE$9&gt;=14/24,AE$9&lt;20/24)</formula>
    </cfRule>
    <cfRule type="expression" dxfId="8795" priority="188">
      <formula>AND(AE$9&gt;=8/24,AE$9&lt;14/24)</formula>
    </cfRule>
    <cfRule type="expression" dxfId="8794" priority="189">
      <formula>AE$9&lt;8/24</formula>
    </cfRule>
  </conditionalFormatting>
  <conditionalFormatting sqref="AE74">
    <cfRule type="expression" dxfId="8793" priority="182">
      <formula>AE$9&gt;=20/24</formula>
    </cfRule>
    <cfRule type="expression" dxfId="8792" priority="183">
      <formula>AND(AE$9&gt;=14/24,AE$9&lt;20/24)</formula>
    </cfRule>
    <cfRule type="expression" dxfId="8791" priority="184">
      <formula>AND(AE$9&gt;=8/24,AE$9&lt;14/24)</formula>
    </cfRule>
    <cfRule type="expression" dxfId="8790" priority="185">
      <formula>AE$9&lt;8/24</formula>
    </cfRule>
  </conditionalFormatting>
  <conditionalFormatting sqref="B111 B113:B119 B14:G17 B12:G12">
    <cfRule type="expression" dxfId="8789" priority="170">
      <formula>B$9&gt;=20/24</formula>
    </cfRule>
    <cfRule type="expression" dxfId="8788" priority="171">
      <formula>AND(B$9&gt;=14/24,B$9&lt;20/24)</formula>
    </cfRule>
    <cfRule type="expression" dxfId="8787" priority="172">
      <formula>AND(B$9&gt;=8/24,B$9&lt;14/24)</formula>
    </cfRule>
    <cfRule type="expression" dxfId="8786" priority="173">
      <formula>B$9&lt;8/24</formula>
    </cfRule>
  </conditionalFormatting>
  <conditionalFormatting sqref="B14:G17 B12:G12">
    <cfRule type="expression" dxfId="8785" priority="169">
      <formula>B12&gt;$AG12</formula>
    </cfRule>
  </conditionalFormatting>
  <conditionalFormatting sqref="B101">
    <cfRule type="expression" dxfId="8784" priority="165">
      <formula>B$9&gt;=20/24</formula>
    </cfRule>
    <cfRule type="expression" dxfId="8783" priority="166">
      <formula>AND(B$9&gt;=14/24,B$9&lt;20/24)</formula>
    </cfRule>
    <cfRule type="expression" dxfId="8782" priority="167">
      <formula>AND(B$9&gt;=8/24,B$9&lt;14/24)</formula>
    </cfRule>
    <cfRule type="expression" dxfId="8781" priority="168">
      <formula>B$9&lt;8/24</formula>
    </cfRule>
  </conditionalFormatting>
  <conditionalFormatting sqref="B73">
    <cfRule type="expression" dxfId="8780" priority="161">
      <formula>B$9&gt;=20/24</formula>
    </cfRule>
    <cfRule type="expression" dxfId="8779" priority="162">
      <formula>AND(B$9&gt;=14/24,B$9&lt;20/24)</formula>
    </cfRule>
    <cfRule type="expression" dxfId="8778" priority="163">
      <formula>AND(B$9&gt;=8/24,B$9&lt;14/24)</formula>
    </cfRule>
    <cfRule type="expression" dxfId="8777" priority="164">
      <formula>B$9&lt;8/24</formula>
    </cfRule>
  </conditionalFormatting>
  <conditionalFormatting sqref="B88 B98 B102:B108 B49 B74:B75 B69:B71">
    <cfRule type="expression" dxfId="8776" priority="157">
      <formula>B$9&gt;=20/24</formula>
    </cfRule>
    <cfRule type="expression" dxfId="8775" priority="158">
      <formula>AND(B$9&gt;=14/24,B$9&lt;20/24)</formula>
    </cfRule>
    <cfRule type="expression" dxfId="8774" priority="159">
      <formula>AND(B$9&gt;=8/24,B$9&lt;14/24)</formula>
    </cfRule>
    <cfRule type="expression" dxfId="8773" priority="160">
      <formula>B$9&lt;8/24</formula>
    </cfRule>
  </conditionalFormatting>
  <conditionalFormatting sqref="B49 B69:B71">
    <cfRule type="expression" dxfId="8772" priority="156">
      <formula>B49&gt;$AG49</formula>
    </cfRule>
  </conditionalFormatting>
  <conditionalFormatting sqref="B99 B90">
    <cfRule type="expression" dxfId="8771" priority="152">
      <formula>B$9&gt;=20/24</formula>
    </cfRule>
    <cfRule type="expression" dxfId="8770" priority="153">
      <formula>AND(B$9&gt;=14/24,B$9&lt;20/24)</formula>
    </cfRule>
    <cfRule type="expression" dxfId="8769" priority="154">
      <formula>AND(B$9&gt;=8/24,B$9&lt;14/24)</formula>
    </cfRule>
    <cfRule type="expression" dxfId="8768" priority="155">
      <formula>B$9&lt;8/24</formula>
    </cfRule>
  </conditionalFormatting>
  <conditionalFormatting sqref="B93:B97">
    <cfRule type="expression" dxfId="8767" priority="148">
      <formula>B$9&gt;=20/24</formula>
    </cfRule>
    <cfRule type="expression" dxfId="8766" priority="149">
      <formula>AND(B$9&gt;=14/24,B$9&lt;20/24)</formula>
    </cfRule>
    <cfRule type="expression" dxfId="8765" priority="150">
      <formula>AND(B$9&gt;=8/24,B$9&lt;14/24)</formula>
    </cfRule>
    <cfRule type="expression" dxfId="8764" priority="151">
      <formula>B$9&lt;8/24</formula>
    </cfRule>
  </conditionalFormatting>
  <conditionalFormatting sqref="B51:B53">
    <cfRule type="expression" dxfId="8763" priority="144">
      <formula>B$9&gt;=20/24</formula>
    </cfRule>
    <cfRule type="expression" dxfId="8762" priority="145">
      <formula>AND(B$9&gt;=14/24,B$9&lt;20/24)</formula>
    </cfRule>
    <cfRule type="expression" dxfId="8761" priority="146">
      <formula>AND(B$9&gt;=8/24,B$9&lt;14/24)</formula>
    </cfRule>
    <cfRule type="expression" dxfId="8760" priority="147">
      <formula>B$9&lt;8/24</formula>
    </cfRule>
  </conditionalFormatting>
  <conditionalFormatting sqref="B51:B53">
    <cfRule type="expression" dxfId="8759" priority="143">
      <formula>B51&gt;$AG51</formula>
    </cfRule>
  </conditionalFormatting>
  <conditionalFormatting sqref="B109">
    <cfRule type="expression" dxfId="8758" priority="139">
      <formula>B$9&gt;=20/24</formula>
    </cfRule>
    <cfRule type="expression" dxfId="8757" priority="140">
      <formula>AND(B$9&gt;=14/24,B$9&lt;20/24)</formula>
    </cfRule>
    <cfRule type="expression" dxfId="8756" priority="141">
      <formula>AND(B$9&gt;=8/24,B$9&lt;14/24)</formula>
    </cfRule>
    <cfRule type="expression" dxfId="8755" priority="142">
      <formula>B$9&lt;8/24</formula>
    </cfRule>
  </conditionalFormatting>
  <conditionalFormatting sqref="B112">
    <cfRule type="expression" dxfId="8754" priority="135">
      <formula>B$9&gt;=20/24</formula>
    </cfRule>
    <cfRule type="expression" dxfId="8753" priority="136">
      <formula>AND(B$9&gt;=14/24,B$9&lt;20/24)</formula>
    </cfRule>
    <cfRule type="expression" dxfId="8752" priority="137">
      <formula>AND(B$9&gt;=8/24,B$9&lt;14/24)</formula>
    </cfRule>
    <cfRule type="expression" dxfId="8751" priority="138">
      <formula>B$9&lt;8/24</formula>
    </cfRule>
  </conditionalFormatting>
  <conditionalFormatting sqref="B36:G45 B19:G30 B32:G34">
    <cfRule type="expression" dxfId="8750" priority="131">
      <formula>B$9&gt;=20/24</formula>
    </cfRule>
    <cfRule type="expression" dxfId="8749" priority="132">
      <formula>AND(B$9&gt;=14/24,B$9&lt;20/24)</formula>
    </cfRule>
    <cfRule type="expression" dxfId="8748" priority="133">
      <formula>AND(B$9&gt;=8/24,B$9&lt;14/24)</formula>
    </cfRule>
    <cfRule type="expression" dxfId="8747" priority="134">
      <formula>B$9&lt;8/24</formula>
    </cfRule>
  </conditionalFormatting>
  <conditionalFormatting sqref="B36:G45 B19:G30 B32:G34">
    <cfRule type="expression" dxfId="8746" priority="130">
      <formula>B19&gt;$AG19</formula>
    </cfRule>
  </conditionalFormatting>
  <conditionalFormatting sqref="B85:B87">
    <cfRule type="expression" dxfId="8745" priority="126">
      <formula>B$9&gt;=20/24</formula>
    </cfRule>
    <cfRule type="expression" dxfId="8744" priority="127">
      <formula>AND(B$9&gt;=14/24,B$9&lt;20/24)</formula>
    </cfRule>
    <cfRule type="expression" dxfId="8743" priority="128">
      <formula>AND(B$9&gt;=8/24,B$9&lt;14/24)</formula>
    </cfRule>
    <cfRule type="expression" dxfId="8742" priority="129">
      <formula>B$9&lt;8/24</formula>
    </cfRule>
  </conditionalFormatting>
  <conditionalFormatting sqref="B89 B91 B100 B72">
    <cfRule type="expression" dxfId="8741" priority="122">
      <formula>B$9&gt;=20/24</formula>
    </cfRule>
    <cfRule type="expression" dxfId="8740" priority="123">
      <formula>AND(B$9&gt;=14/24,B$9&lt;20/24)</formula>
    </cfRule>
    <cfRule type="expression" dxfId="8739" priority="124">
      <formula>AND(B$9&gt;=8/24,B$9&lt;14/24)</formula>
    </cfRule>
    <cfRule type="expression" dxfId="8738" priority="125">
      <formula>B$9&lt;8/24</formula>
    </cfRule>
  </conditionalFormatting>
  <conditionalFormatting sqref="B72 B67:B68">
    <cfRule type="expression" dxfId="8737" priority="121">
      <formula>B67&gt;$AG67</formula>
    </cfRule>
  </conditionalFormatting>
  <conditionalFormatting sqref="B84">
    <cfRule type="expression" dxfId="8736" priority="117">
      <formula>B$9&gt;=20/24</formula>
    </cfRule>
    <cfRule type="expression" dxfId="8735" priority="118">
      <formula>AND(B$9&gt;=14/24,B$9&lt;20/24)</formula>
    </cfRule>
    <cfRule type="expression" dxfId="8734" priority="119">
      <formula>AND(B$9&gt;=8/24,B$9&lt;14/24)</formula>
    </cfRule>
    <cfRule type="expression" dxfId="8733" priority="120">
      <formula>B$9&lt;8/24</formula>
    </cfRule>
  </conditionalFormatting>
  <conditionalFormatting sqref="B54">
    <cfRule type="expression" dxfId="8732" priority="113">
      <formula>B$9&gt;=20/24</formula>
    </cfRule>
    <cfRule type="expression" dxfId="8731" priority="114">
      <formula>AND(B$9&gt;=14/24,B$9&lt;20/24)</formula>
    </cfRule>
    <cfRule type="expression" dxfId="8730" priority="115">
      <formula>AND(B$9&gt;=8/24,B$9&lt;14/24)</formula>
    </cfRule>
    <cfRule type="expression" dxfId="8729" priority="116">
      <formula>B$9&lt;8/24</formula>
    </cfRule>
  </conditionalFormatting>
  <conditionalFormatting sqref="B54">
    <cfRule type="expression" dxfId="8728" priority="112">
      <formula>B54&gt;$AG54</formula>
    </cfRule>
  </conditionalFormatting>
  <conditionalFormatting sqref="B47:G47">
    <cfRule type="expression" dxfId="8727" priority="107">
      <formula>B47&gt;$AG47</formula>
    </cfRule>
  </conditionalFormatting>
  <conditionalFormatting sqref="B13:G13">
    <cfRule type="expression" dxfId="8726" priority="103">
      <formula>B$9&gt;=20/24</formula>
    </cfRule>
    <cfRule type="expression" dxfId="8725" priority="104">
      <formula>AND(B$9&gt;=14/24,B$9&lt;20/24)</formula>
    </cfRule>
    <cfRule type="expression" dxfId="8724" priority="105">
      <formula>AND(B$9&gt;=8/24,B$9&lt;14/24)</formula>
    </cfRule>
    <cfRule type="expression" dxfId="8723" priority="106">
      <formula>B$9&lt;8/24</formula>
    </cfRule>
  </conditionalFormatting>
  <conditionalFormatting sqref="B13:G13">
    <cfRule type="expression" dxfId="8722" priority="102">
      <formula>B13&gt;$AG13</formula>
    </cfRule>
  </conditionalFormatting>
  <conditionalFormatting sqref="B47:G47">
    <cfRule type="expression" dxfId="8721" priority="98">
      <formula>B$9&gt;=20/24</formula>
    </cfRule>
    <cfRule type="expression" dxfId="8720" priority="99">
      <formula>AND(B$9&gt;=14/24,B$9&lt;20/24)</formula>
    </cfRule>
    <cfRule type="expression" dxfId="8719" priority="100">
      <formula>AND(B$9&gt;=8/24,B$9&lt;14/24)</formula>
    </cfRule>
    <cfRule type="expression" dxfId="8718" priority="101">
      <formula>B$9&lt;8/24</formula>
    </cfRule>
  </conditionalFormatting>
  <conditionalFormatting sqref="B48:G48">
    <cfRule type="expression" dxfId="8717" priority="94">
      <formula>B$9&gt;=20/24</formula>
    </cfRule>
    <cfRule type="expression" dxfId="8716" priority="95">
      <formula>AND(B$9&gt;=14/24,B$9&lt;20/24)</formula>
    </cfRule>
    <cfRule type="expression" dxfId="8715" priority="96">
      <formula>AND(B$9&gt;=8/24,B$9&lt;14/24)</formula>
    </cfRule>
    <cfRule type="expression" dxfId="8714" priority="97">
      <formula>B$9&lt;8/24</formula>
    </cfRule>
  </conditionalFormatting>
  <conditionalFormatting sqref="B48:G48">
    <cfRule type="expression" dxfId="8713" priority="93">
      <formula>B48&gt;$AG48</formula>
    </cfRule>
  </conditionalFormatting>
  <conditionalFormatting sqref="B50">
    <cfRule type="expression" dxfId="8712" priority="92">
      <formula>B50&gt;$AG50</formula>
    </cfRule>
  </conditionalFormatting>
  <conditionalFormatting sqref="B11:G11">
    <cfRule type="expression" dxfId="8711" priority="88">
      <formula>B$9&gt;=20/24</formula>
    </cfRule>
    <cfRule type="expression" dxfId="8710" priority="89">
      <formula>AND(B$9&gt;=14/24,B$9&lt;20/24)</formula>
    </cfRule>
    <cfRule type="expression" dxfId="8709" priority="90">
      <formula>AND(B$9&gt;=8/24,B$9&lt;14/24)</formula>
    </cfRule>
    <cfRule type="expression" dxfId="8708" priority="91">
      <formula>B$9&lt;8/24</formula>
    </cfRule>
  </conditionalFormatting>
  <conditionalFormatting sqref="B11:G11">
    <cfRule type="expression" dxfId="8707" priority="87">
      <formula>B11&gt;$AG11</formula>
    </cfRule>
  </conditionalFormatting>
  <conditionalFormatting sqref="B18:G18">
    <cfRule type="expression" dxfId="8706" priority="83">
      <formula>B$9&gt;=20/24</formula>
    </cfRule>
    <cfRule type="expression" dxfId="8705" priority="84">
      <formula>AND(B$9&gt;=14/24,B$9&lt;20/24)</formula>
    </cfRule>
    <cfRule type="expression" dxfId="8704" priority="85">
      <formula>AND(B$9&gt;=8/24,B$9&lt;14/24)</formula>
    </cfRule>
    <cfRule type="expression" dxfId="8703" priority="86">
      <formula>B$9&lt;8/24</formula>
    </cfRule>
  </conditionalFormatting>
  <conditionalFormatting sqref="B18:G18">
    <cfRule type="expression" dxfId="8702" priority="82">
      <formula>B18&gt;$AG18</formula>
    </cfRule>
  </conditionalFormatting>
  <conditionalFormatting sqref="B35:G35">
    <cfRule type="expression" dxfId="8701" priority="78">
      <formula>B$9&gt;=20/24</formula>
    </cfRule>
    <cfRule type="expression" dxfId="8700" priority="79">
      <formula>AND(B$9&gt;=14/24,B$9&lt;20/24)</formula>
    </cfRule>
    <cfRule type="expression" dxfId="8699" priority="80">
      <formula>AND(B$9&gt;=8/24,B$9&lt;14/24)</formula>
    </cfRule>
    <cfRule type="expression" dxfId="8698" priority="81">
      <formula>B$9&lt;8/24</formula>
    </cfRule>
  </conditionalFormatting>
  <conditionalFormatting sqref="B35:G35">
    <cfRule type="expression" dxfId="8697" priority="77">
      <formula>B35&gt;$AG35</formula>
    </cfRule>
  </conditionalFormatting>
  <conditionalFormatting sqref="B46:G46">
    <cfRule type="expression" dxfId="8696" priority="76">
      <formula>B46&gt;$AG46</formula>
    </cfRule>
  </conditionalFormatting>
  <conditionalFormatting sqref="B46:G46">
    <cfRule type="expression" dxfId="8695" priority="72">
      <formula>B$9&gt;=20/24</formula>
    </cfRule>
    <cfRule type="expression" dxfId="8694" priority="73">
      <formula>AND(B$9&gt;=14/24,B$9&lt;20/24)</formula>
    </cfRule>
    <cfRule type="expression" dxfId="8693" priority="74">
      <formula>AND(B$9&gt;=8/24,B$9&lt;14/24)</formula>
    </cfRule>
    <cfRule type="expression" dxfId="8692" priority="75">
      <formula>B$9&lt;8/24</formula>
    </cfRule>
  </conditionalFormatting>
  <conditionalFormatting sqref="B120">
    <cfRule type="expression" dxfId="8691" priority="68">
      <formula>B$9&gt;=20/24</formula>
    </cfRule>
    <cfRule type="expression" dxfId="8690" priority="69">
      <formula>AND(B$9&gt;=14/24,B$9&lt;20/24)</formula>
    </cfRule>
    <cfRule type="expression" dxfId="8689" priority="70">
      <formula>AND(B$9&gt;=8/24,B$9&lt;14/24)</formula>
    </cfRule>
    <cfRule type="expression" dxfId="8688" priority="71">
      <formula>B$9&lt;8/24</formula>
    </cfRule>
  </conditionalFormatting>
  <conditionalFormatting sqref="B31:G31">
    <cfRule type="expression" dxfId="8687" priority="64">
      <formula>B$9&gt;=20/24</formula>
    </cfRule>
    <cfRule type="expression" dxfId="8686" priority="65">
      <formula>AND(B$9&gt;=14/24,B$9&lt;20/24)</formula>
    </cfRule>
    <cfRule type="expression" dxfId="8685" priority="66">
      <formula>AND(B$9&gt;=8/24,B$9&lt;14/24)</formula>
    </cfRule>
    <cfRule type="expression" dxfId="8684" priority="67">
      <formula>B$9&lt;8/24</formula>
    </cfRule>
  </conditionalFormatting>
  <conditionalFormatting sqref="B31:G31">
    <cfRule type="expression" dxfId="8683" priority="63">
      <formula>B31&gt;$AG31</formula>
    </cfRule>
  </conditionalFormatting>
  <conditionalFormatting sqref="B55:B60 C58:G60">
    <cfRule type="expression" dxfId="8682" priority="59">
      <formula>B$9&gt;=20/24</formula>
    </cfRule>
    <cfRule type="expression" dxfId="8681" priority="60">
      <formula>AND(B$9&gt;=14/24,B$9&lt;20/24)</formula>
    </cfRule>
    <cfRule type="expression" dxfId="8680" priority="61">
      <formula>AND(B$9&gt;=8/24,B$9&lt;14/24)</formula>
    </cfRule>
    <cfRule type="expression" dxfId="8679" priority="62">
      <formula>B$9&lt;8/24</formula>
    </cfRule>
  </conditionalFormatting>
  <conditionalFormatting sqref="B55:B60 C58:G60">
    <cfRule type="expression" dxfId="8678" priority="58">
      <formula>B55&gt;$AG55</formula>
    </cfRule>
  </conditionalFormatting>
  <conditionalFormatting sqref="B61:G66">
    <cfRule type="expression" dxfId="8677" priority="54">
      <formula>B$9&gt;=20/24</formula>
    </cfRule>
    <cfRule type="expression" dxfId="8676" priority="55">
      <formula>AND(B$9&gt;=14/24,B$9&lt;20/24)</formula>
    </cfRule>
    <cfRule type="expression" dxfId="8675" priority="56">
      <formula>AND(B$9&gt;=8/24,B$9&lt;14/24)</formula>
    </cfRule>
    <cfRule type="expression" dxfId="8674" priority="57">
      <formula>B$9&lt;8/24</formula>
    </cfRule>
  </conditionalFormatting>
  <conditionalFormatting sqref="B61:G66">
    <cfRule type="expression" dxfId="8673" priority="53">
      <formula>B61&gt;$AG61</formula>
    </cfRule>
  </conditionalFormatting>
  <conditionalFormatting sqref="B76:B78">
    <cfRule type="expression" dxfId="8672" priority="49">
      <formula>B$9&gt;=20/24</formula>
    </cfRule>
    <cfRule type="expression" dxfId="8671" priority="50">
      <formula>AND(B$9&gt;=14/24,B$9&lt;20/24)</formula>
    </cfRule>
    <cfRule type="expression" dxfId="8670" priority="51">
      <formula>AND(B$9&gt;=8/24,B$9&lt;14/24)</formula>
    </cfRule>
    <cfRule type="expression" dxfId="8669" priority="52">
      <formula>B$9&lt;8/24</formula>
    </cfRule>
  </conditionalFormatting>
  <conditionalFormatting sqref="B79:B83">
    <cfRule type="expression" dxfId="8668" priority="45">
      <formula>B$9&gt;=20/24</formula>
    </cfRule>
    <cfRule type="expression" dxfId="8667" priority="46">
      <formula>AND(B$9&gt;=14/24,B$9&lt;20/24)</formula>
    </cfRule>
    <cfRule type="expression" dxfId="8666" priority="47">
      <formula>AND(B$9&gt;=8/24,B$9&lt;14/24)</formula>
    </cfRule>
    <cfRule type="expression" dxfId="8665" priority="48">
      <formula>B$9&lt;8/24</formula>
    </cfRule>
  </conditionalFormatting>
  <conditionalFormatting sqref="I51:I53 J52:O53">
    <cfRule type="expression" dxfId="8664" priority="41">
      <formula>I$9&gt;=20/24</formula>
    </cfRule>
    <cfRule type="expression" dxfId="8663" priority="42">
      <formula>AND(I$9&gt;=14/24,I$9&lt;20/24)</formula>
    </cfRule>
    <cfRule type="expression" dxfId="8662" priority="43">
      <formula>AND(I$9&gt;=8/24,I$9&lt;14/24)</formula>
    </cfRule>
    <cfRule type="expression" dxfId="8661" priority="44">
      <formula>I$9&lt;8/24</formula>
    </cfRule>
  </conditionalFormatting>
  <conditionalFormatting sqref="I51:I53 J52:O53">
    <cfRule type="expression" dxfId="8660" priority="40">
      <formula>I51&gt;$AG51</formula>
    </cfRule>
  </conditionalFormatting>
  <conditionalFormatting sqref="I56:O57">
    <cfRule type="expression" dxfId="8659" priority="36">
      <formula>I$9&gt;=20/24</formula>
    </cfRule>
    <cfRule type="expression" dxfId="8658" priority="37">
      <formula>AND(I$9&gt;=14/24,I$9&lt;20/24)</formula>
    </cfRule>
    <cfRule type="expression" dxfId="8657" priority="38">
      <formula>AND(I$9&gt;=8/24,I$9&lt;14/24)</formula>
    </cfRule>
    <cfRule type="expression" dxfId="8656" priority="39">
      <formula>I$9&lt;8/24</formula>
    </cfRule>
  </conditionalFormatting>
  <conditionalFormatting sqref="I55:O55">
    <cfRule type="expression" dxfId="8655" priority="32">
      <formula>I$9&gt;=20/24</formula>
    </cfRule>
    <cfRule type="expression" dxfId="8654" priority="33">
      <formula>AND(I$9&gt;=14/24,I$9&lt;20/24)</formula>
    </cfRule>
    <cfRule type="expression" dxfId="8653" priority="34">
      <formula>AND(I$9&gt;=8/24,I$9&lt;14/24)</formula>
    </cfRule>
    <cfRule type="expression" dxfId="8652" priority="35">
      <formula>I$9&lt;8/24</formula>
    </cfRule>
  </conditionalFormatting>
  <conditionalFormatting sqref="I55:O57">
    <cfRule type="expression" dxfId="8651" priority="31">
      <formula>I55&gt;$AG55</formula>
    </cfRule>
  </conditionalFormatting>
  <conditionalFormatting sqref="I58:O60 P60:Z60">
    <cfRule type="expression" dxfId="8650" priority="27">
      <formula>I$9&gt;=20/24</formula>
    </cfRule>
    <cfRule type="expression" dxfId="8649" priority="28">
      <formula>AND(I$9&gt;=14/24,I$9&lt;20/24)</formula>
    </cfRule>
    <cfRule type="expression" dxfId="8648" priority="29">
      <formula>AND(I$9&gt;=8/24,I$9&lt;14/24)</formula>
    </cfRule>
    <cfRule type="expression" dxfId="8647" priority="30">
      <formula>I$9&lt;8/24</formula>
    </cfRule>
  </conditionalFormatting>
  <conditionalFormatting sqref="I58:O60 P60:Z60">
    <cfRule type="expression" dxfId="8646" priority="26">
      <formula>I58&gt;$AG58</formula>
    </cfRule>
  </conditionalFormatting>
  <conditionalFormatting sqref="I61:Z66">
    <cfRule type="expression" dxfId="8645" priority="22">
      <formula>I$9&gt;=20/24</formula>
    </cfRule>
    <cfRule type="expression" dxfId="8644" priority="23">
      <formula>AND(I$9&gt;=14/24,I$9&lt;20/24)</formula>
    </cfRule>
    <cfRule type="expression" dxfId="8643" priority="24">
      <formula>AND(I$9&gt;=8/24,I$9&lt;14/24)</formula>
    </cfRule>
    <cfRule type="expression" dxfId="8642" priority="25">
      <formula>I$9&lt;8/24</formula>
    </cfRule>
  </conditionalFormatting>
  <conditionalFormatting sqref="I61:Z66">
    <cfRule type="expression" dxfId="8641" priority="21">
      <formula>I61&gt;$AG61</formula>
    </cfRule>
  </conditionalFormatting>
  <conditionalFormatting sqref="I73:N73">
    <cfRule type="expression" dxfId="8640" priority="17">
      <formula>I$9&gt;=20/24</formula>
    </cfRule>
    <cfRule type="expression" dxfId="8639" priority="18">
      <formula>AND(I$9&gt;=14/24,I$9&lt;20/24)</formula>
    </cfRule>
    <cfRule type="expression" dxfId="8638" priority="19">
      <formula>AND(I$9&gt;=8/24,I$9&lt;14/24)</formula>
    </cfRule>
    <cfRule type="expression" dxfId="8637" priority="20">
      <formula>I$9&lt;8/24</formula>
    </cfRule>
  </conditionalFormatting>
  <conditionalFormatting sqref="I74:N83">
    <cfRule type="expression" dxfId="8636" priority="13">
      <formula>I$9&gt;=20/24</formula>
    </cfRule>
    <cfRule type="expression" dxfId="8635" priority="14">
      <formula>AND(I$9&gt;=14/24,I$9&lt;20/24)</formula>
    </cfRule>
    <cfRule type="expression" dxfId="8634" priority="15">
      <formula>AND(I$9&gt;=8/24,I$9&lt;14/24)</formula>
    </cfRule>
    <cfRule type="expression" dxfId="8633" priority="16">
      <formula>I$9&lt;8/24</formula>
    </cfRule>
  </conditionalFormatting>
  <conditionalFormatting sqref="I111 I113:I119">
    <cfRule type="expression" dxfId="8632" priority="9">
      <formula>I$9&gt;=20/24</formula>
    </cfRule>
    <cfRule type="expression" dxfId="8631" priority="10">
      <formula>AND(I$9&gt;=14/24,I$9&lt;20/24)</formula>
    </cfRule>
    <cfRule type="expression" dxfId="8630" priority="11">
      <formula>AND(I$9&gt;=8/24,I$9&lt;14/24)</formula>
    </cfRule>
    <cfRule type="expression" dxfId="8629" priority="12">
      <formula>I$9&lt;8/24</formula>
    </cfRule>
  </conditionalFormatting>
  <conditionalFormatting sqref="I112">
    <cfRule type="expression" dxfId="8628" priority="5">
      <formula>I$9&gt;=20/24</formula>
    </cfRule>
    <cfRule type="expression" dxfId="8627" priority="6">
      <formula>AND(I$9&gt;=14/24,I$9&lt;20/24)</formula>
    </cfRule>
    <cfRule type="expression" dxfId="8626" priority="7">
      <formula>AND(I$9&gt;=8/24,I$9&lt;14/24)</formula>
    </cfRule>
    <cfRule type="expression" dxfId="8625" priority="8">
      <formula>I$9&lt;8/24</formula>
    </cfRule>
  </conditionalFormatting>
  <conditionalFormatting sqref="I120">
    <cfRule type="expression" dxfId="8624" priority="1">
      <formula>I$9&gt;=20/24</formula>
    </cfRule>
    <cfRule type="expression" dxfId="8623" priority="2">
      <formula>AND(I$9&gt;=14/24,I$9&lt;20/24)</formula>
    </cfRule>
    <cfRule type="expression" dxfId="8622" priority="3">
      <formula>AND(I$9&gt;=8/24,I$9&lt;14/24)</formula>
    </cfRule>
    <cfRule type="expression" dxfId="8621" priority="4">
      <formula>I$9&lt;8/24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29" id="{66BFA284-79FF-4CB4-9F2C-F1CDBCA4024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0" id="{BDDCF04D-1F94-4CE0-A73F-CD5CB41D28C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1" id="{78ADADED-4D85-45FA-965F-404B9CFE75A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2" id="{1A5E9FF2-3F66-4F71-ABBC-99BC67AD1A6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108" id="{15F12C3B-AC5B-4102-8849-06348DEF58B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9" id="{FB30EE32-490C-470F-A7F5-708081E6075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0" id="{B354DFEF-79BE-460A-8F46-E4C97B8BBEA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1" id="{9BFDC23E-A1B3-4C1C-AC52-C1658B36C55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CJ281"/>
  <sheetViews>
    <sheetView zoomScale="85" zoomScaleNormal="85" workbookViewId="0">
      <pane ySplit="10" topLeftCell="A89" activePane="bottomLeft" state="frozen"/>
      <selection activeCell="Z85" sqref="Z85"/>
      <selection pane="bottomLeft" activeCell="AM91" sqref="AM9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2080/02/14</v>
      </c>
      <c r="C4" s="191"/>
      <c r="D4" s="191"/>
      <c r="E4" s="192" t="str">
        <f ca="1">"2080/"&amp;"02/"&amp;INT(MID(CELL("filename",G6),FIND("]",CELL("filename",G6))+1,200))</f>
        <v>2080/02/14</v>
      </c>
      <c r="F4" s="192"/>
      <c r="G4" s="192"/>
      <c r="H4" s="192" t="str">
        <f>TEXT(E6,"dddd")</f>
        <v>Saturday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17.8</v>
      </c>
      <c r="C5" s="30">
        <f t="shared" si="0"/>
        <v>47</v>
      </c>
      <c r="D5" s="30">
        <f t="shared" si="0"/>
        <v>22</v>
      </c>
      <c r="E5" s="30">
        <f t="shared" si="0"/>
        <v>0</v>
      </c>
      <c r="F5" s="30">
        <f t="shared" si="0"/>
        <v>0</v>
      </c>
      <c r="G5" s="30">
        <f t="shared" si="0"/>
        <v>10</v>
      </c>
      <c r="H5" s="30">
        <f t="shared" si="0"/>
        <v>44</v>
      </c>
      <c r="I5" s="30">
        <f t="shared" si="0"/>
        <v>52</v>
      </c>
      <c r="J5" s="30">
        <f t="shared" si="0"/>
        <v>32</v>
      </c>
      <c r="K5" s="30">
        <f t="shared" si="0"/>
        <v>23.2</v>
      </c>
      <c r="L5" s="30">
        <f t="shared" si="0"/>
        <v>24</v>
      </c>
      <c r="M5" s="30">
        <f t="shared" si="0"/>
        <v>70</v>
      </c>
      <c r="N5" s="30">
        <f t="shared" si="0"/>
        <v>86.1</v>
      </c>
      <c r="O5" s="30">
        <f t="shared" si="0"/>
        <v>197.3</v>
      </c>
      <c r="P5" s="30">
        <f t="shared" si="0"/>
        <v>160.9</v>
      </c>
      <c r="Q5" s="30">
        <f t="shared" si="0"/>
        <v>0</v>
      </c>
      <c r="R5" s="30">
        <f t="shared" si="0"/>
        <v>41</v>
      </c>
      <c r="S5" s="30">
        <f t="shared" si="0"/>
        <v>85.4</v>
      </c>
      <c r="T5" s="30">
        <f t="shared" si="0"/>
        <v>138.80000000000001</v>
      </c>
      <c r="U5" s="30">
        <f t="shared" si="0"/>
        <v>306.5</v>
      </c>
      <c r="V5" s="30">
        <f t="shared" si="0"/>
        <v>190.5</v>
      </c>
      <c r="W5" s="30">
        <f t="shared" si="0"/>
        <v>141.5</v>
      </c>
      <c r="X5" s="30">
        <f t="shared" si="0"/>
        <v>133.5</v>
      </c>
      <c r="Y5" s="30">
        <f t="shared" si="0"/>
        <v>146.6</v>
      </c>
      <c r="Z5" s="30">
        <f t="shared" si="0"/>
        <v>92.499999999999986</v>
      </c>
      <c r="AA5" s="30">
        <f t="shared" si="0"/>
        <v>147.4</v>
      </c>
      <c r="AB5" s="30">
        <f t="shared" si="0"/>
        <v>147.4</v>
      </c>
      <c r="AC5" s="30">
        <f t="shared" si="0"/>
        <v>226.2</v>
      </c>
      <c r="AD5" s="30">
        <f t="shared" si="0"/>
        <v>286</v>
      </c>
      <c r="AE5" s="30">
        <f t="shared" si="0"/>
        <v>278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1476MW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1401.74</v>
      </c>
      <c r="C7" s="35">
        <f t="shared" si="1"/>
        <v>1343.54</v>
      </c>
      <c r="D7" s="35">
        <f t="shared" si="1"/>
        <v>1318.54</v>
      </c>
      <c r="E7" s="35">
        <f t="shared" si="1"/>
        <v>1285.44</v>
      </c>
      <c r="F7" s="35">
        <f t="shared" si="1"/>
        <v>1231.1399999999999</v>
      </c>
      <c r="G7" s="35">
        <f t="shared" si="1"/>
        <v>1231.1399999999999</v>
      </c>
      <c r="H7" s="35">
        <f t="shared" si="1"/>
        <v>1276.1399999999999</v>
      </c>
      <c r="I7" s="35">
        <f t="shared" si="1"/>
        <v>1323.1399999999999</v>
      </c>
      <c r="J7" s="35">
        <f t="shared" si="1"/>
        <v>1397.54</v>
      </c>
      <c r="K7" s="35">
        <f t="shared" si="1"/>
        <v>1368.3400000000001</v>
      </c>
      <c r="L7" s="35">
        <f t="shared" si="1"/>
        <v>1460.14</v>
      </c>
      <c r="M7" s="35">
        <f t="shared" si="1"/>
        <v>1465.34</v>
      </c>
      <c r="N7" s="35">
        <f>N91</f>
        <v>1475.54</v>
      </c>
      <c r="O7" s="35">
        <f t="shared" si="1"/>
        <v>1486.0399999999997</v>
      </c>
      <c r="P7" s="35">
        <f t="shared" si="1"/>
        <v>1548.74</v>
      </c>
      <c r="Q7" s="35">
        <f t="shared" si="1"/>
        <v>1491.44</v>
      </c>
      <c r="R7" s="35">
        <f t="shared" si="1"/>
        <v>3.54</v>
      </c>
      <c r="S7" s="35">
        <f t="shared" si="1"/>
        <v>1514.1399999999999</v>
      </c>
      <c r="T7" s="35">
        <f t="shared" si="1"/>
        <v>1593.54</v>
      </c>
      <c r="U7" s="35">
        <f t="shared" si="1"/>
        <v>1459.4399999999998</v>
      </c>
      <c r="V7" s="35">
        <f t="shared" si="1"/>
        <v>1541.64</v>
      </c>
      <c r="W7" s="35">
        <f t="shared" si="1"/>
        <v>1470.8400000000001</v>
      </c>
      <c r="X7" s="35">
        <f t="shared" si="1"/>
        <v>1542.3400000000001</v>
      </c>
      <c r="Y7" s="35">
        <f t="shared" si="1"/>
        <v>1584.3400000000001</v>
      </c>
      <c r="Z7" s="35">
        <f t="shared" si="1"/>
        <v>1693.54</v>
      </c>
      <c r="AA7" s="35">
        <f t="shared" si="1"/>
        <v>1731.8400000000001</v>
      </c>
      <c r="AB7" s="35">
        <f t="shared" si="1"/>
        <v>1643.14</v>
      </c>
      <c r="AC7" s="35">
        <f t="shared" si="1"/>
        <v>1601.5400000000002</v>
      </c>
      <c r="AD7" s="35">
        <f t="shared" si="1"/>
        <v>1628.3400000000001</v>
      </c>
      <c r="AE7" s="35">
        <f t="shared" si="1"/>
        <v>1613.64</v>
      </c>
      <c r="AF7" s="35">
        <f t="shared" si="1"/>
        <v>1587.94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38</v>
      </c>
      <c r="C11" s="45">
        <v>38</v>
      </c>
      <c r="D11" s="45">
        <v>38</v>
      </c>
      <c r="E11" s="45">
        <v>38</v>
      </c>
      <c r="F11" s="45">
        <v>38</v>
      </c>
      <c r="G11" s="45">
        <v>38</v>
      </c>
      <c r="H11" s="45">
        <v>38</v>
      </c>
      <c r="I11" s="45">
        <v>38</v>
      </c>
      <c r="J11" s="45">
        <v>38</v>
      </c>
      <c r="K11" s="45">
        <v>38</v>
      </c>
      <c r="L11" s="45">
        <v>40.799999999999997</v>
      </c>
      <c r="M11" s="45">
        <v>40.799999999999997</v>
      </c>
      <c r="N11" s="45">
        <v>40.799999999999997</v>
      </c>
      <c r="O11" s="45">
        <v>40.799999999999997</v>
      </c>
      <c r="P11" s="45">
        <v>40.799999999999997</v>
      </c>
      <c r="Q11" s="45">
        <v>36</v>
      </c>
      <c r="R11" s="45"/>
      <c r="S11" s="45">
        <v>36</v>
      </c>
      <c r="T11" s="45">
        <v>36</v>
      </c>
      <c r="U11" s="45">
        <v>36</v>
      </c>
      <c r="V11" s="45">
        <v>36</v>
      </c>
      <c r="W11" s="45">
        <v>36</v>
      </c>
      <c r="X11" s="45">
        <v>36</v>
      </c>
      <c r="Y11" s="45">
        <v>36</v>
      </c>
      <c r="Z11" s="45">
        <v>36</v>
      </c>
      <c r="AA11" s="45">
        <v>36</v>
      </c>
      <c r="AB11" s="45">
        <v>36</v>
      </c>
      <c r="AC11" s="45">
        <v>36</v>
      </c>
      <c r="AD11" s="45">
        <v>36</v>
      </c>
      <c r="AE11" s="45">
        <v>36</v>
      </c>
      <c r="AF11" s="45">
        <v>36</v>
      </c>
      <c r="AG11" s="46">
        <v>86</v>
      </c>
      <c r="AH11" s="47">
        <f t="shared" ref="AH11:AH76" si="2">MAX(B11:AF11)</f>
        <v>40.799999999999997</v>
      </c>
      <c r="AI11" s="48">
        <f t="shared" ref="AI11:AI76" si="3">MIN(B11:AF11)</f>
        <v>36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20</v>
      </c>
      <c r="C12" s="45">
        <v>20</v>
      </c>
      <c r="D12" s="45">
        <v>20</v>
      </c>
      <c r="E12" s="45">
        <v>15</v>
      </c>
      <c r="F12" s="45">
        <v>15</v>
      </c>
      <c r="G12" s="45">
        <v>15</v>
      </c>
      <c r="H12" s="45">
        <v>15</v>
      </c>
      <c r="I12" s="45">
        <v>15</v>
      </c>
      <c r="J12" s="45">
        <v>28</v>
      </c>
      <c r="K12" s="45">
        <v>28</v>
      </c>
      <c r="L12" s="45">
        <v>28</v>
      </c>
      <c r="M12" s="45">
        <v>28</v>
      </c>
      <c r="N12" s="45">
        <v>28</v>
      </c>
      <c r="O12" s="45">
        <v>28</v>
      </c>
      <c r="P12" s="45">
        <v>28</v>
      </c>
      <c r="Q12" s="45">
        <v>25</v>
      </c>
      <c r="R12" s="45"/>
      <c r="S12" s="45">
        <v>25</v>
      </c>
      <c r="T12" s="45">
        <v>25</v>
      </c>
      <c r="U12" s="45">
        <v>25</v>
      </c>
      <c r="V12" s="45">
        <v>25</v>
      </c>
      <c r="W12" s="45">
        <v>25</v>
      </c>
      <c r="X12" s="45">
        <v>25</v>
      </c>
      <c r="Y12" s="45">
        <v>25</v>
      </c>
      <c r="Z12" s="45">
        <v>25</v>
      </c>
      <c r="AA12" s="45">
        <v>25</v>
      </c>
      <c r="AB12" s="45">
        <v>25</v>
      </c>
      <c r="AC12" s="45">
        <v>25</v>
      </c>
      <c r="AD12" s="45">
        <v>25</v>
      </c>
      <c r="AE12" s="45">
        <v>25</v>
      </c>
      <c r="AF12" s="45">
        <v>25</v>
      </c>
      <c r="AG12" s="50">
        <v>54</v>
      </c>
      <c r="AH12" s="47">
        <f t="shared" si="2"/>
        <v>28</v>
      </c>
      <c r="AI12" s="48">
        <f t="shared" si="3"/>
        <v>15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25</v>
      </c>
      <c r="C13" s="45">
        <v>25</v>
      </c>
      <c r="D13" s="45">
        <v>25</v>
      </c>
      <c r="E13" s="45">
        <v>28.6</v>
      </c>
      <c r="F13" s="45">
        <v>28.7</v>
      </c>
      <c r="G13" s="45">
        <v>28.7</v>
      </c>
      <c r="H13" s="45">
        <v>28.7</v>
      </c>
      <c r="I13" s="45">
        <v>28.7</v>
      </c>
      <c r="J13" s="45">
        <v>28.7</v>
      </c>
      <c r="K13" s="45">
        <v>24</v>
      </c>
      <c r="L13" s="45">
        <v>24.4</v>
      </c>
      <c r="M13" s="45">
        <v>24.4</v>
      </c>
      <c r="N13" s="45">
        <v>24.4</v>
      </c>
      <c r="O13" s="45">
        <v>24.4</v>
      </c>
      <c r="P13" s="45">
        <v>24.4</v>
      </c>
      <c r="Q13" s="45">
        <v>24.1</v>
      </c>
      <c r="R13" s="45"/>
      <c r="S13" s="45">
        <v>24.1</v>
      </c>
      <c r="T13" s="45">
        <v>7.3</v>
      </c>
      <c r="U13" s="45">
        <v>7.3</v>
      </c>
      <c r="V13" s="45">
        <v>7.3</v>
      </c>
      <c r="W13" s="45">
        <v>7.3</v>
      </c>
      <c r="X13" s="45">
        <v>7.3</v>
      </c>
      <c r="Y13" s="45">
        <v>7.3</v>
      </c>
      <c r="Z13" s="45">
        <v>7.3</v>
      </c>
      <c r="AA13" s="45">
        <v>23</v>
      </c>
      <c r="AB13" s="45">
        <v>23</v>
      </c>
      <c r="AC13" s="45">
        <v>23</v>
      </c>
      <c r="AD13" s="45">
        <v>23</v>
      </c>
      <c r="AE13" s="45">
        <v>23</v>
      </c>
      <c r="AF13" s="45">
        <v>23</v>
      </c>
      <c r="AG13" s="46">
        <v>52.4</v>
      </c>
      <c r="AH13" s="47">
        <f t="shared" si="2"/>
        <v>28.7</v>
      </c>
      <c r="AI13" s="48">
        <f t="shared" si="3"/>
        <v>7.3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50.5</v>
      </c>
      <c r="C14" s="58">
        <v>50.5</v>
      </c>
      <c r="D14" s="58">
        <v>50.5</v>
      </c>
      <c r="E14" s="58">
        <v>50.6</v>
      </c>
      <c r="F14" s="58">
        <v>50.3</v>
      </c>
      <c r="G14" s="58">
        <v>50.3</v>
      </c>
      <c r="H14" s="58">
        <v>50.3</v>
      </c>
      <c r="I14" s="58">
        <v>50.3</v>
      </c>
      <c r="J14" s="58">
        <v>50.3</v>
      </c>
      <c r="K14" s="58">
        <v>50.3</v>
      </c>
      <c r="L14" s="58">
        <v>50.2</v>
      </c>
      <c r="M14" s="58">
        <v>50.2</v>
      </c>
      <c r="N14" s="58">
        <v>50.2</v>
      </c>
      <c r="O14" s="58">
        <v>50.2</v>
      </c>
      <c r="P14" s="58">
        <v>50.2</v>
      </c>
      <c r="Q14" s="58">
        <v>50.5</v>
      </c>
      <c r="R14" s="58"/>
      <c r="S14" s="58">
        <v>50.5</v>
      </c>
      <c r="T14" s="58">
        <v>50.2</v>
      </c>
      <c r="U14" s="58">
        <v>50.2</v>
      </c>
      <c r="V14" s="58">
        <v>50.2</v>
      </c>
      <c r="W14" s="58">
        <v>50.2</v>
      </c>
      <c r="X14" s="58">
        <v>50.2</v>
      </c>
      <c r="Y14" s="58">
        <v>50.2</v>
      </c>
      <c r="Z14" s="58">
        <v>50.2</v>
      </c>
      <c r="AA14" s="45">
        <v>50.2</v>
      </c>
      <c r="AB14" s="45">
        <v>50.2</v>
      </c>
      <c r="AC14" s="45">
        <v>50.2</v>
      </c>
      <c r="AD14" s="45">
        <v>50.2</v>
      </c>
      <c r="AE14" s="45">
        <v>50.2</v>
      </c>
      <c r="AF14" s="45">
        <v>50.2</v>
      </c>
      <c r="AG14" s="50">
        <v>50</v>
      </c>
      <c r="AH14" s="47">
        <f t="shared" si="2"/>
        <v>50.6</v>
      </c>
      <c r="AI14" s="48">
        <f t="shared" si="3"/>
        <v>50.2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31.5</v>
      </c>
      <c r="C15" s="45">
        <v>31.5</v>
      </c>
      <c r="D15" s="45">
        <v>31.5</v>
      </c>
      <c r="E15" s="45">
        <v>31.4</v>
      </c>
      <c r="F15" s="45">
        <v>27.7</v>
      </c>
      <c r="G15" s="45">
        <v>27.7</v>
      </c>
      <c r="H15" s="45">
        <v>27.7</v>
      </c>
      <c r="I15" s="45">
        <v>27.7</v>
      </c>
      <c r="J15" s="45">
        <v>27.7</v>
      </c>
      <c r="K15" s="45">
        <v>26.3</v>
      </c>
      <c r="L15" s="45">
        <v>26.9</v>
      </c>
      <c r="M15" s="45">
        <v>26.9</v>
      </c>
      <c r="N15" s="45">
        <v>26.9</v>
      </c>
      <c r="O15" s="45">
        <v>26.9</v>
      </c>
      <c r="P15" s="45">
        <v>26.9</v>
      </c>
      <c r="Q15" s="45">
        <v>24.7</v>
      </c>
      <c r="R15" s="45"/>
      <c r="S15" s="45">
        <v>24.7</v>
      </c>
      <c r="T15" s="45">
        <v>24.7</v>
      </c>
      <c r="U15" s="45">
        <v>24.7</v>
      </c>
      <c r="V15" s="45">
        <v>24.7</v>
      </c>
      <c r="W15" s="45">
        <v>24.7</v>
      </c>
      <c r="X15" s="45">
        <v>24.7</v>
      </c>
      <c r="Y15" s="45">
        <v>24.7</v>
      </c>
      <c r="Z15" s="45">
        <v>24.7</v>
      </c>
      <c r="AA15" s="45">
        <v>24.7</v>
      </c>
      <c r="AB15" s="45">
        <v>24.7</v>
      </c>
      <c r="AC15" s="45">
        <v>24.7</v>
      </c>
      <c r="AD15" s="45">
        <v>24.7</v>
      </c>
      <c r="AE15" s="45">
        <v>24.7</v>
      </c>
      <c r="AF15" s="45">
        <v>24.7</v>
      </c>
      <c r="AG15" s="50">
        <v>45</v>
      </c>
      <c r="AH15" s="47">
        <f t="shared" si="2"/>
        <v>31.5</v>
      </c>
      <c r="AI15" s="48">
        <f t="shared" si="3"/>
        <v>24.7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40</v>
      </c>
      <c r="C16" s="45">
        <v>40</v>
      </c>
      <c r="D16" s="45">
        <v>40</v>
      </c>
      <c r="E16" s="45">
        <v>40</v>
      </c>
      <c r="F16" s="45">
        <v>40</v>
      </c>
      <c r="G16" s="45">
        <v>40</v>
      </c>
      <c r="H16" s="45">
        <v>40</v>
      </c>
      <c r="I16" s="45">
        <v>40</v>
      </c>
      <c r="J16" s="45">
        <v>40</v>
      </c>
      <c r="K16" s="45">
        <v>40</v>
      </c>
      <c r="L16" s="45">
        <v>40</v>
      </c>
      <c r="M16" s="45">
        <v>32</v>
      </c>
      <c r="N16" s="45">
        <v>29</v>
      </c>
      <c r="O16" s="45">
        <v>30</v>
      </c>
      <c r="P16" s="45">
        <v>30.8</v>
      </c>
      <c r="Q16" s="45">
        <v>31</v>
      </c>
      <c r="R16" s="45"/>
      <c r="S16" s="45">
        <v>31</v>
      </c>
      <c r="T16" s="45">
        <v>31</v>
      </c>
      <c r="U16" s="45">
        <v>31</v>
      </c>
      <c r="V16" s="45">
        <v>31</v>
      </c>
      <c r="W16" s="45">
        <v>31</v>
      </c>
      <c r="X16" s="45">
        <v>31</v>
      </c>
      <c r="Y16" s="45">
        <v>31</v>
      </c>
      <c r="Z16" s="45">
        <v>31</v>
      </c>
      <c r="AA16" s="45">
        <v>31</v>
      </c>
      <c r="AB16" s="45">
        <v>31</v>
      </c>
      <c r="AC16" s="45">
        <v>31</v>
      </c>
      <c r="AD16" s="45">
        <v>31</v>
      </c>
      <c r="AE16" s="45">
        <v>31</v>
      </c>
      <c r="AF16" s="45">
        <v>31</v>
      </c>
      <c r="AG16" s="50">
        <v>44</v>
      </c>
      <c r="AH16" s="47">
        <f>MAX(B16:AG16)</f>
        <v>44</v>
      </c>
      <c r="AI16" s="48">
        <f>MIN(B16:AG16)</f>
        <v>29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22</v>
      </c>
      <c r="C17" s="45">
        <v>22</v>
      </c>
      <c r="D17" s="45">
        <v>22</v>
      </c>
      <c r="E17" s="45">
        <v>24</v>
      </c>
      <c r="F17" s="45">
        <v>22.1</v>
      </c>
      <c r="G17" s="45">
        <v>22.1</v>
      </c>
      <c r="H17" s="45">
        <v>22.1</v>
      </c>
      <c r="I17" s="45">
        <v>22.1</v>
      </c>
      <c r="J17" s="45">
        <v>22.1</v>
      </c>
      <c r="K17" s="45">
        <v>21</v>
      </c>
      <c r="L17" s="45">
        <v>21</v>
      </c>
      <c r="M17" s="45">
        <v>21</v>
      </c>
      <c r="N17" s="45">
        <v>21</v>
      </c>
      <c r="O17" s="45">
        <v>21</v>
      </c>
      <c r="P17" s="45">
        <v>21</v>
      </c>
      <c r="Q17" s="45">
        <v>20</v>
      </c>
      <c r="R17" s="45"/>
      <c r="S17" s="45">
        <v>20</v>
      </c>
      <c r="T17" s="45">
        <v>20</v>
      </c>
      <c r="U17" s="45">
        <v>20</v>
      </c>
      <c r="V17" s="45">
        <v>20</v>
      </c>
      <c r="W17" s="45">
        <v>20</v>
      </c>
      <c r="X17" s="45">
        <v>20</v>
      </c>
      <c r="Y17" s="45">
        <v>20</v>
      </c>
      <c r="Z17" s="45">
        <v>20</v>
      </c>
      <c r="AA17" s="45">
        <v>20</v>
      </c>
      <c r="AB17" s="45">
        <v>20</v>
      </c>
      <c r="AC17" s="45">
        <v>20</v>
      </c>
      <c r="AD17" s="45">
        <v>20</v>
      </c>
      <c r="AE17" s="45">
        <v>20</v>
      </c>
      <c r="AF17" s="45">
        <v>20</v>
      </c>
      <c r="AG17" s="50">
        <v>42</v>
      </c>
      <c r="AH17" s="47">
        <f t="shared" si="2"/>
        <v>24</v>
      </c>
      <c r="AI17" s="48">
        <f t="shared" si="3"/>
        <v>20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24</v>
      </c>
      <c r="C18" s="45">
        <v>24</v>
      </c>
      <c r="D18" s="45">
        <v>24</v>
      </c>
      <c r="E18" s="45">
        <v>24</v>
      </c>
      <c r="F18" s="45">
        <v>24</v>
      </c>
      <c r="G18" s="45">
        <v>24</v>
      </c>
      <c r="H18" s="45">
        <v>24</v>
      </c>
      <c r="I18" s="45">
        <v>24</v>
      </c>
      <c r="J18" s="45">
        <v>24</v>
      </c>
      <c r="K18" s="45">
        <v>24</v>
      </c>
      <c r="L18" s="45">
        <v>24</v>
      </c>
      <c r="M18" s="45">
        <v>24</v>
      </c>
      <c r="N18" s="45">
        <v>24</v>
      </c>
      <c r="O18" s="45">
        <v>24</v>
      </c>
      <c r="P18" s="45">
        <v>24</v>
      </c>
      <c r="Q18" s="45">
        <v>24</v>
      </c>
      <c r="R18" s="45"/>
      <c r="S18" s="45">
        <v>24</v>
      </c>
      <c r="T18" s="45">
        <v>24</v>
      </c>
      <c r="U18" s="45">
        <v>24</v>
      </c>
      <c r="V18" s="45">
        <v>24</v>
      </c>
      <c r="W18" s="45">
        <v>24</v>
      </c>
      <c r="X18" s="45">
        <v>24</v>
      </c>
      <c r="Y18" s="45">
        <v>24</v>
      </c>
      <c r="Z18" s="45">
        <v>24</v>
      </c>
      <c r="AA18" s="45">
        <v>24</v>
      </c>
      <c r="AB18" s="45">
        <v>24</v>
      </c>
      <c r="AC18" s="45">
        <v>24</v>
      </c>
      <c r="AD18" s="45">
        <v>24</v>
      </c>
      <c r="AE18" s="45">
        <v>24</v>
      </c>
      <c r="AF18" s="45">
        <v>24</v>
      </c>
      <c r="AG18" s="50">
        <v>38.46</v>
      </c>
      <c r="AH18" s="47">
        <f t="shared" si="2"/>
        <v>24</v>
      </c>
      <c r="AI18" s="48">
        <f t="shared" si="3"/>
        <v>24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12</v>
      </c>
      <c r="C19" s="45">
        <v>12</v>
      </c>
      <c r="D19" s="45">
        <v>12</v>
      </c>
      <c r="E19" s="45">
        <v>12</v>
      </c>
      <c r="F19" s="45">
        <v>12</v>
      </c>
      <c r="G19" s="45">
        <v>12</v>
      </c>
      <c r="H19" s="45">
        <v>12</v>
      </c>
      <c r="I19" s="45">
        <v>12</v>
      </c>
      <c r="J19" s="45">
        <v>12</v>
      </c>
      <c r="K19" s="45">
        <v>12</v>
      </c>
      <c r="L19" s="45">
        <v>12</v>
      </c>
      <c r="M19" s="45">
        <v>21.4</v>
      </c>
      <c r="N19" s="45">
        <v>21.4</v>
      </c>
      <c r="O19" s="45">
        <v>21.5</v>
      </c>
      <c r="P19" s="45">
        <v>20.8</v>
      </c>
      <c r="Q19" s="45">
        <v>19.5</v>
      </c>
      <c r="R19" s="45"/>
      <c r="S19" s="45">
        <v>19.5</v>
      </c>
      <c r="T19" s="45">
        <v>19.5</v>
      </c>
      <c r="U19" s="45">
        <v>19.5</v>
      </c>
      <c r="V19" s="45">
        <v>19.5</v>
      </c>
      <c r="W19" s="45">
        <v>19.5</v>
      </c>
      <c r="X19" s="45">
        <v>19.5</v>
      </c>
      <c r="Y19" s="45">
        <v>19.5</v>
      </c>
      <c r="Z19" s="45">
        <v>19.5</v>
      </c>
      <c r="AA19" s="45">
        <v>19.5</v>
      </c>
      <c r="AB19" s="45">
        <v>19.5</v>
      </c>
      <c r="AC19" s="45">
        <v>19.5</v>
      </c>
      <c r="AD19" s="45">
        <v>19.5</v>
      </c>
      <c r="AE19" s="45">
        <v>19.5</v>
      </c>
      <c r="AF19" s="45">
        <v>19.5</v>
      </c>
      <c r="AG19" s="50">
        <v>36</v>
      </c>
      <c r="AH19" s="47">
        <f t="shared" si="2"/>
        <v>21.5</v>
      </c>
      <c r="AI19" s="48">
        <f t="shared" si="3"/>
        <v>12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15</v>
      </c>
      <c r="C20" s="45">
        <v>15</v>
      </c>
      <c r="D20" s="45">
        <v>15</v>
      </c>
      <c r="E20" s="45">
        <v>12</v>
      </c>
      <c r="F20" s="45">
        <v>12</v>
      </c>
      <c r="G20" s="45">
        <v>12</v>
      </c>
      <c r="H20" s="45">
        <v>12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14.7</v>
      </c>
      <c r="R20" s="45"/>
      <c r="S20" s="45">
        <v>14.7</v>
      </c>
      <c r="T20" s="45">
        <v>14.7</v>
      </c>
      <c r="U20" s="45">
        <v>14.7</v>
      </c>
      <c r="V20" s="45">
        <v>14.7</v>
      </c>
      <c r="W20" s="45">
        <v>14.7</v>
      </c>
      <c r="X20" s="45">
        <v>14.7</v>
      </c>
      <c r="Y20" s="45">
        <v>14.7</v>
      </c>
      <c r="Z20" s="45">
        <v>14.7</v>
      </c>
      <c r="AA20" s="45">
        <v>14.7</v>
      </c>
      <c r="AB20" s="45">
        <v>14.7</v>
      </c>
      <c r="AC20" s="45">
        <v>14.7</v>
      </c>
      <c r="AD20" s="45">
        <v>14.7</v>
      </c>
      <c r="AE20" s="45">
        <v>14.7</v>
      </c>
      <c r="AF20" s="45">
        <v>14.7</v>
      </c>
      <c r="AG20" s="51">
        <v>30</v>
      </c>
      <c r="AH20" s="47">
        <f t="shared" si="2"/>
        <v>15</v>
      </c>
      <c r="AI20" s="48">
        <f t="shared" si="3"/>
        <v>12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15.4</v>
      </c>
      <c r="C21" s="45">
        <v>15.4</v>
      </c>
      <c r="D21" s="45">
        <v>15.4</v>
      </c>
      <c r="E21" s="45">
        <v>15.4</v>
      </c>
      <c r="F21" s="45">
        <v>14.9</v>
      </c>
      <c r="G21" s="45">
        <v>14.9</v>
      </c>
      <c r="H21" s="45">
        <v>14.9</v>
      </c>
      <c r="I21" s="45">
        <v>14.9</v>
      </c>
      <c r="J21" s="45">
        <v>14.9</v>
      </c>
      <c r="K21" s="45">
        <v>13</v>
      </c>
      <c r="L21" s="45">
        <v>13.2</v>
      </c>
      <c r="M21" s="45">
        <v>13.2</v>
      </c>
      <c r="N21" s="45">
        <v>13.2</v>
      </c>
      <c r="O21" s="45">
        <v>13.2</v>
      </c>
      <c r="P21" s="45">
        <v>13.2</v>
      </c>
      <c r="Q21" s="45">
        <v>13.2</v>
      </c>
      <c r="R21" s="45"/>
      <c r="S21" s="45">
        <v>13.2</v>
      </c>
      <c r="T21" s="45">
        <v>13.2</v>
      </c>
      <c r="U21" s="45">
        <v>13.2</v>
      </c>
      <c r="V21" s="45">
        <v>13.2</v>
      </c>
      <c r="W21" s="45">
        <v>13.2</v>
      </c>
      <c r="X21" s="45">
        <v>13.2</v>
      </c>
      <c r="Y21" s="45">
        <v>13.2</v>
      </c>
      <c r="Z21" s="45">
        <v>13.2</v>
      </c>
      <c r="AA21" s="45">
        <v>13.2</v>
      </c>
      <c r="AB21" s="45">
        <v>13.2</v>
      </c>
      <c r="AC21" s="45">
        <v>13.2</v>
      </c>
      <c r="AD21" s="45">
        <v>13.2</v>
      </c>
      <c r="AE21" s="45">
        <v>13.2</v>
      </c>
      <c r="AF21" s="45">
        <v>13.2</v>
      </c>
      <c r="AG21" s="50">
        <v>24.2</v>
      </c>
      <c r="AH21" s="47">
        <f t="shared" si="2"/>
        <v>15.4</v>
      </c>
      <c r="AI21" s="48">
        <f t="shared" si="3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/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0">
        <v>28</v>
      </c>
      <c r="AH22" s="47">
        <f t="shared" si="2"/>
        <v>12</v>
      </c>
      <c r="AI22" s="48">
        <f t="shared" si="3"/>
        <v>12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/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30</v>
      </c>
      <c r="AH23" s="47">
        <f t="shared" si="2"/>
        <v>15</v>
      </c>
      <c r="AI23" s="48">
        <f t="shared" si="3"/>
        <v>15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18</v>
      </c>
      <c r="C24" s="45">
        <v>18</v>
      </c>
      <c r="D24" s="45">
        <v>18</v>
      </c>
      <c r="E24" s="45">
        <v>18</v>
      </c>
      <c r="F24" s="45">
        <v>18</v>
      </c>
      <c r="G24" s="45">
        <v>18</v>
      </c>
      <c r="H24" s="45">
        <v>18</v>
      </c>
      <c r="I24" s="45">
        <v>18</v>
      </c>
      <c r="J24" s="45">
        <v>18</v>
      </c>
      <c r="K24" s="45">
        <v>17.7</v>
      </c>
      <c r="L24" s="45">
        <v>18</v>
      </c>
      <c r="M24" s="45">
        <v>18</v>
      </c>
      <c r="N24" s="45">
        <v>18</v>
      </c>
      <c r="O24" s="45">
        <v>18</v>
      </c>
      <c r="P24" s="45">
        <v>18</v>
      </c>
      <c r="Q24" s="45">
        <v>13.1</v>
      </c>
      <c r="R24" s="45"/>
      <c r="S24" s="45">
        <v>13.1</v>
      </c>
      <c r="T24" s="45">
        <v>13.1</v>
      </c>
      <c r="U24" s="45">
        <v>13.1</v>
      </c>
      <c r="V24" s="45">
        <v>13.1</v>
      </c>
      <c r="W24" s="45">
        <v>13.1</v>
      </c>
      <c r="X24" s="45">
        <v>13.1</v>
      </c>
      <c r="Y24" s="45">
        <v>13.1</v>
      </c>
      <c r="Z24" s="45">
        <v>13.1</v>
      </c>
      <c r="AA24" s="45">
        <v>13.1</v>
      </c>
      <c r="AB24" s="45">
        <v>13.1</v>
      </c>
      <c r="AC24" s="45">
        <v>13.1</v>
      </c>
      <c r="AD24" s="45">
        <v>13.1</v>
      </c>
      <c r="AE24" s="45">
        <v>13.1</v>
      </c>
      <c r="AF24" s="45">
        <v>13.1</v>
      </c>
      <c r="AG24" s="50">
        <v>25</v>
      </c>
      <c r="AH24" s="47">
        <f t="shared" si="2"/>
        <v>18</v>
      </c>
      <c r="AI24" s="48">
        <f t="shared" si="3"/>
        <v>13.1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13</v>
      </c>
      <c r="C25" s="45">
        <v>13</v>
      </c>
      <c r="D25" s="45">
        <v>13</v>
      </c>
      <c r="E25" s="45">
        <v>13</v>
      </c>
      <c r="F25" s="45">
        <v>13</v>
      </c>
      <c r="G25" s="45">
        <v>13</v>
      </c>
      <c r="H25" s="45">
        <v>13</v>
      </c>
      <c r="I25" s="45">
        <v>13</v>
      </c>
      <c r="J25" s="45">
        <v>13</v>
      </c>
      <c r="K25" s="45">
        <v>0</v>
      </c>
      <c r="L25" s="45">
        <v>0</v>
      </c>
      <c r="M25" s="45">
        <v>13</v>
      </c>
      <c r="N25" s="45">
        <v>13</v>
      </c>
      <c r="O25" s="45">
        <v>13</v>
      </c>
      <c r="P25" s="45">
        <v>13</v>
      </c>
      <c r="Q25" s="45">
        <v>13</v>
      </c>
      <c r="R25" s="45"/>
      <c r="S25" s="45">
        <v>13</v>
      </c>
      <c r="T25" s="45">
        <v>13</v>
      </c>
      <c r="U25" s="45">
        <v>13</v>
      </c>
      <c r="V25" s="45">
        <v>13</v>
      </c>
      <c r="W25" s="45">
        <v>13</v>
      </c>
      <c r="X25" s="45">
        <v>13</v>
      </c>
      <c r="Y25" s="45">
        <v>13</v>
      </c>
      <c r="Z25" s="45">
        <v>13</v>
      </c>
      <c r="AA25" s="45">
        <v>13</v>
      </c>
      <c r="AB25" s="45">
        <v>13</v>
      </c>
      <c r="AC25" s="45">
        <v>13</v>
      </c>
      <c r="AD25" s="45">
        <v>13</v>
      </c>
      <c r="AE25" s="45">
        <v>13</v>
      </c>
      <c r="AF25" s="45">
        <v>13</v>
      </c>
      <c r="AG25" s="50">
        <v>25</v>
      </c>
      <c r="AH25" s="47">
        <f t="shared" si="2"/>
        <v>13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9</v>
      </c>
      <c r="N26" s="45">
        <v>9</v>
      </c>
      <c r="O26" s="45">
        <v>9</v>
      </c>
      <c r="P26" s="45">
        <v>9</v>
      </c>
      <c r="Q26" s="45">
        <v>9</v>
      </c>
      <c r="R26" s="45"/>
      <c r="S26" s="45">
        <v>9</v>
      </c>
      <c r="T26" s="45">
        <v>9</v>
      </c>
      <c r="U26" s="45">
        <v>9</v>
      </c>
      <c r="V26" s="45">
        <v>9</v>
      </c>
      <c r="W26" s="45">
        <v>9</v>
      </c>
      <c r="X26" s="45">
        <v>9</v>
      </c>
      <c r="Y26" s="45">
        <v>9</v>
      </c>
      <c r="Z26" s="45">
        <v>9</v>
      </c>
      <c r="AA26" s="45">
        <v>9</v>
      </c>
      <c r="AB26" s="45">
        <v>9</v>
      </c>
      <c r="AC26" s="45">
        <v>9</v>
      </c>
      <c r="AD26" s="45">
        <v>9</v>
      </c>
      <c r="AE26" s="45">
        <v>9</v>
      </c>
      <c r="AF26" s="45">
        <v>9</v>
      </c>
      <c r="AG26" s="50">
        <v>25</v>
      </c>
      <c r="AH26" s="47">
        <f t="shared" si="2"/>
        <v>25</v>
      </c>
      <c r="AI26" s="48">
        <f t="shared" si="3"/>
        <v>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15</v>
      </c>
      <c r="C27" s="45">
        <v>15</v>
      </c>
      <c r="D27" s="45">
        <v>15</v>
      </c>
      <c r="E27" s="45">
        <v>15</v>
      </c>
      <c r="F27" s="45">
        <v>15</v>
      </c>
      <c r="G27" s="45">
        <v>15</v>
      </c>
      <c r="H27" s="45">
        <v>15</v>
      </c>
      <c r="I27" s="45">
        <v>15</v>
      </c>
      <c r="J27" s="45">
        <v>15</v>
      </c>
      <c r="K27" s="45">
        <v>15</v>
      </c>
      <c r="L27" s="45">
        <v>15</v>
      </c>
      <c r="M27" s="45">
        <v>15</v>
      </c>
      <c r="N27" s="45">
        <v>15</v>
      </c>
      <c r="O27" s="45">
        <v>15</v>
      </c>
      <c r="P27" s="45">
        <v>15</v>
      </c>
      <c r="Q27" s="45">
        <v>13</v>
      </c>
      <c r="R27" s="45"/>
      <c r="S27" s="45">
        <v>13</v>
      </c>
      <c r="T27" s="45">
        <v>13</v>
      </c>
      <c r="U27" s="45">
        <v>13</v>
      </c>
      <c r="V27" s="45">
        <v>13</v>
      </c>
      <c r="W27" s="45">
        <v>13</v>
      </c>
      <c r="X27" s="45">
        <v>13</v>
      </c>
      <c r="Y27" s="45">
        <v>13</v>
      </c>
      <c r="Z27" s="45">
        <v>13</v>
      </c>
      <c r="AA27" s="45">
        <v>13</v>
      </c>
      <c r="AB27" s="45">
        <v>13</v>
      </c>
      <c r="AC27" s="45">
        <v>13</v>
      </c>
      <c r="AD27" s="45">
        <v>13</v>
      </c>
      <c r="AE27" s="45">
        <v>13</v>
      </c>
      <c r="AF27" s="45">
        <v>13</v>
      </c>
      <c r="AG27" s="50">
        <v>25</v>
      </c>
      <c r="AH27" s="47">
        <f t="shared" si="2"/>
        <v>15</v>
      </c>
      <c r="AI27" s="48">
        <f t="shared" si="3"/>
        <v>13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8.6999999999999993</v>
      </c>
      <c r="C28" s="45">
        <v>8.6999999999999993</v>
      </c>
      <c r="D28" s="45">
        <v>8.6999999999999993</v>
      </c>
      <c r="E28" s="45">
        <v>11.9</v>
      </c>
      <c r="F28" s="45">
        <v>11.9</v>
      </c>
      <c r="G28" s="45">
        <v>11.9</v>
      </c>
      <c r="H28" s="45">
        <v>11.9</v>
      </c>
      <c r="I28" s="45">
        <v>11.9</v>
      </c>
      <c r="J28" s="45">
        <v>11.9</v>
      </c>
      <c r="K28" s="45">
        <v>11.9</v>
      </c>
      <c r="L28" s="45">
        <v>11.9</v>
      </c>
      <c r="M28" s="45">
        <v>11.9</v>
      </c>
      <c r="N28" s="45">
        <v>11.9</v>
      </c>
      <c r="O28" s="45">
        <v>11.9</v>
      </c>
      <c r="P28" s="45">
        <v>11.9</v>
      </c>
      <c r="Q28" s="45">
        <v>10.5</v>
      </c>
      <c r="R28" s="45"/>
      <c r="S28" s="45">
        <v>10.5</v>
      </c>
      <c r="T28" s="45">
        <v>10.5</v>
      </c>
      <c r="U28" s="45">
        <v>10.5</v>
      </c>
      <c r="V28" s="45">
        <v>10.5</v>
      </c>
      <c r="W28" s="45">
        <v>10.5</v>
      </c>
      <c r="X28" s="45">
        <v>10.5</v>
      </c>
      <c r="Y28" s="45">
        <v>10.5</v>
      </c>
      <c r="Z28" s="45">
        <v>10.5</v>
      </c>
      <c r="AA28" s="45">
        <v>10.5</v>
      </c>
      <c r="AB28" s="45">
        <v>10.5</v>
      </c>
      <c r="AC28" s="45">
        <v>10.5</v>
      </c>
      <c r="AD28" s="45">
        <v>10.5</v>
      </c>
      <c r="AE28" s="45">
        <v>10.5</v>
      </c>
      <c r="AF28" s="45">
        <v>10.5</v>
      </c>
      <c r="AG28" s="50">
        <v>23.5</v>
      </c>
      <c r="AH28" s="47">
        <f t="shared" si="2"/>
        <v>11.9</v>
      </c>
      <c r="AI28" s="48">
        <f t="shared" si="3"/>
        <v>8.6999999999999993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/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22.2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3.5</v>
      </c>
      <c r="C30" s="45">
        <v>3.5</v>
      </c>
      <c r="D30" s="45">
        <v>3.5</v>
      </c>
      <c r="E30" s="45">
        <v>3.5</v>
      </c>
      <c r="F30" s="45">
        <v>3.5</v>
      </c>
      <c r="G30" s="45">
        <v>3.5</v>
      </c>
      <c r="H30" s="45">
        <v>3.5</v>
      </c>
      <c r="I30" s="45">
        <v>3.5</v>
      </c>
      <c r="J30" s="45">
        <v>3.5</v>
      </c>
      <c r="K30" s="45">
        <v>3.5</v>
      </c>
      <c r="L30" s="45">
        <v>3.5</v>
      </c>
      <c r="M30" s="45">
        <v>3.5</v>
      </c>
      <c r="N30" s="45">
        <v>3.5</v>
      </c>
      <c r="O30" s="45">
        <v>3.5</v>
      </c>
      <c r="P30" s="45">
        <v>3.5</v>
      </c>
      <c r="Q30" s="45">
        <v>3.5</v>
      </c>
      <c r="R30" s="45" t="s">
        <v>268</v>
      </c>
      <c r="S30" s="45">
        <v>3.5</v>
      </c>
      <c r="T30" s="45">
        <v>3.5</v>
      </c>
      <c r="U30" s="45">
        <v>3.5</v>
      </c>
      <c r="V30" s="45">
        <v>3.5</v>
      </c>
      <c r="W30" s="45">
        <v>3.5</v>
      </c>
      <c r="X30" s="45">
        <v>3.5</v>
      </c>
      <c r="Y30" s="45">
        <v>3.5</v>
      </c>
      <c r="Z30" s="45">
        <v>3.5</v>
      </c>
      <c r="AA30" s="45">
        <v>3.5</v>
      </c>
      <c r="AB30" s="45">
        <v>3.5</v>
      </c>
      <c r="AC30" s="45">
        <v>3.5</v>
      </c>
      <c r="AD30" s="45">
        <v>3.5</v>
      </c>
      <c r="AE30" s="45">
        <v>3.5</v>
      </c>
      <c r="AF30" s="45">
        <v>3.5</v>
      </c>
      <c r="AG30" s="50">
        <v>22.1</v>
      </c>
      <c r="AH30" s="47">
        <f t="shared" si="2"/>
        <v>3.5</v>
      </c>
      <c r="AI30" s="48">
        <f t="shared" si="3"/>
        <v>3.5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 t="s">
        <v>269</v>
      </c>
      <c r="S31" s="45">
        <v>6</v>
      </c>
      <c r="T31" s="45">
        <v>6</v>
      </c>
      <c r="U31" s="45">
        <v>6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50">
        <v>22</v>
      </c>
      <c r="AH31" s="47">
        <f t="shared" si="2"/>
        <v>6</v>
      </c>
      <c r="AI31" s="48">
        <f t="shared" si="3"/>
        <v>6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 t="s">
        <v>268</v>
      </c>
      <c r="S32" s="45">
        <v>20</v>
      </c>
      <c r="T32" s="45">
        <v>20</v>
      </c>
      <c r="U32" s="45">
        <v>20</v>
      </c>
      <c r="V32" s="45">
        <v>20</v>
      </c>
      <c r="W32" s="45">
        <v>20</v>
      </c>
      <c r="X32" s="45">
        <v>20</v>
      </c>
      <c r="Y32" s="45">
        <v>20</v>
      </c>
      <c r="Z32" s="45">
        <v>20</v>
      </c>
      <c r="AA32" s="45">
        <v>20</v>
      </c>
      <c r="AB32" s="45">
        <v>20</v>
      </c>
      <c r="AC32" s="45">
        <v>20</v>
      </c>
      <c r="AD32" s="45">
        <v>20</v>
      </c>
      <c r="AE32" s="45">
        <v>20</v>
      </c>
      <c r="AF32" s="45">
        <v>20</v>
      </c>
      <c r="AG32" s="50">
        <v>22</v>
      </c>
      <c r="AH32" s="47">
        <f t="shared" si="2"/>
        <v>22</v>
      </c>
      <c r="AI32" s="48">
        <f t="shared" si="3"/>
        <v>20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15</v>
      </c>
      <c r="C33" s="45">
        <v>15</v>
      </c>
      <c r="D33" s="45">
        <v>15</v>
      </c>
      <c r="E33" s="45">
        <v>15</v>
      </c>
      <c r="F33" s="45">
        <v>15</v>
      </c>
      <c r="G33" s="45">
        <v>15</v>
      </c>
      <c r="H33" s="45">
        <v>15</v>
      </c>
      <c r="I33" s="45">
        <v>15</v>
      </c>
      <c r="J33" s="45">
        <v>15</v>
      </c>
      <c r="K33" s="45">
        <v>15</v>
      </c>
      <c r="L33" s="45">
        <v>15</v>
      </c>
      <c r="M33" s="45">
        <v>12</v>
      </c>
      <c r="N33" s="45">
        <v>12</v>
      </c>
      <c r="O33" s="45">
        <v>12</v>
      </c>
      <c r="P33" s="45">
        <v>9</v>
      </c>
      <c r="Q33" s="45">
        <v>9</v>
      </c>
      <c r="R33" s="45" t="s">
        <v>270</v>
      </c>
      <c r="S33" s="45">
        <v>9</v>
      </c>
      <c r="T33" s="45">
        <v>9</v>
      </c>
      <c r="U33" s="45">
        <v>9</v>
      </c>
      <c r="V33" s="45">
        <v>9</v>
      </c>
      <c r="W33" s="45">
        <v>9</v>
      </c>
      <c r="X33" s="45">
        <v>9</v>
      </c>
      <c r="Y33" s="45">
        <v>9</v>
      </c>
      <c r="Z33" s="45">
        <v>9</v>
      </c>
      <c r="AA33" s="45">
        <v>9</v>
      </c>
      <c r="AB33" s="45">
        <v>9</v>
      </c>
      <c r="AC33" s="45">
        <v>9</v>
      </c>
      <c r="AD33" s="45">
        <v>9</v>
      </c>
      <c r="AE33" s="45">
        <v>9</v>
      </c>
      <c r="AF33" s="45">
        <v>9</v>
      </c>
      <c r="AG33" s="50">
        <v>20</v>
      </c>
      <c r="AH33" s="47">
        <f t="shared" si="2"/>
        <v>15</v>
      </c>
      <c r="AI33" s="48">
        <f t="shared" si="3"/>
        <v>9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 t="s">
        <v>271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50">
        <v>18</v>
      </c>
      <c r="AH34" s="47">
        <f t="shared" si="2"/>
        <v>8</v>
      </c>
      <c r="AI34" s="48">
        <f t="shared" si="3"/>
        <v>8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14</v>
      </c>
      <c r="H35" s="45">
        <v>14</v>
      </c>
      <c r="I35" s="45">
        <v>14</v>
      </c>
      <c r="J35" s="45">
        <v>14</v>
      </c>
      <c r="K35" s="45">
        <v>14</v>
      </c>
      <c r="L35" s="45">
        <v>14</v>
      </c>
      <c r="M35" s="45">
        <v>14</v>
      </c>
      <c r="N35" s="45">
        <v>14</v>
      </c>
      <c r="O35" s="45">
        <v>14</v>
      </c>
      <c r="P35" s="45">
        <v>14</v>
      </c>
      <c r="Q35" s="45">
        <v>14</v>
      </c>
      <c r="R35" s="45" t="s">
        <v>272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14</v>
      </c>
      <c r="AC35" s="45">
        <v>14</v>
      </c>
      <c r="AD35" s="45">
        <v>14</v>
      </c>
      <c r="AE35" s="45">
        <v>14</v>
      </c>
      <c r="AF35" s="45">
        <v>14</v>
      </c>
      <c r="AG35" s="50">
        <v>14.9</v>
      </c>
      <c r="AH35" s="47">
        <f t="shared" si="2"/>
        <v>14</v>
      </c>
      <c r="AI35" s="48">
        <f t="shared" si="3"/>
        <v>14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6.2</v>
      </c>
      <c r="C36" s="45">
        <v>6.2</v>
      </c>
      <c r="D36" s="45">
        <v>6.2</v>
      </c>
      <c r="E36" s="45">
        <v>6.2</v>
      </c>
      <c r="F36" s="45">
        <v>6.2</v>
      </c>
      <c r="G36" s="45">
        <v>6.2</v>
      </c>
      <c r="H36" s="45">
        <v>6.2</v>
      </c>
      <c r="I36" s="45">
        <v>6.2</v>
      </c>
      <c r="J36" s="45">
        <v>6.2</v>
      </c>
      <c r="K36" s="45">
        <v>6.2</v>
      </c>
      <c r="L36" s="45">
        <v>6.2</v>
      </c>
      <c r="M36" s="45">
        <v>6.2</v>
      </c>
      <c r="N36" s="45">
        <v>6.2</v>
      </c>
      <c r="O36" s="45">
        <v>6.2</v>
      </c>
      <c r="P36" s="45">
        <v>6.2</v>
      </c>
      <c r="Q36" s="45">
        <v>6.2</v>
      </c>
      <c r="R36" s="45"/>
      <c r="S36" s="45">
        <v>6.2</v>
      </c>
      <c r="T36" s="45">
        <v>6.2</v>
      </c>
      <c r="U36" s="45">
        <v>6.2</v>
      </c>
      <c r="V36" s="45">
        <v>6.2</v>
      </c>
      <c r="W36" s="45">
        <v>6.2</v>
      </c>
      <c r="X36" s="45">
        <v>6.2</v>
      </c>
      <c r="Y36" s="45">
        <v>6.2</v>
      </c>
      <c r="Z36" s="45">
        <v>6.2</v>
      </c>
      <c r="AA36" s="45">
        <v>6.2</v>
      </c>
      <c r="AB36" s="45">
        <v>6.2</v>
      </c>
      <c r="AC36" s="45">
        <v>6.2</v>
      </c>
      <c r="AD36" s="45">
        <v>6.2</v>
      </c>
      <c r="AE36" s="45">
        <v>6.2</v>
      </c>
      <c r="AF36" s="45">
        <v>6.2</v>
      </c>
      <c r="AG36" s="50">
        <v>14.9</v>
      </c>
      <c r="AH36" s="47">
        <f t="shared" si="2"/>
        <v>6.2</v>
      </c>
      <c r="AI36" s="48">
        <f t="shared" si="3"/>
        <v>6.2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/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13.6</v>
      </c>
      <c r="AH37" s="47">
        <f t="shared" si="2"/>
        <v>7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3</v>
      </c>
      <c r="C38" s="45">
        <v>3</v>
      </c>
      <c r="D38" s="45">
        <v>3</v>
      </c>
      <c r="E38" s="45">
        <v>3</v>
      </c>
      <c r="F38" s="45">
        <v>3</v>
      </c>
      <c r="G38" s="45">
        <v>3</v>
      </c>
      <c r="H38" s="45">
        <v>3</v>
      </c>
      <c r="I38" s="45">
        <v>3</v>
      </c>
      <c r="J38" s="45">
        <v>3</v>
      </c>
      <c r="K38" s="45">
        <v>3</v>
      </c>
      <c r="L38" s="45">
        <v>3</v>
      </c>
      <c r="M38" s="45">
        <v>3</v>
      </c>
      <c r="N38" s="45">
        <v>3</v>
      </c>
      <c r="O38" s="45">
        <v>3</v>
      </c>
      <c r="P38" s="45">
        <v>3</v>
      </c>
      <c r="Q38" s="45">
        <v>3</v>
      </c>
      <c r="R38" s="45" t="s">
        <v>273</v>
      </c>
      <c r="S38" s="45">
        <v>3</v>
      </c>
      <c r="T38" s="45">
        <v>3</v>
      </c>
      <c r="U38" s="45">
        <v>3</v>
      </c>
      <c r="V38" s="45">
        <v>3</v>
      </c>
      <c r="W38" s="45">
        <v>3</v>
      </c>
      <c r="X38" s="45">
        <v>3</v>
      </c>
      <c r="Y38" s="45">
        <v>3</v>
      </c>
      <c r="Z38" s="45">
        <v>3</v>
      </c>
      <c r="AA38" s="45">
        <v>3</v>
      </c>
      <c r="AB38" s="45">
        <v>3</v>
      </c>
      <c r="AC38" s="45">
        <v>3</v>
      </c>
      <c r="AD38" s="45">
        <v>3</v>
      </c>
      <c r="AE38" s="45">
        <v>3</v>
      </c>
      <c r="AF38" s="45">
        <v>3</v>
      </c>
      <c r="AG38" s="50">
        <v>13</v>
      </c>
      <c r="AH38" s="47">
        <f t="shared" si="2"/>
        <v>3</v>
      </c>
      <c r="AI38" s="48">
        <f t="shared" si="3"/>
        <v>3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8</v>
      </c>
      <c r="C39" s="45">
        <v>8</v>
      </c>
      <c r="D39" s="45">
        <v>8</v>
      </c>
      <c r="E39" s="45">
        <v>8</v>
      </c>
      <c r="F39" s="45">
        <v>8</v>
      </c>
      <c r="G39" s="45">
        <v>8</v>
      </c>
      <c r="H39" s="45">
        <v>8</v>
      </c>
      <c r="I39" s="45">
        <v>8</v>
      </c>
      <c r="J39" s="45">
        <v>8</v>
      </c>
      <c r="K39" s="45">
        <v>8</v>
      </c>
      <c r="L39" s="45">
        <v>8</v>
      </c>
      <c r="M39" s="45">
        <v>8</v>
      </c>
      <c r="N39" s="45">
        <v>8</v>
      </c>
      <c r="O39" s="45">
        <v>8</v>
      </c>
      <c r="P39" s="45">
        <v>8</v>
      </c>
      <c r="Q39" s="45">
        <v>8</v>
      </c>
      <c r="R39" s="45" t="s">
        <v>274</v>
      </c>
      <c r="S39" s="45">
        <v>8</v>
      </c>
      <c r="T39" s="45">
        <v>8</v>
      </c>
      <c r="U39" s="45">
        <v>8</v>
      </c>
      <c r="V39" s="45">
        <v>8</v>
      </c>
      <c r="W39" s="45">
        <v>8</v>
      </c>
      <c r="X39" s="45">
        <v>8</v>
      </c>
      <c r="Y39" s="45">
        <v>8</v>
      </c>
      <c r="Z39" s="45">
        <v>8</v>
      </c>
      <c r="AA39" s="45">
        <v>8</v>
      </c>
      <c r="AB39" s="45">
        <v>8</v>
      </c>
      <c r="AC39" s="45">
        <v>8</v>
      </c>
      <c r="AD39" s="45">
        <v>8</v>
      </c>
      <c r="AE39" s="45">
        <v>8</v>
      </c>
      <c r="AF39" s="45">
        <v>8</v>
      </c>
      <c r="AG39" s="50">
        <v>12</v>
      </c>
      <c r="AH39" s="47">
        <f t="shared" si="2"/>
        <v>8</v>
      </c>
      <c r="AI39" s="48">
        <f t="shared" si="3"/>
        <v>8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 t="s">
        <v>268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0">
        <v>12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11</v>
      </c>
      <c r="C41" s="45">
        <v>11</v>
      </c>
      <c r="D41" s="45">
        <v>11</v>
      </c>
      <c r="E41" s="45">
        <v>11</v>
      </c>
      <c r="F41" s="45">
        <v>11</v>
      </c>
      <c r="G41" s="45">
        <v>11</v>
      </c>
      <c r="H41" s="45">
        <v>11</v>
      </c>
      <c r="I41" s="45">
        <v>11</v>
      </c>
      <c r="J41" s="45">
        <v>11</v>
      </c>
      <c r="K41" s="45">
        <v>11</v>
      </c>
      <c r="L41" s="45">
        <v>11</v>
      </c>
      <c r="M41" s="45">
        <v>11</v>
      </c>
      <c r="N41" s="45">
        <v>11</v>
      </c>
      <c r="O41" s="45">
        <v>11</v>
      </c>
      <c r="P41" s="45">
        <v>11</v>
      </c>
      <c r="Q41" s="45">
        <v>11</v>
      </c>
      <c r="R41" s="45" t="s">
        <v>270</v>
      </c>
      <c r="S41" s="45">
        <v>11</v>
      </c>
      <c r="T41" s="45">
        <v>11</v>
      </c>
      <c r="U41" s="45">
        <v>11</v>
      </c>
      <c r="V41" s="45">
        <v>11</v>
      </c>
      <c r="W41" s="45">
        <v>11</v>
      </c>
      <c r="X41" s="45">
        <v>11</v>
      </c>
      <c r="Y41" s="45">
        <v>11</v>
      </c>
      <c r="Z41" s="45">
        <v>11</v>
      </c>
      <c r="AA41" s="45">
        <v>11</v>
      </c>
      <c r="AB41" s="45">
        <v>11</v>
      </c>
      <c r="AC41" s="45">
        <v>11</v>
      </c>
      <c r="AD41" s="45">
        <v>11</v>
      </c>
      <c r="AE41" s="45">
        <v>11</v>
      </c>
      <c r="AF41" s="45">
        <v>11</v>
      </c>
      <c r="AG41" s="50">
        <v>12</v>
      </c>
      <c r="AH41" s="47">
        <f t="shared" si="2"/>
        <v>11</v>
      </c>
      <c r="AI41" s="48">
        <f t="shared" si="3"/>
        <v>11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7</v>
      </c>
      <c r="C42" s="45">
        <v>7</v>
      </c>
      <c r="D42" s="45">
        <v>7</v>
      </c>
      <c r="E42" s="45">
        <v>7</v>
      </c>
      <c r="F42" s="45">
        <v>7</v>
      </c>
      <c r="G42" s="45">
        <v>7</v>
      </c>
      <c r="H42" s="45">
        <v>7</v>
      </c>
      <c r="I42" s="45">
        <v>7</v>
      </c>
      <c r="J42" s="45">
        <v>7</v>
      </c>
      <c r="K42" s="45">
        <v>7</v>
      </c>
      <c r="L42" s="45">
        <v>7</v>
      </c>
      <c r="M42" s="45">
        <v>7</v>
      </c>
      <c r="N42" s="45">
        <v>7</v>
      </c>
      <c r="O42" s="45">
        <v>7</v>
      </c>
      <c r="P42" s="45">
        <v>7</v>
      </c>
      <c r="Q42" s="45">
        <v>7</v>
      </c>
      <c r="R42" s="45" t="s">
        <v>275</v>
      </c>
      <c r="S42" s="45">
        <v>7</v>
      </c>
      <c r="T42" s="45">
        <v>7</v>
      </c>
      <c r="U42" s="45">
        <v>7</v>
      </c>
      <c r="V42" s="45">
        <v>7</v>
      </c>
      <c r="W42" s="45">
        <v>7</v>
      </c>
      <c r="X42" s="45">
        <v>7</v>
      </c>
      <c r="Y42" s="45">
        <v>7</v>
      </c>
      <c r="Z42" s="45">
        <v>7</v>
      </c>
      <c r="AA42" s="45">
        <v>7</v>
      </c>
      <c r="AB42" s="45">
        <v>7</v>
      </c>
      <c r="AC42" s="45">
        <v>7</v>
      </c>
      <c r="AD42" s="45">
        <v>7</v>
      </c>
      <c r="AE42" s="45">
        <v>7</v>
      </c>
      <c r="AF42" s="45">
        <v>7</v>
      </c>
      <c r="AG42" s="52">
        <v>22</v>
      </c>
      <c r="AH42" s="47">
        <f t="shared" si="2"/>
        <v>7</v>
      </c>
      <c r="AI42" s="48">
        <f t="shared" si="3"/>
        <v>7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3.6</v>
      </c>
      <c r="C43" s="45">
        <v>3.6</v>
      </c>
      <c r="D43" s="45">
        <v>3.6</v>
      </c>
      <c r="E43" s="45">
        <v>3.6</v>
      </c>
      <c r="F43" s="45">
        <v>3.6</v>
      </c>
      <c r="G43" s="45">
        <v>3.6</v>
      </c>
      <c r="H43" s="45">
        <v>3.6</v>
      </c>
      <c r="I43" s="45">
        <v>3.6</v>
      </c>
      <c r="J43" s="45">
        <v>3.6</v>
      </c>
      <c r="K43" s="45">
        <v>3.6</v>
      </c>
      <c r="L43" s="45">
        <v>3.6</v>
      </c>
      <c r="M43" s="45">
        <v>3.6</v>
      </c>
      <c r="N43" s="45">
        <v>3.6</v>
      </c>
      <c r="O43" s="45">
        <v>3.6</v>
      </c>
      <c r="P43" s="45">
        <v>3.6</v>
      </c>
      <c r="Q43" s="45">
        <v>3.6</v>
      </c>
      <c r="R43" s="45" t="s">
        <v>276</v>
      </c>
      <c r="S43" s="45">
        <v>3.6</v>
      </c>
      <c r="T43" s="45">
        <v>3.6</v>
      </c>
      <c r="U43" s="45">
        <v>3.6</v>
      </c>
      <c r="V43" s="45">
        <v>3.6</v>
      </c>
      <c r="W43" s="45">
        <v>3.6</v>
      </c>
      <c r="X43" s="45">
        <v>3.6</v>
      </c>
      <c r="Y43" s="45">
        <v>3.6</v>
      </c>
      <c r="Z43" s="45">
        <v>3.6</v>
      </c>
      <c r="AA43" s="45">
        <v>3.6</v>
      </c>
      <c r="AB43" s="45">
        <v>3.6</v>
      </c>
      <c r="AC43" s="45">
        <v>3.6</v>
      </c>
      <c r="AD43" s="45">
        <v>3.6</v>
      </c>
      <c r="AE43" s="45">
        <v>3.6</v>
      </c>
      <c r="AF43" s="45">
        <v>3.6</v>
      </c>
      <c r="AG43" s="51">
        <v>11.88</v>
      </c>
      <c r="AH43" s="47">
        <f t="shared" si="2"/>
        <v>3.6</v>
      </c>
      <c r="AI43" s="48">
        <f t="shared" si="3"/>
        <v>3.6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 t="s">
        <v>277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4">
        <v>11</v>
      </c>
      <c r="AH44" s="47">
        <f t="shared" si="2"/>
        <v>5</v>
      </c>
      <c r="AI44" s="48">
        <f t="shared" si="3"/>
        <v>5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/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/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/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233</v>
      </c>
      <c r="C48" s="56">
        <v>233</v>
      </c>
      <c r="D48" s="56">
        <v>233</v>
      </c>
      <c r="E48" s="56">
        <v>233</v>
      </c>
      <c r="F48" s="56">
        <v>233</v>
      </c>
      <c r="G48" s="56">
        <v>233</v>
      </c>
      <c r="H48" s="56">
        <v>233</v>
      </c>
      <c r="I48" s="56">
        <v>233</v>
      </c>
      <c r="J48" s="56">
        <v>233</v>
      </c>
      <c r="K48" s="56">
        <v>233</v>
      </c>
      <c r="L48" s="56">
        <v>233</v>
      </c>
      <c r="M48" s="56">
        <v>233</v>
      </c>
      <c r="N48" s="56">
        <v>233</v>
      </c>
      <c r="O48" s="56">
        <v>233</v>
      </c>
      <c r="P48" s="56">
        <v>233</v>
      </c>
      <c r="Q48" s="56">
        <v>233</v>
      </c>
      <c r="R48" s="56"/>
      <c r="S48" s="56">
        <v>233</v>
      </c>
      <c r="T48" s="56">
        <v>233</v>
      </c>
      <c r="U48" s="56">
        <v>233</v>
      </c>
      <c r="V48" s="56">
        <v>233</v>
      </c>
      <c r="W48" s="56">
        <v>233</v>
      </c>
      <c r="X48" s="56">
        <v>233</v>
      </c>
      <c r="Y48" s="56">
        <v>233</v>
      </c>
      <c r="Z48" s="56">
        <v>233</v>
      </c>
      <c r="AA48" s="56">
        <v>233</v>
      </c>
      <c r="AB48" s="56">
        <v>233</v>
      </c>
      <c r="AC48" s="56">
        <v>233</v>
      </c>
      <c r="AD48" s="56">
        <v>233</v>
      </c>
      <c r="AE48" s="56">
        <v>233</v>
      </c>
      <c r="AF48" s="56">
        <v>233</v>
      </c>
      <c r="AG48" s="54">
        <v>85</v>
      </c>
      <c r="AH48" s="47">
        <f t="shared" si="2"/>
        <v>233</v>
      </c>
      <c r="AI48" s="48">
        <f t="shared" si="3"/>
        <v>233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 t="shared" ref="B50:AF50" si="4">SUM(B11:B48)</f>
        <v>771.4</v>
      </c>
      <c r="C50" s="60">
        <f t="shared" si="4"/>
        <v>771.4</v>
      </c>
      <c r="D50" s="60">
        <f t="shared" si="4"/>
        <v>771.4</v>
      </c>
      <c r="E50" s="60">
        <f t="shared" si="4"/>
        <v>772.19999999999993</v>
      </c>
      <c r="F50" s="60">
        <f t="shared" si="4"/>
        <v>765.89999999999986</v>
      </c>
      <c r="G50" s="60">
        <f t="shared" si="4"/>
        <v>765.89999999999986</v>
      </c>
      <c r="H50" s="60">
        <f t="shared" si="4"/>
        <v>765.89999999999986</v>
      </c>
      <c r="I50" s="60">
        <f t="shared" si="4"/>
        <v>768.89999999999986</v>
      </c>
      <c r="J50" s="60">
        <f t="shared" si="4"/>
        <v>781.9</v>
      </c>
      <c r="K50" s="60">
        <f t="shared" si="4"/>
        <v>759.5</v>
      </c>
      <c r="L50" s="60">
        <f t="shared" si="4"/>
        <v>763.69999999999993</v>
      </c>
      <c r="M50" s="60">
        <f t="shared" si="4"/>
        <v>766.09999999999991</v>
      </c>
      <c r="N50" s="60">
        <f t="shared" si="4"/>
        <v>763.09999999999991</v>
      </c>
      <c r="O50" s="60">
        <f t="shared" si="4"/>
        <v>764.19999999999993</v>
      </c>
      <c r="P50" s="60">
        <f t="shared" si="4"/>
        <v>761.3</v>
      </c>
      <c r="Q50" s="60">
        <f t="shared" si="4"/>
        <v>740.6</v>
      </c>
      <c r="R50" s="60">
        <f t="shared" si="4"/>
        <v>0</v>
      </c>
      <c r="S50" s="60">
        <f t="shared" si="4"/>
        <v>738.6</v>
      </c>
      <c r="T50" s="60">
        <f t="shared" si="4"/>
        <v>721.5</v>
      </c>
      <c r="U50" s="60">
        <f t="shared" si="4"/>
        <v>721.5</v>
      </c>
      <c r="V50" s="60">
        <f t="shared" si="4"/>
        <v>721.5</v>
      </c>
      <c r="W50" s="60">
        <f t="shared" si="4"/>
        <v>721.5</v>
      </c>
      <c r="X50" s="60">
        <f t="shared" si="4"/>
        <v>721.5</v>
      </c>
      <c r="Y50" s="60">
        <f t="shared" si="4"/>
        <v>721.5</v>
      </c>
      <c r="Z50" s="60">
        <f t="shared" si="4"/>
        <v>721.5</v>
      </c>
      <c r="AA50" s="60">
        <v>737.2</v>
      </c>
      <c r="AB50" s="60">
        <f t="shared" si="4"/>
        <v>737.2</v>
      </c>
      <c r="AC50" s="60">
        <f t="shared" si="4"/>
        <v>737.2</v>
      </c>
      <c r="AD50" s="60">
        <f t="shared" si="4"/>
        <v>737.2</v>
      </c>
      <c r="AE50" s="60">
        <f t="shared" si="4"/>
        <v>737.2</v>
      </c>
      <c r="AF50" s="60">
        <f t="shared" si="4"/>
        <v>737.2</v>
      </c>
      <c r="AG50" s="61">
        <f>SUM(AG13:AG48)</f>
        <v>922.14</v>
      </c>
      <c r="AH50" s="47">
        <f t="shared" si="2"/>
        <v>781.9</v>
      </c>
      <c r="AI50" s="48">
        <f t="shared" si="3"/>
        <v>0</v>
      </c>
      <c r="AK50" s="49"/>
    </row>
    <row r="51" spans="1:41" x14ac:dyDescent="0.25">
      <c r="A51" s="62" t="s">
        <v>57</v>
      </c>
      <c r="B51" s="45">
        <v>228</v>
      </c>
      <c r="C51" s="45">
        <v>180</v>
      </c>
      <c r="D51" s="45">
        <v>130</v>
      </c>
      <c r="E51" s="45">
        <v>150</v>
      </c>
      <c r="F51" s="45">
        <v>130</v>
      </c>
      <c r="G51" s="45">
        <v>130</v>
      </c>
      <c r="H51" s="45">
        <v>120</v>
      </c>
      <c r="I51" s="45">
        <v>130</v>
      </c>
      <c r="J51" s="45">
        <v>152</v>
      </c>
      <c r="K51" s="45">
        <v>150</v>
      </c>
      <c r="L51" s="45">
        <v>150</v>
      </c>
      <c r="M51" s="45">
        <v>150</v>
      </c>
      <c r="N51" s="63">
        <v>130</v>
      </c>
      <c r="O51" s="63">
        <v>130</v>
      </c>
      <c r="P51" s="63">
        <v>80</v>
      </c>
      <c r="Q51" s="63">
        <v>80</v>
      </c>
      <c r="R51" s="63"/>
      <c r="S51" s="63">
        <v>160</v>
      </c>
      <c r="T51" s="45">
        <v>125</v>
      </c>
      <c r="U51" s="45">
        <v>80</v>
      </c>
      <c r="V51" s="45">
        <v>54.5</v>
      </c>
      <c r="W51" s="45">
        <v>50</v>
      </c>
      <c r="X51" s="45">
        <v>40</v>
      </c>
      <c r="Y51" s="45">
        <v>40</v>
      </c>
      <c r="Z51" s="45">
        <v>76</v>
      </c>
      <c r="AA51" s="45">
        <v>200</v>
      </c>
      <c r="AB51" s="45">
        <v>200</v>
      </c>
      <c r="AC51" s="45">
        <v>170</v>
      </c>
      <c r="AD51" s="45">
        <v>136</v>
      </c>
      <c r="AE51" s="45">
        <v>136</v>
      </c>
      <c r="AF51" s="45">
        <v>136</v>
      </c>
      <c r="AG51" s="51">
        <v>456</v>
      </c>
      <c r="AH51" s="47">
        <f t="shared" si="2"/>
        <v>228</v>
      </c>
      <c r="AI51" s="48">
        <f t="shared" si="3"/>
        <v>40</v>
      </c>
      <c r="AK51" s="49"/>
    </row>
    <row r="52" spans="1:41" x14ac:dyDescent="0.25">
      <c r="A52" s="64" t="s">
        <v>58</v>
      </c>
      <c r="B52" s="65">
        <v>54</v>
      </c>
      <c r="C52" s="65">
        <v>55</v>
      </c>
      <c r="D52" s="65">
        <v>55</v>
      </c>
      <c r="E52" s="65">
        <v>55</v>
      </c>
      <c r="F52" s="65">
        <v>55</v>
      </c>
      <c r="G52" s="65">
        <v>55</v>
      </c>
      <c r="H52" s="65">
        <v>55</v>
      </c>
      <c r="I52" s="65">
        <v>55</v>
      </c>
      <c r="J52" s="65">
        <v>55</v>
      </c>
      <c r="K52" s="65">
        <v>55</v>
      </c>
      <c r="L52" s="65">
        <v>55</v>
      </c>
      <c r="M52" s="65">
        <v>48</v>
      </c>
      <c r="N52" s="65">
        <v>45</v>
      </c>
      <c r="O52" s="65">
        <v>45</v>
      </c>
      <c r="P52" s="65">
        <v>44</v>
      </c>
      <c r="Q52" s="65">
        <v>43</v>
      </c>
      <c r="R52" s="65"/>
      <c r="S52" s="65">
        <v>43</v>
      </c>
      <c r="T52" s="65">
        <v>43</v>
      </c>
      <c r="U52" s="65">
        <v>43</v>
      </c>
      <c r="V52" s="65">
        <v>43</v>
      </c>
      <c r="W52" s="65">
        <v>43</v>
      </c>
      <c r="X52" s="65">
        <v>43</v>
      </c>
      <c r="Y52" s="65">
        <v>43</v>
      </c>
      <c r="Z52" s="65">
        <v>43</v>
      </c>
      <c r="AA52" s="65">
        <v>43</v>
      </c>
      <c r="AB52" s="65">
        <v>43</v>
      </c>
      <c r="AC52" s="65">
        <v>43</v>
      </c>
      <c r="AD52" s="65">
        <v>43</v>
      </c>
      <c r="AE52" s="65">
        <v>43</v>
      </c>
      <c r="AF52" s="65">
        <v>43</v>
      </c>
      <c r="AG52" s="54">
        <v>60</v>
      </c>
      <c r="AH52" s="47">
        <f t="shared" si="2"/>
        <v>55</v>
      </c>
      <c r="AI52" s="48">
        <f t="shared" si="3"/>
        <v>43</v>
      </c>
      <c r="AK52" s="49"/>
    </row>
    <row r="53" spans="1:41" ht="15.75" thickBot="1" x14ac:dyDescent="0.3">
      <c r="A53" s="66" t="s">
        <v>59</v>
      </c>
      <c r="B53" s="67">
        <v>22</v>
      </c>
      <c r="C53" s="67">
        <v>22</v>
      </c>
      <c r="D53" s="67">
        <v>22</v>
      </c>
      <c r="E53" s="67">
        <v>21.1</v>
      </c>
      <c r="F53" s="67">
        <v>21.1</v>
      </c>
      <c r="G53" s="67">
        <v>21.1</v>
      </c>
      <c r="H53" s="67">
        <v>21.1</v>
      </c>
      <c r="I53" s="67">
        <v>21.1</v>
      </c>
      <c r="J53" s="67">
        <v>22</v>
      </c>
      <c r="K53" s="67">
        <v>22</v>
      </c>
      <c r="L53" s="67">
        <v>22</v>
      </c>
      <c r="M53" s="67">
        <v>22.1</v>
      </c>
      <c r="N53" s="67">
        <v>22.1</v>
      </c>
      <c r="O53" s="67">
        <v>20.2</v>
      </c>
      <c r="P53" s="67">
        <v>20.2</v>
      </c>
      <c r="Q53" s="67">
        <v>20.2</v>
      </c>
      <c r="R53" s="67"/>
      <c r="S53" s="67">
        <v>20.2</v>
      </c>
      <c r="T53" s="67">
        <v>19.2</v>
      </c>
      <c r="U53" s="67">
        <v>19.2</v>
      </c>
      <c r="V53" s="67">
        <v>19.2</v>
      </c>
      <c r="W53" s="67">
        <v>19.2</v>
      </c>
      <c r="X53" s="67">
        <v>19.2</v>
      </c>
      <c r="Y53" s="67">
        <v>19.2</v>
      </c>
      <c r="Z53" s="67">
        <v>19.2</v>
      </c>
      <c r="AA53" s="67">
        <v>19.2</v>
      </c>
      <c r="AB53" s="67">
        <v>20.7</v>
      </c>
      <c r="AC53" s="67">
        <v>20.7</v>
      </c>
      <c r="AD53" s="67">
        <v>20.7</v>
      </c>
      <c r="AE53" s="67">
        <v>20.7</v>
      </c>
      <c r="AF53" s="67">
        <v>20.7</v>
      </c>
      <c r="AG53" s="68">
        <v>22.1</v>
      </c>
      <c r="AH53" s="47">
        <f t="shared" si="2"/>
        <v>22.1</v>
      </c>
      <c r="AI53" s="48">
        <f t="shared" si="3"/>
        <v>19.2</v>
      </c>
      <c r="AK53" s="49"/>
    </row>
    <row r="54" spans="1:41" ht="15.75" thickBot="1" x14ac:dyDescent="0.3">
      <c r="A54" s="69" t="s">
        <v>60</v>
      </c>
      <c r="B54" s="60">
        <f t="shared" ref="B54:AG54" si="5">SUM(B51:B53)</f>
        <v>304</v>
      </c>
      <c r="C54" s="60">
        <f t="shared" si="5"/>
        <v>257</v>
      </c>
      <c r="D54" s="60">
        <f t="shared" si="5"/>
        <v>207</v>
      </c>
      <c r="E54" s="60">
        <f t="shared" si="5"/>
        <v>226.1</v>
      </c>
      <c r="F54" s="60">
        <f t="shared" si="5"/>
        <v>206.1</v>
      </c>
      <c r="G54" s="60">
        <f t="shared" si="5"/>
        <v>206.1</v>
      </c>
      <c r="H54" s="60">
        <f t="shared" si="5"/>
        <v>196.1</v>
      </c>
      <c r="I54" s="60">
        <f t="shared" si="5"/>
        <v>206.1</v>
      </c>
      <c r="J54" s="60">
        <f t="shared" si="5"/>
        <v>229</v>
      </c>
      <c r="K54" s="60">
        <f t="shared" si="5"/>
        <v>227</v>
      </c>
      <c r="L54" s="60">
        <f t="shared" si="5"/>
        <v>227</v>
      </c>
      <c r="M54" s="60">
        <f t="shared" si="5"/>
        <v>220.1</v>
      </c>
      <c r="N54" s="60">
        <f t="shared" si="5"/>
        <v>197.1</v>
      </c>
      <c r="O54" s="60">
        <f t="shared" si="5"/>
        <v>195.2</v>
      </c>
      <c r="P54" s="60">
        <f t="shared" si="5"/>
        <v>144.19999999999999</v>
      </c>
      <c r="Q54" s="60">
        <f t="shared" si="5"/>
        <v>143.19999999999999</v>
      </c>
      <c r="R54" s="60">
        <f t="shared" si="5"/>
        <v>0</v>
      </c>
      <c r="S54" s="60">
        <f t="shared" si="5"/>
        <v>223.2</v>
      </c>
      <c r="T54" s="60">
        <f t="shared" si="5"/>
        <v>187.2</v>
      </c>
      <c r="U54" s="60">
        <f t="shared" si="5"/>
        <v>142.19999999999999</v>
      </c>
      <c r="V54" s="60">
        <f t="shared" si="5"/>
        <v>116.7</v>
      </c>
      <c r="W54" s="60">
        <f t="shared" si="5"/>
        <v>112.2</v>
      </c>
      <c r="X54" s="60">
        <f t="shared" si="5"/>
        <v>102.2</v>
      </c>
      <c r="Y54" s="60">
        <f t="shared" si="5"/>
        <v>102.2</v>
      </c>
      <c r="Z54" s="60">
        <f t="shared" si="5"/>
        <v>138.19999999999999</v>
      </c>
      <c r="AA54" s="60">
        <v>262.2</v>
      </c>
      <c r="AB54" s="60">
        <f t="shared" si="5"/>
        <v>263.7</v>
      </c>
      <c r="AC54" s="60">
        <f t="shared" si="5"/>
        <v>233.7</v>
      </c>
      <c r="AD54" s="60">
        <f t="shared" si="5"/>
        <v>199.7</v>
      </c>
      <c r="AE54" s="60">
        <f t="shared" si="5"/>
        <v>199.7</v>
      </c>
      <c r="AF54" s="60">
        <f t="shared" si="5"/>
        <v>199.7</v>
      </c>
      <c r="AG54" s="61">
        <f t="shared" si="5"/>
        <v>538.1</v>
      </c>
      <c r="AH54" s="47">
        <f t="shared" si="2"/>
        <v>304</v>
      </c>
      <c r="AI54" s="48">
        <f t="shared" si="3"/>
        <v>0</v>
      </c>
      <c r="AK54" s="49"/>
    </row>
    <row r="55" spans="1:41" x14ac:dyDescent="0.25">
      <c r="A55" s="44" t="s">
        <v>61</v>
      </c>
      <c r="B55" s="45">
        <v>121</v>
      </c>
      <c r="C55" s="45">
        <v>101</v>
      </c>
      <c r="D55" s="45">
        <v>96.8</v>
      </c>
      <c r="E55" s="45">
        <v>71.400000000000006</v>
      </c>
      <c r="F55" s="45">
        <v>63</v>
      </c>
      <c r="G55" s="45">
        <v>63</v>
      </c>
      <c r="H55" s="45">
        <v>86</v>
      </c>
      <c r="I55" s="45">
        <v>86</v>
      </c>
      <c r="J55" s="45">
        <v>96</v>
      </c>
      <c r="K55" s="45">
        <v>102</v>
      </c>
      <c r="L55" s="45">
        <v>104</v>
      </c>
      <c r="M55" s="45">
        <v>103.8</v>
      </c>
      <c r="N55" s="45">
        <v>103.8</v>
      </c>
      <c r="O55" s="45">
        <v>81.3</v>
      </c>
      <c r="P55" s="45">
        <v>91.3</v>
      </c>
      <c r="Q55" s="45">
        <v>97.7</v>
      </c>
      <c r="R55" s="45"/>
      <c r="S55" s="45">
        <v>97.7</v>
      </c>
      <c r="T55" s="45">
        <v>97.3</v>
      </c>
      <c r="U55" s="45">
        <v>97.3</v>
      </c>
      <c r="V55" s="45">
        <v>122.4</v>
      </c>
      <c r="W55" s="45">
        <v>130</v>
      </c>
      <c r="X55" s="45">
        <v>130</v>
      </c>
      <c r="Y55" s="45">
        <v>130</v>
      </c>
      <c r="Z55" s="45">
        <v>140</v>
      </c>
      <c r="AA55" s="45">
        <v>145</v>
      </c>
      <c r="AB55" s="45">
        <v>145</v>
      </c>
      <c r="AC55" s="45">
        <v>145</v>
      </c>
      <c r="AD55" s="45">
        <v>134</v>
      </c>
      <c r="AE55" s="45">
        <v>111</v>
      </c>
      <c r="AF55" s="45">
        <v>134</v>
      </c>
      <c r="AG55" s="51">
        <v>144</v>
      </c>
      <c r="AH55" s="47">
        <f t="shared" si="2"/>
        <v>145</v>
      </c>
      <c r="AI55" s="48">
        <f t="shared" si="3"/>
        <v>63</v>
      </c>
      <c r="AK55" s="49"/>
    </row>
    <row r="56" spans="1:41" x14ac:dyDescent="0.25">
      <c r="A56" s="53" t="s">
        <v>62</v>
      </c>
      <c r="B56" s="65">
        <v>35</v>
      </c>
      <c r="C56" s="65">
        <v>25</v>
      </c>
      <c r="D56" s="65">
        <v>25</v>
      </c>
      <c r="E56" s="65">
        <v>25</v>
      </c>
      <c r="F56" s="65">
        <v>27</v>
      </c>
      <c r="G56" s="65">
        <v>27</v>
      </c>
      <c r="H56" s="65">
        <v>49</v>
      </c>
      <c r="I56" s="65">
        <v>49</v>
      </c>
      <c r="J56" s="65">
        <v>65</v>
      </c>
      <c r="K56" s="65">
        <v>65</v>
      </c>
      <c r="L56" s="65">
        <v>65</v>
      </c>
      <c r="M56" s="65">
        <v>65</v>
      </c>
      <c r="N56" s="65">
        <v>50</v>
      </c>
      <c r="O56" s="65">
        <v>50</v>
      </c>
      <c r="P56" s="65">
        <v>49.9</v>
      </c>
      <c r="Q56" s="65">
        <v>69.099999999999994</v>
      </c>
      <c r="R56" s="65"/>
      <c r="S56" s="65">
        <v>69.099999999999994</v>
      </c>
      <c r="T56" s="45">
        <v>68.599999999999994</v>
      </c>
      <c r="U56" s="45">
        <v>68.599999999999994</v>
      </c>
      <c r="V56" s="45">
        <v>43.3</v>
      </c>
      <c r="W56" s="45">
        <v>65.400000000000006</v>
      </c>
      <c r="X56" s="45">
        <v>65.400000000000006</v>
      </c>
      <c r="Y56" s="45">
        <v>65.400000000000006</v>
      </c>
      <c r="Z56" s="45">
        <v>70</v>
      </c>
      <c r="AA56" s="45">
        <v>70</v>
      </c>
      <c r="AB56" s="45">
        <v>69.599999999999994</v>
      </c>
      <c r="AC56" s="45">
        <v>70</v>
      </c>
      <c r="AD56" s="45">
        <v>71</v>
      </c>
      <c r="AE56" s="45">
        <v>50.4</v>
      </c>
      <c r="AF56" s="45">
        <v>35</v>
      </c>
      <c r="AG56" s="54">
        <v>70</v>
      </c>
      <c r="AH56" s="47">
        <f t="shared" si="2"/>
        <v>71</v>
      </c>
      <c r="AI56" s="48">
        <f t="shared" si="3"/>
        <v>25</v>
      </c>
      <c r="AK56" s="49"/>
    </row>
    <row r="57" spans="1:41" x14ac:dyDescent="0.25">
      <c r="A57" s="53" t="s">
        <v>63</v>
      </c>
      <c r="B57" s="65">
        <v>50</v>
      </c>
      <c r="C57" s="65">
        <v>51</v>
      </c>
      <c r="D57" s="65">
        <v>51</v>
      </c>
      <c r="E57" s="65">
        <v>51</v>
      </c>
      <c r="F57" s="65">
        <v>51.2</v>
      </c>
      <c r="G57" s="65">
        <v>51.2</v>
      </c>
      <c r="H57" s="65">
        <v>51.2</v>
      </c>
      <c r="I57" s="65">
        <v>51.2</v>
      </c>
      <c r="J57" s="65">
        <v>50.8</v>
      </c>
      <c r="K57" s="65">
        <v>60</v>
      </c>
      <c r="L57" s="65">
        <v>60</v>
      </c>
      <c r="M57" s="65">
        <v>59.8</v>
      </c>
      <c r="N57" s="65">
        <v>59.8</v>
      </c>
      <c r="O57" s="65">
        <v>64.5</v>
      </c>
      <c r="P57" s="65">
        <v>61.2</v>
      </c>
      <c r="Q57" s="65">
        <v>61</v>
      </c>
      <c r="R57" s="65"/>
      <c r="S57" s="65">
        <v>61</v>
      </c>
      <c r="T57" s="45">
        <v>69.7</v>
      </c>
      <c r="U57" s="45">
        <v>69.7</v>
      </c>
      <c r="V57" s="45">
        <v>51.5</v>
      </c>
      <c r="W57" s="45">
        <v>69</v>
      </c>
      <c r="X57" s="45">
        <v>69</v>
      </c>
      <c r="Y57" s="45">
        <v>69</v>
      </c>
      <c r="Z57" s="45">
        <v>69.400000000000006</v>
      </c>
      <c r="AA57" s="45">
        <v>69.400000000000006</v>
      </c>
      <c r="AB57" s="45">
        <v>69</v>
      </c>
      <c r="AC57" s="45">
        <v>63</v>
      </c>
      <c r="AD57" s="45">
        <v>55</v>
      </c>
      <c r="AE57" s="45">
        <v>55.5</v>
      </c>
      <c r="AF57" s="45">
        <v>60.5</v>
      </c>
      <c r="AG57" s="54">
        <v>69</v>
      </c>
      <c r="AH57" s="47">
        <f t="shared" si="2"/>
        <v>69.7</v>
      </c>
      <c r="AI57" s="48">
        <f t="shared" si="3"/>
        <v>50</v>
      </c>
      <c r="AK57" s="49"/>
    </row>
    <row r="58" spans="1:41" x14ac:dyDescent="0.25">
      <c r="A58" s="53" t="s">
        <v>64</v>
      </c>
      <c r="B58" s="65">
        <v>60</v>
      </c>
      <c r="C58" s="65">
        <v>60</v>
      </c>
      <c r="D58" s="65">
        <v>60</v>
      </c>
      <c r="E58" s="56">
        <v>60</v>
      </c>
      <c r="F58" s="56">
        <v>60.2</v>
      </c>
      <c r="G58" s="56">
        <v>60.2</v>
      </c>
      <c r="H58" s="56">
        <v>60.2</v>
      </c>
      <c r="I58" s="56">
        <v>60.2</v>
      </c>
      <c r="J58" s="56">
        <v>60</v>
      </c>
      <c r="K58" s="56">
        <v>60</v>
      </c>
      <c r="L58" s="56">
        <v>60</v>
      </c>
      <c r="M58" s="56">
        <v>60</v>
      </c>
      <c r="N58" s="56">
        <v>60</v>
      </c>
      <c r="O58" s="56">
        <v>60</v>
      </c>
      <c r="P58" s="56">
        <v>60</v>
      </c>
      <c r="Q58" s="65">
        <v>60.2</v>
      </c>
      <c r="R58" s="65"/>
      <c r="S58" s="65">
        <v>60.2</v>
      </c>
      <c r="T58" s="45">
        <v>60.2</v>
      </c>
      <c r="U58" s="45">
        <v>60.2</v>
      </c>
      <c r="V58" s="45">
        <v>60.2</v>
      </c>
      <c r="W58" s="45">
        <v>60.2</v>
      </c>
      <c r="X58" s="45">
        <v>60.2</v>
      </c>
      <c r="Y58" s="45">
        <v>60.2</v>
      </c>
      <c r="Z58" s="45">
        <v>60.2</v>
      </c>
      <c r="AA58" s="45">
        <v>60.2</v>
      </c>
      <c r="AB58" s="45">
        <v>60</v>
      </c>
      <c r="AC58" s="45">
        <v>60</v>
      </c>
      <c r="AD58" s="45">
        <v>60</v>
      </c>
      <c r="AE58" s="45">
        <v>60.2</v>
      </c>
      <c r="AF58" s="45">
        <v>60.2</v>
      </c>
      <c r="AG58" s="54">
        <v>60</v>
      </c>
      <c r="AH58" s="47">
        <f t="shared" si="2"/>
        <v>60.2</v>
      </c>
      <c r="AI58" s="48">
        <f t="shared" si="3"/>
        <v>60</v>
      </c>
      <c r="AK58" s="49"/>
    </row>
    <row r="59" spans="1:41" x14ac:dyDescent="0.25">
      <c r="A59" s="53" t="s">
        <v>65</v>
      </c>
      <c r="B59" s="65">
        <v>10</v>
      </c>
      <c r="C59" s="65">
        <v>10</v>
      </c>
      <c r="D59" s="65">
        <v>10</v>
      </c>
      <c r="E59" s="56">
        <v>10</v>
      </c>
      <c r="F59" s="56">
        <v>10</v>
      </c>
      <c r="G59" s="56">
        <v>10</v>
      </c>
      <c r="H59" s="56">
        <v>10</v>
      </c>
      <c r="I59" s="56">
        <v>10</v>
      </c>
      <c r="J59" s="56">
        <v>15</v>
      </c>
      <c r="K59" s="56">
        <v>15</v>
      </c>
      <c r="L59" s="56">
        <v>22</v>
      </c>
      <c r="M59" s="56">
        <v>22</v>
      </c>
      <c r="N59" s="56">
        <v>22</v>
      </c>
      <c r="O59" s="56">
        <v>22</v>
      </c>
      <c r="P59" s="56">
        <v>20</v>
      </c>
      <c r="Q59" s="65">
        <v>20</v>
      </c>
      <c r="R59" s="65"/>
      <c r="S59" s="65">
        <v>10</v>
      </c>
      <c r="T59" s="45">
        <v>10</v>
      </c>
      <c r="U59" s="45">
        <v>10</v>
      </c>
      <c r="V59" s="45">
        <v>10</v>
      </c>
      <c r="W59" s="45">
        <v>0</v>
      </c>
      <c r="X59" s="45">
        <v>0</v>
      </c>
      <c r="Y59" s="45">
        <v>0</v>
      </c>
      <c r="Z59" s="45">
        <v>10</v>
      </c>
      <c r="AA59" s="45">
        <v>22</v>
      </c>
      <c r="AB59" s="45">
        <v>22</v>
      </c>
      <c r="AC59" s="45">
        <v>22</v>
      </c>
      <c r="AD59" s="45">
        <v>22</v>
      </c>
      <c r="AE59" s="45">
        <v>22</v>
      </c>
      <c r="AF59" s="45">
        <v>15</v>
      </c>
      <c r="AG59" s="54">
        <v>30</v>
      </c>
      <c r="AH59" s="47">
        <f t="shared" si="2"/>
        <v>22</v>
      </c>
      <c r="AI59" s="48">
        <f t="shared" si="3"/>
        <v>0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13.4</v>
      </c>
      <c r="N60" s="65">
        <v>16.5</v>
      </c>
      <c r="O60" s="65">
        <v>19</v>
      </c>
      <c r="P60" s="65">
        <v>19</v>
      </c>
      <c r="Q60" s="65">
        <v>19</v>
      </c>
      <c r="R60" s="65"/>
      <c r="S60" s="65">
        <v>19</v>
      </c>
      <c r="T60" s="65">
        <v>19</v>
      </c>
      <c r="U60" s="65">
        <v>16</v>
      </c>
      <c r="V60" s="65">
        <v>7</v>
      </c>
      <c r="W60" s="65">
        <v>7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19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17</v>
      </c>
      <c r="N61" s="65">
        <v>17</v>
      </c>
      <c r="O61" s="65">
        <v>17</v>
      </c>
      <c r="P61" s="65">
        <v>17</v>
      </c>
      <c r="Q61" s="65">
        <v>17</v>
      </c>
      <c r="R61" s="65"/>
      <c r="S61" s="65">
        <v>17</v>
      </c>
      <c r="T61" s="65">
        <v>17</v>
      </c>
      <c r="U61" s="65">
        <v>17</v>
      </c>
      <c r="V61" s="65">
        <v>17</v>
      </c>
      <c r="W61" s="65">
        <v>17</v>
      </c>
      <c r="X61" s="65">
        <v>17</v>
      </c>
      <c r="Y61" s="65">
        <v>17</v>
      </c>
      <c r="Z61" s="65">
        <v>17</v>
      </c>
      <c r="AA61" s="65">
        <v>17</v>
      </c>
      <c r="AB61" s="65">
        <v>17</v>
      </c>
      <c r="AC61" s="65">
        <v>17</v>
      </c>
      <c r="AD61" s="65">
        <v>17</v>
      </c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17</v>
      </c>
      <c r="AK61" s="49"/>
    </row>
    <row r="62" spans="1:41" x14ac:dyDescent="0.25">
      <c r="A62" s="53" t="s">
        <v>68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/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4">
        <v>15</v>
      </c>
      <c r="AH62" s="47">
        <f t="shared" si="2"/>
        <v>0</v>
      </c>
      <c r="AI62" s="48">
        <f t="shared" si="3"/>
        <v>0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12.4</v>
      </c>
      <c r="C63" s="65">
        <v>12.4</v>
      </c>
      <c r="D63" s="65">
        <v>12.4</v>
      </c>
      <c r="E63" s="65">
        <v>13.4</v>
      </c>
      <c r="F63" s="65">
        <v>13.4</v>
      </c>
      <c r="G63" s="65">
        <v>13.4</v>
      </c>
      <c r="H63" s="65">
        <v>13.4</v>
      </c>
      <c r="I63" s="65">
        <v>13.4</v>
      </c>
      <c r="J63" s="65">
        <v>13.5</v>
      </c>
      <c r="K63" s="65">
        <v>13.5</v>
      </c>
      <c r="L63" s="65">
        <v>13.6</v>
      </c>
      <c r="M63" s="65">
        <v>13.6</v>
      </c>
      <c r="N63" s="65">
        <v>13.6</v>
      </c>
      <c r="O63" s="65">
        <v>13.6</v>
      </c>
      <c r="P63" s="65">
        <v>13.6</v>
      </c>
      <c r="Q63" s="65">
        <v>11.4</v>
      </c>
      <c r="R63" s="65"/>
      <c r="S63" s="65">
        <v>11.4</v>
      </c>
      <c r="T63" s="65">
        <v>11.4</v>
      </c>
      <c r="U63" s="65">
        <v>11.4</v>
      </c>
      <c r="V63" s="65">
        <v>11.4</v>
      </c>
      <c r="W63" s="65">
        <v>11.4</v>
      </c>
      <c r="X63" s="65">
        <v>11.4</v>
      </c>
      <c r="Y63" s="65">
        <v>11.4</v>
      </c>
      <c r="Z63" s="65">
        <v>11.4</v>
      </c>
      <c r="AA63" s="65">
        <v>11.4</v>
      </c>
      <c r="AB63" s="65">
        <v>12.8</v>
      </c>
      <c r="AC63" s="65">
        <v>12.8</v>
      </c>
      <c r="AD63" s="65">
        <v>12.8</v>
      </c>
      <c r="AE63" s="65">
        <v>12.8</v>
      </c>
      <c r="AF63" s="65">
        <v>12.8</v>
      </c>
      <c r="AG63" s="54">
        <v>14.1</v>
      </c>
      <c r="AH63" s="47">
        <f t="shared" si="2"/>
        <v>13.6</v>
      </c>
      <c r="AI63" s="48">
        <f t="shared" si="3"/>
        <v>11.4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10.9</v>
      </c>
      <c r="C64" s="65">
        <v>10.9</v>
      </c>
      <c r="D64" s="65">
        <v>10.9</v>
      </c>
      <c r="E64" s="65">
        <v>7.3</v>
      </c>
      <c r="F64" s="65">
        <v>7.3</v>
      </c>
      <c r="G64" s="65">
        <v>7.3</v>
      </c>
      <c r="H64" s="65">
        <v>7.3</v>
      </c>
      <c r="I64" s="65">
        <v>7.3</v>
      </c>
      <c r="J64" s="65">
        <v>7.3</v>
      </c>
      <c r="K64" s="65">
        <v>7.3</v>
      </c>
      <c r="L64" s="65">
        <v>7.3</v>
      </c>
      <c r="M64" s="65">
        <v>7.3</v>
      </c>
      <c r="N64" s="65">
        <v>7.3</v>
      </c>
      <c r="O64" s="65">
        <v>7.3</v>
      </c>
      <c r="P64" s="65">
        <v>7.3</v>
      </c>
      <c r="Q64" s="65">
        <v>7.3</v>
      </c>
      <c r="R64" s="65"/>
      <c r="S64" s="65">
        <v>7.3</v>
      </c>
      <c r="T64" s="65">
        <v>7.3</v>
      </c>
      <c r="U64" s="65">
        <v>7.3</v>
      </c>
      <c r="V64" s="65">
        <v>7.3</v>
      </c>
      <c r="W64" s="65">
        <v>7.3</v>
      </c>
      <c r="X64" s="65">
        <v>7.3</v>
      </c>
      <c r="Y64" s="65">
        <v>7.3</v>
      </c>
      <c r="Z64" s="65">
        <v>7.3</v>
      </c>
      <c r="AA64" s="65">
        <v>7.3</v>
      </c>
      <c r="AB64" s="65">
        <v>7.3</v>
      </c>
      <c r="AC64" s="65">
        <v>7.3</v>
      </c>
      <c r="AD64" s="65">
        <v>7.3</v>
      </c>
      <c r="AE64" s="65">
        <v>7.3</v>
      </c>
      <c r="AF64" s="65">
        <v>7.3</v>
      </c>
      <c r="AG64" s="54">
        <v>14</v>
      </c>
      <c r="AH64" s="47">
        <f t="shared" si="2"/>
        <v>10.9</v>
      </c>
      <c r="AI64" s="48">
        <f t="shared" si="3"/>
        <v>7.3</v>
      </c>
      <c r="AK64" s="49"/>
    </row>
    <row r="65" spans="1:40" x14ac:dyDescent="0.25">
      <c r="A65" s="53" t="s">
        <v>71</v>
      </c>
      <c r="B65" s="65">
        <v>4.5</v>
      </c>
      <c r="C65" s="65">
        <v>4.5</v>
      </c>
      <c r="D65" s="65">
        <v>4.5</v>
      </c>
      <c r="E65" s="65">
        <v>4.5</v>
      </c>
      <c r="F65" s="65">
        <v>4.5</v>
      </c>
      <c r="G65" s="65">
        <v>4.5</v>
      </c>
      <c r="H65" s="65">
        <v>4.5</v>
      </c>
      <c r="I65" s="65">
        <v>4.5</v>
      </c>
      <c r="J65" s="65">
        <v>4.5</v>
      </c>
      <c r="K65" s="65">
        <v>4.5</v>
      </c>
      <c r="L65" s="65">
        <v>4.5</v>
      </c>
      <c r="M65" s="65">
        <v>4.5</v>
      </c>
      <c r="N65" s="65">
        <v>4.5</v>
      </c>
      <c r="O65" s="65">
        <v>4.5</v>
      </c>
      <c r="P65" s="65">
        <v>4.5</v>
      </c>
      <c r="Q65" s="65">
        <v>5.0999999999999996</v>
      </c>
      <c r="R65" s="65"/>
      <c r="S65" s="65">
        <v>5.0999999999999996</v>
      </c>
      <c r="T65" s="65">
        <v>5.0999999999999996</v>
      </c>
      <c r="U65" s="65">
        <v>5.0999999999999996</v>
      </c>
      <c r="V65" s="65">
        <v>5.0999999999999996</v>
      </c>
      <c r="W65" s="65">
        <v>5.0999999999999996</v>
      </c>
      <c r="X65" s="65">
        <v>5.0999999999999996</v>
      </c>
      <c r="Y65" s="65">
        <v>5.0999999999999996</v>
      </c>
      <c r="Z65" s="65">
        <v>5.0999999999999996</v>
      </c>
      <c r="AA65" s="65">
        <v>5.0999999999999996</v>
      </c>
      <c r="AB65" s="65">
        <v>5</v>
      </c>
      <c r="AC65" s="65">
        <v>5</v>
      </c>
      <c r="AD65" s="65">
        <v>5</v>
      </c>
      <c r="AE65" s="65">
        <v>5</v>
      </c>
      <c r="AF65" s="65">
        <v>5</v>
      </c>
      <c r="AG65" s="54">
        <v>10.050000000000001</v>
      </c>
      <c r="AH65" s="47">
        <f t="shared" si="2"/>
        <v>5.0999999999999996</v>
      </c>
      <c r="AI65" s="48">
        <f t="shared" si="3"/>
        <v>4.5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/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6">SUM(B55:B67)</f>
        <v>326.33999999999997</v>
      </c>
      <c r="C68" s="60">
        <f t="shared" si="6"/>
        <v>297.33999999999997</v>
      </c>
      <c r="D68" s="60">
        <f t="shared" si="6"/>
        <v>293.14</v>
      </c>
      <c r="E68" s="60">
        <f t="shared" si="6"/>
        <v>265.14000000000004</v>
      </c>
      <c r="F68" s="60">
        <f t="shared" si="6"/>
        <v>259.14</v>
      </c>
      <c r="G68" s="60">
        <f>SUM(G55:G67)</f>
        <v>259.14</v>
      </c>
      <c r="H68" s="60">
        <f>SUM(H55:H67)</f>
        <v>304.14</v>
      </c>
      <c r="I68" s="60">
        <f t="shared" si="6"/>
        <v>304.14</v>
      </c>
      <c r="J68" s="60">
        <f t="shared" si="6"/>
        <v>334.64000000000004</v>
      </c>
      <c r="K68" s="60">
        <f t="shared" si="6"/>
        <v>349.84000000000003</v>
      </c>
      <c r="L68" s="60">
        <f t="shared" si="6"/>
        <v>358.94000000000005</v>
      </c>
      <c r="M68" s="60">
        <f t="shared" si="6"/>
        <v>371.94000000000005</v>
      </c>
      <c r="N68" s="60">
        <f t="shared" si="6"/>
        <v>360.04000000000008</v>
      </c>
      <c r="O68" s="60">
        <f t="shared" si="6"/>
        <v>344.74000000000007</v>
      </c>
      <c r="P68" s="60">
        <f t="shared" si="6"/>
        <v>349.34000000000003</v>
      </c>
      <c r="Q68" s="60">
        <f t="shared" si="6"/>
        <v>373.34000000000003</v>
      </c>
      <c r="R68" s="60">
        <f t="shared" si="6"/>
        <v>3.54</v>
      </c>
      <c r="S68" s="60">
        <f t="shared" si="6"/>
        <v>363.34000000000003</v>
      </c>
      <c r="T68" s="60">
        <f t="shared" si="6"/>
        <v>371.14</v>
      </c>
      <c r="U68" s="60">
        <f t="shared" si="6"/>
        <v>368.14</v>
      </c>
      <c r="V68" s="60">
        <f t="shared" si="6"/>
        <v>340.74</v>
      </c>
      <c r="W68" s="60">
        <f t="shared" si="6"/>
        <v>377.94</v>
      </c>
      <c r="X68" s="60">
        <f t="shared" si="6"/>
        <v>370.94</v>
      </c>
      <c r="Y68" s="60">
        <f t="shared" si="6"/>
        <v>370.94</v>
      </c>
      <c r="Z68" s="60">
        <f t="shared" si="6"/>
        <v>395.94</v>
      </c>
      <c r="AA68" s="60">
        <v>429.94</v>
      </c>
      <c r="AB68" s="60">
        <f t="shared" si="6"/>
        <v>413.24000000000007</v>
      </c>
      <c r="AC68" s="60">
        <f t="shared" si="6"/>
        <v>407.64000000000004</v>
      </c>
      <c r="AD68" s="60">
        <f t="shared" si="6"/>
        <v>389.64000000000004</v>
      </c>
      <c r="AE68" s="60">
        <f t="shared" si="6"/>
        <v>346.74000000000007</v>
      </c>
      <c r="AF68" s="60">
        <f t="shared" si="6"/>
        <v>352.34000000000003</v>
      </c>
      <c r="AG68" s="61">
        <f t="shared" si="6"/>
        <v>489.91</v>
      </c>
      <c r="AH68" s="47">
        <f t="shared" si="2"/>
        <v>429.94</v>
      </c>
      <c r="AI68" s="48">
        <f t="shared" si="3"/>
        <v>3.54</v>
      </c>
      <c r="AK68" s="49"/>
    </row>
    <row r="69" spans="1:40" x14ac:dyDescent="0.25">
      <c r="A69" s="44" t="s">
        <v>75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40</v>
      </c>
      <c r="L69" s="45">
        <v>50</v>
      </c>
      <c r="M69" s="45">
        <v>50</v>
      </c>
      <c r="N69" s="45">
        <v>50</v>
      </c>
      <c r="O69" s="45">
        <v>55</v>
      </c>
      <c r="P69" s="45">
        <v>55</v>
      </c>
      <c r="Q69" s="45">
        <v>45</v>
      </c>
      <c r="R69" s="45"/>
      <c r="S69" s="45">
        <v>10</v>
      </c>
      <c r="T69" s="45">
        <v>60</v>
      </c>
      <c r="U69" s="45">
        <v>50</v>
      </c>
      <c r="V69" s="45">
        <v>35</v>
      </c>
      <c r="W69" s="45">
        <v>50</v>
      </c>
      <c r="X69" s="45">
        <v>35</v>
      </c>
      <c r="Y69" s="45">
        <v>35</v>
      </c>
      <c r="Z69" s="45">
        <v>60</v>
      </c>
      <c r="AA69" s="45">
        <v>10</v>
      </c>
      <c r="AB69" s="45">
        <v>48</v>
      </c>
      <c r="AC69" s="45">
        <v>45</v>
      </c>
      <c r="AD69" s="45">
        <v>45</v>
      </c>
      <c r="AE69" s="45">
        <v>30</v>
      </c>
      <c r="AF69" s="45">
        <v>15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14.9</v>
      </c>
      <c r="L70" s="65">
        <v>27.3</v>
      </c>
      <c r="M70" s="65">
        <v>24.3</v>
      </c>
      <c r="N70" s="65">
        <v>25.9</v>
      </c>
      <c r="O70" s="65">
        <v>29.9</v>
      </c>
      <c r="P70" s="65">
        <v>30.5</v>
      </c>
      <c r="Q70" s="65">
        <v>20.8</v>
      </c>
      <c r="R70" s="65"/>
      <c r="S70" s="65">
        <v>4.8</v>
      </c>
      <c r="T70" s="65">
        <v>28</v>
      </c>
      <c r="U70" s="65">
        <v>28</v>
      </c>
      <c r="V70" s="65">
        <v>15.5</v>
      </c>
      <c r="W70" s="65">
        <v>13</v>
      </c>
      <c r="X70" s="65">
        <v>15.5</v>
      </c>
      <c r="Y70" s="65">
        <v>15.5</v>
      </c>
      <c r="Z70" s="65">
        <v>22.9</v>
      </c>
      <c r="AA70" s="65">
        <v>0</v>
      </c>
      <c r="AB70" s="65">
        <v>24.6</v>
      </c>
      <c r="AC70" s="65">
        <v>22.4</v>
      </c>
      <c r="AD70" s="65">
        <v>22.4</v>
      </c>
      <c r="AE70" s="65">
        <v>10</v>
      </c>
      <c r="AF70" s="65">
        <v>4</v>
      </c>
      <c r="AG70" s="54">
        <v>32</v>
      </c>
      <c r="AH70" s="47">
        <f t="shared" si="2"/>
        <v>30.5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5.4</v>
      </c>
      <c r="L71" s="67">
        <v>10</v>
      </c>
      <c r="M71" s="67">
        <v>8.9</v>
      </c>
      <c r="N71" s="67">
        <v>9.4</v>
      </c>
      <c r="O71" s="67">
        <v>10.9</v>
      </c>
      <c r="P71" s="67">
        <v>11.1</v>
      </c>
      <c r="Q71" s="67">
        <v>7.6</v>
      </c>
      <c r="R71" s="67"/>
      <c r="S71" s="67">
        <v>3.2</v>
      </c>
      <c r="T71" s="67">
        <v>10.3</v>
      </c>
      <c r="U71" s="67">
        <v>10.8</v>
      </c>
      <c r="V71" s="67">
        <v>5.7</v>
      </c>
      <c r="W71" s="67">
        <v>5.7</v>
      </c>
      <c r="X71" s="67">
        <v>5.7</v>
      </c>
      <c r="Y71" s="67">
        <v>5.7</v>
      </c>
      <c r="Z71" s="67">
        <v>8.4</v>
      </c>
      <c r="AA71" s="67">
        <v>0</v>
      </c>
      <c r="AB71" s="67">
        <v>9</v>
      </c>
      <c r="AC71" s="67">
        <v>8.1999999999999993</v>
      </c>
      <c r="AD71" s="67">
        <v>8.1999999999999993</v>
      </c>
      <c r="AE71" s="67">
        <v>4</v>
      </c>
      <c r="AF71" s="67">
        <v>1.7</v>
      </c>
      <c r="AG71" s="68">
        <v>14</v>
      </c>
      <c r="AH71" s="47">
        <f t="shared" si="2"/>
        <v>11.1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87.3</v>
      </c>
      <c r="M72" s="60">
        <f t="shared" ref="M72:AF72" si="7">M69+M70+M71</f>
        <v>83.2</v>
      </c>
      <c r="N72" s="60">
        <f t="shared" si="7"/>
        <v>85.300000000000011</v>
      </c>
      <c r="O72" s="60">
        <f t="shared" si="7"/>
        <v>95.800000000000011</v>
      </c>
      <c r="P72" s="60">
        <f t="shared" si="7"/>
        <v>96.6</v>
      </c>
      <c r="Q72" s="60">
        <f t="shared" si="7"/>
        <v>73.399999999999991</v>
      </c>
      <c r="R72" s="60">
        <f t="shared" si="7"/>
        <v>0</v>
      </c>
      <c r="S72" s="60">
        <f t="shared" si="7"/>
        <v>18</v>
      </c>
      <c r="T72" s="60">
        <f t="shared" si="7"/>
        <v>98.3</v>
      </c>
      <c r="U72" s="60">
        <f t="shared" si="7"/>
        <v>88.8</v>
      </c>
      <c r="V72" s="60">
        <f t="shared" si="7"/>
        <v>56.2</v>
      </c>
      <c r="W72" s="60">
        <f t="shared" si="7"/>
        <v>68.7</v>
      </c>
      <c r="X72" s="60">
        <f t="shared" si="7"/>
        <v>56.2</v>
      </c>
      <c r="Y72" s="60">
        <f t="shared" si="7"/>
        <v>56.2</v>
      </c>
      <c r="Z72" s="60">
        <f t="shared" si="7"/>
        <v>91.300000000000011</v>
      </c>
      <c r="AA72" s="60">
        <v>10</v>
      </c>
      <c r="AB72" s="60">
        <f t="shared" si="7"/>
        <v>81.599999999999994</v>
      </c>
      <c r="AC72" s="60">
        <f t="shared" si="7"/>
        <v>75.600000000000009</v>
      </c>
      <c r="AD72" s="60">
        <f t="shared" si="7"/>
        <v>75.600000000000009</v>
      </c>
      <c r="AE72" s="60">
        <f t="shared" si="7"/>
        <v>44</v>
      </c>
      <c r="AF72" s="60">
        <f t="shared" si="7"/>
        <v>20.7</v>
      </c>
      <c r="AG72" s="61">
        <f>SUM(AG69:AG71)</f>
        <v>106</v>
      </c>
      <c r="AH72" s="47">
        <f t="shared" si="2"/>
        <v>98.3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0</v>
      </c>
      <c r="C73" s="45">
        <v>0</v>
      </c>
      <c r="D73" s="45">
        <v>0</v>
      </c>
      <c r="E73" s="45"/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20</v>
      </c>
      <c r="N73" s="45">
        <v>23</v>
      </c>
      <c r="O73" s="45">
        <v>24</v>
      </c>
      <c r="P73" s="45">
        <v>36.700000000000003</v>
      </c>
      <c r="Q73" s="45">
        <v>35.9</v>
      </c>
      <c r="R73" s="45"/>
      <c r="S73" s="45">
        <v>41</v>
      </c>
      <c r="T73" s="45">
        <v>57.9</v>
      </c>
      <c r="U73" s="45">
        <v>68.3</v>
      </c>
      <c r="V73" s="45">
        <v>60</v>
      </c>
      <c r="W73" s="45">
        <v>60</v>
      </c>
      <c r="X73" s="45">
        <v>60</v>
      </c>
      <c r="Y73" s="45">
        <v>60</v>
      </c>
      <c r="Z73" s="45">
        <v>61.6</v>
      </c>
      <c r="AA73" s="45">
        <v>48.3</v>
      </c>
      <c r="AB73" s="45">
        <v>48</v>
      </c>
      <c r="AC73" s="45">
        <v>48</v>
      </c>
      <c r="AD73" s="45">
        <v>67</v>
      </c>
      <c r="AE73" s="45">
        <v>59</v>
      </c>
      <c r="AF73" s="45">
        <v>55</v>
      </c>
      <c r="AG73" s="51"/>
      <c r="AH73" s="47">
        <f t="shared" si="2"/>
        <v>68.3</v>
      </c>
      <c r="AI73" s="48">
        <f t="shared" si="3"/>
        <v>0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/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/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0</v>
      </c>
      <c r="C75" s="65">
        <v>17.8</v>
      </c>
      <c r="D75" s="65">
        <v>47</v>
      </c>
      <c r="E75" s="65">
        <v>22</v>
      </c>
      <c r="F75" s="65">
        <v>0</v>
      </c>
      <c r="G75" s="65">
        <v>0</v>
      </c>
      <c r="H75" s="65">
        <v>10</v>
      </c>
      <c r="I75" s="65">
        <v>44</v>
      </c>
      <c r="J75" s="65">
        <v>52</v>
      </c>
      <c r="K75" s="65">
        <v>32</v>
      </c>
      <c r="L75" s="65">
        <v>23.2</v>
      </c>
      <c r="M75" s="65">
        <v>4</v>
      </c>
      <c r="N75" s="65">
        <v>47</v>
      </c>
      <c r="O75" s="65">
        <v>62.1</v>
      </c>
      <c r="P75" s="65">
        <v>160.6</v>
      </c>
      <c r="Q75" s="65">
        <v>125</v>
      </c>
      <c r="R75" s="65"/>
      <c r="S75" s="65">
        <v>0</v>
      </c>
      <c r="T75" s="65">
        <v>27.5</v>
      </c>
      <c r="U75" s="65">
        <v>70.5</v>
      </c>
      <c r="V75" s="65">
        <v>215</v>
      </c>
      <c r="W75" s="65">
        <v>99</v>
      </c>
      <c r="X75" s="65">
        <v>50</v>
      </c>
      <c r="Y75" s="65">
        <v>42</v>
      </c>
      <c r="Z75" s="65">
        <v>60</v>
      </c>
      <c r="AA75" s="65">
        <v>17.899999999999999</v>
      </c>
      <c r="AB75" s="65">
        <v>61.4</v>
      </c>
      <c r="AC75" s="65">
        <v>61.4</v>
      </c>
      <c r="AD75" s="65">
        <v>123</v>
      </c>
      <c r="AE75" s="65">
        <v>189</v>
      </c>
      <c r="AF75" s="65">
        <v>185</v>
      </c>
      <c r="AG75" s="75"/>
      <c r="AH75" s="47">
        <f t="shared" si="2"/>
        <v>215</v>
      </c>
      <c r="AI75" s="48">
        <f t="shared" si="3"/>
        <v>0</v>
      </c>
      <c r="AK75" s="49"/>
    </row>
    <row r="76" spans="1:40" x14ac:dyDescent="0.25">
      <c r="A76" s="53" t="s">
        <v>82</v>
      </c>
      <c r="B76" s="65">
        <v>0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/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12</v>
      </c>
      <c r="AC76" s="76">
        <v>12</v>
      </c>
      <c r="AD76" s="76">
        <v>12</v>
      </c>
      <c r="AE76" s="76">
        <v>12</v>
      </c>
      <c r="AF76" s="76">
        <v>12</v>
      </c>
      <c r="AG76" s="75"/>
      <c r="AH76" s="47">
        <f t="shared" si="2"/>
        <v>12</v>
      </c>
      <c r="AI76" s="48">
        <f t="shared" si="3"/>
        <v>0</v>
      </c>
      <c r="AK76" s="49"/>
    </row>
    <row r="77" spans="1:40" x14ac:dyDescent="0.25">
      <c r="A77" s="53" t="s">
        <v>83</v>
      </c>
      <c r="B77" s="65">
        <v>0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/>
      <c r="S77" s="45">
        <v>0</v>
      </c>
      <c r="T77" s="45">
        <v>0</v>
      </c>
      <c r="U77" s="45">
        <v>0</v>
      </c>
      <c r="V77" s="45">
        <v>31.5</v>
      </c>
      <c r="W77" s="45">
        <v>31.5</v>
      </c>
      <c r="X77" s="45">
        <v>31.5</v>
      </c>
      <c r="Y77" s="45">
        <v>31.5</v>
      </c>
      <c r="Z77" s="45">
        <v>25</v>
      </c>
      <c r="AA77" s="45">
        <v>26.3</v>
      </c>
      <c r="AB77" s="45">
        <v>26</v>
      </c>
      <c r="AC77" s="45">
        <v>26</v>
      </c>
      <c r="AD77" s="45">
        <v>24.2</v>
      </c>
      <c r="AE77" s="45">
        <v>26</v>
      </c>
      <c r="AF77" s="45">
        <v>26</v>
      </c>
      <c r="AG77" s="75"/>
      <c r="AH77" s="47">
        <f t="shared" ref="AH77:AH120" si="8">MAX(B77:AF77)</f>
        <v>31.5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/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8"/>
        <v>0</v>
      </c>
      <c r="AI78" s="48">
        <f t="shared" si="9"/>
        <v>0</v>
      </c>
      <c r="AK78" s="49"/>
    </row>
    <row r="79" spans="1:40" ht="15.75" thickBot="1" x14ac:dyDescent="0.3">
      <c r="A79" s="53" t="s">
        <v>85</v>
      </c>
      <c r="B79" s="65">
        <v>0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/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65">
        <v>0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/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65">
        <v>0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/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0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/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65">
        <v>0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/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5">
        <v>0</v>
      </c>
      <c r="C84" s="60">
        <f t="shared" ref="C84:AF84" si="10">SUMIF(C73:C83,"&gt;0")</f>
        <v>17.8</v>
      </c>
      <c r="D84" s="60">
        <f t="shared" si="10"/>
        <v>47</v>
      </c>
      <c r="E84" s="60">
        <f t="shared" si="10"/>
        <v>22</v>
      </c>
      <c r="F84" s="60">
        <f t="shared" si="10"/>
        <v>0</v>
      </c>
      <c r="G84" s="60">
        <f t="shared" si="10"/>
        <v>0</v>
      </c>
      <c r="H84" s="60">
        <f t="shared" si="10"/>
        <v>10</v>
      </c>
      <c r="I84" s="60">
        <f t="shared" si="10"/>
        <v>44</v>
      </c>
      <c r="J84" s="60">
        <f t="shared" si="10"/>
        <v>52</v>
      </c>
      <c r="K84" s="60">
        <f t="shared" si="10"/>
        <v>32</v>
      </c>
      <c r="L84" s="60">
        <f t="shared" si="10"/>
        <v>23.2</v>
      </c>
      <c r="M84" s="60">
        <f t="shared" si="10"/>
        <v>24</v>
      </c>
      <c r="N84" s="60">
        <f t="shared" si="10"/>
        <v>70</v>
      </c>
      <c r="O84" s="60">
        <f t="shared" si="10"/>
        <v>86.1</v>
      </c>
      <c r="P84" s="60">
        <f t="shared" si="10"/>
        <v>197.3</v>
      </c>
      <c r="Q84" s="60">
        <f t="shared" si="10"/>
        <v>160.9</v>
      </c>
      <c r="R84" s="60">
        <f t="shared" si="10"/>
        <v>0</v>
      </c>
      <c r="S84" s="60">
        <f t="shared" si="10"/>
        <v>41</v>
      </c>
      <c r="T84" s="60">
        <f t="shared" si="10"/>
        <v>85.4</v>
      </c>
      <c r="U84" s="60">
        <f t="shared" si="10"/>
        <v>138.80000000000001</v>
      </c>
      <c r="V84" s="60">
        <f t="shared" si="10"/>
        <v>306.5</v>
      </c>
      <c r="W84" s="60">
        <f t="shared" si="10"/>
        <v>190.5</v>
      </c>
      <c r="X84" s="60">
        <f t="shared" si="10"/>
        <v>141.5</v>
      </c>
      <c r="Y84" s="60">
        <f t="shared" si="10"/>
        <v>133.5</v>
      </c>
      <c r="Z84" s="60">
        <f t="shared" si="10"/>
        <v>146.6</v>
      </c>
      <c r="AA84" s="60">
        <v>92.499999999999986</v>
      </c>
      <c r="AB84" s="60">
        <f t="shared" si="10"/>
        <v>147.4</v>
      </c>
      <c r="AC84" s="60">
        <f t="shared" si="10"/>
        <v>147.4</v>
      </c>
      <c r="AD84" s="60">
        <f t="shared" si="10"/>
        <v>226.2</v>
      </c>
      <c r="AE84" s="60">
        <f t="shared" si="10"/>
        <v>286</v>
      </c>
      <c r="AF84" s="60">
        <f t="shared" si="10"/>
        <v>278</v>
      </c>
      <c r="AG84" s="88">
        <f>SUM(AG73:AG83)</f>
        <v>0</v>
      </c>
      <c r="AH84" s="47">
        <f t="shared" si="8"/>
        <v>306.5</v>
      </c>
      <c r="AI84" s="48">
        <f t="shared" si="9"/>
        <v>0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>
        <v>0</v>
      </c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 t="shared" ref="B89:AG89" si="11">B50+B54+B72+B68+B84+B88</f>
        <v>1401.74</v>
      </c>
      <c r="C89" s="95">
        <f t="shared" si="11"/>
        <v>1343.54</v>
      </c>
      <c r="D89" s="95">
        <f t="shared" si="11"/>
        <v>1318.54</v>
      </c>
      <c r="E89" s="95">
        <f t="shared" si="11"/>
        <v>1285.44</v>
      </c>
      <c r="F89" s="95">
        <f t="shared" si="11"/>
        <v>1231.1399999999999</v>
      </c>
      <c r="G89" s="95">
        <f t="shared" si="11"/>
        <v>1231.1399999999999</v>
      </c>
      <c r="H89" s="95">
        <f t="shared" si="11"/>
        <v>1276.1399999999999</v>
      </c>
      <c r="I89" s="95">
        <f t="shared" si="11"/>
        <v>1323.1399999999999</v>
      </c>
      <c r="J89" s="95">
        <f t="shared" si="11"/>
        <v>1397.54</v>
      </c>
      <c r="K89" s="95">
        <f t="shared" si="11"/>
        <v>1368.3400000000001</v>
      </c>
      <c r="L89" s="95">
        <f t="shared" si="11"/>
        <v>1460.14</v>
      </c>
      <c r="M89" s="95">
        <f t="shared" si="11"/>
        <v>1465.34</v>
      </c>
      <c r="N89" s="95">
        <f t="shared" si="11"/>
        <v>1475.54</v>
      </c>
      <c r="O89" s="95">
        <f t="shared" si="11"/>
        <v>1486.0399999999997</v>
      </c>
      <c r="P89" s="95">
        <f t="shared" si="11"/>
        <v>1548.74</v>
      </c>
      <c r="Q89" s="95">
        <f t="shared" si="11"/>
        <v>1491.44</v>
      </c>
      <c r="R89" s="95">
        <f t="shared" si="11"/>
        <v>3.54</v>
      </c>
      <c r="S89" s="95">
        <f t="shared" si="11"/>
        <v>1384.1399999999999</v>
      </c>
      <c r="T89" s="95">
        <f t="shared" si="11"/>
        <v>1463.54</v>
      </c>
      <c r="U89" s="95">
        <f t="shared" si="11"/>
        <v>1459.4399999999998</v>
      </c>
      <c r="V89" s="95">
        <f t="shared" si="11"/>
        <v>1541.64</v>
      </c>
      <c r="W89" s="95">
        <f t="shared" si="11"/>
        <v>1470.8400000000001</v>
      </c>
      <c r="X89" s="95">
        <f t="shared" si="11"/>
        <v>1392.3400000000001</v>
      </c>
      <c r="Y89" s="95">
        <f t="shared" si="11"/>
        <v>1384.3400000000001</v>
      </c>
      <c r="Z89" s="95">
        <f t="shared" si="11"/>
        <v>1493.54</v>
      </c>
      <c r="AA89" s="95">
        <v>1531.8400000000001</v>
      </c>
      <c r="AB89" s="95">
        <f t="shared" si="11"/>
        <v>1643.14</v>
      </c>
      <c r="AC89" s="95">
        <f t="shared" si="11"/>
        <v>1601.5400000000002</v>
      </c>
      <c r="AD89" s="95">
        <f t="shared" si="11"/>
        <v>1628.3400000000001</v>
      </c>
      <c r="AE89" s="95">
        <f t="shared" si="11"/>
        <v>1613.64</v>
      </c>
      <c r="AF89" s="95">
        <f t="shared" si="11"/>
        <v>1587.94</v>
      </c>
      <c r="AG89" s="61">
        <f t="shared" si="11"/>
        <v>2111.5500000000002</v>
      </c>
      <c r="AH89" s="47">
        <f t="shared" si="8"/>
        <v>1643.14</v>
      </c>
      <c r="AI89" s="48">
        <f t="shared" si="9"/>
        <v>3.54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>
        <v>130</v>
      </c>
      <c r="T90" s="97">
        <v>130</v>
      </c>
      <c r="U90" s="97"/>
      <c r="V90" s="97"/>
      <c r="W90" s="97"/>
      <c r="X90" s="97">
        <v>150</v>
      </c>
      <c r="Y90" s="97">
        <v>200</v>
      </c>
      <c r="Z90" s="97">
        <v>200</v>
      </c>
      <c r="AA90" s="97">
        <v>200</v>
      </c>
      <c r="AB90" s="97"/>
      <c r="AC90" s="97"/>
      <c r="AD90" s="97"/>
      <c r="AE90" s="97"/>
      <c r="AF90" s="97"/>
      <c r="AG90" s="88"/>
      <c r="AH90" s="47">
        <f t="shared" si="8"/>
        <v>200</v>
      </c>
      <c r="AI90" s="48">
        <f t="shared" si="9"/>
        <v>130</v>
      </c>
    </row>
    <row r="91" spans="1:40" ht="15.75" thickBot="1" x14ac:dyDescent="0.3">
      <c r="A91" s="74" t="s">
        <v>100</v>
      </c>
      <c r="B91" s="95">
        <f t="shared" ref="B91:AF91" si="12">B89+B90</f>
        <v>1401.74</v>
      </c>
      <c r="C91" s="95">
        <f t="shared" si="12"/>
        <v>1343.54</v>
      </c>
      <c r="D91" s="95">
        <f t="shared" si="12"/>
        <v>1318.54</v>
      </c>
      <c r="E91" s="95">
        <f t="shared" si="12"/>
        <v>1285.44</v>
      </c>
      <c r="F91" s="95">
        <f t="shared" si="12"/>
        <v>1231.1399999999999</v>
      </c>
      <c r="G91" s="95">
        <f t="shared" si="12"/>
        <v>1231.1399999999999</v>
      </c>
      <c r="H91" s="95">
        <f t="shared" si="12"/>
        <v>1276.1399999999999</v>
      </c>
      <c r="I91" s="95">
        <f t="shared" si="12"/>
        <v>1323.1399999999999</v>
      </c>
      <c r="J91" s="95">
        <f t="shared" si="12"/>
        <v>1397.54</v>
      </c>
      <c r="K91" s="95">
        <f t="shared" si="12"/>
        <v>1368.3400000000001</v>
      </c>
      <c r="L91" s="95">
        <f t="shared" si="12"/>
        <v>1460.14</v>
      </c>
      <c r="M91" s="95">
        <f t="shared" si="12"/>
        <v>1465.34</v>
      </c>
      <c r="N91" s="95">
        <f t="shared" si="12"/>
        <v>1475.54</v>
      </c>
      <c r="O91" s="95">
        <f t="shared" si="12"/>
        <v>1486.0399999999997</v>
      </c>
      <c r="P91" s="95">
        <f t="shared" si="12"/>
        <v>1548.74</v>
      </c>
      <c r="Q91" s="95">
        <f t="shared" si="12"/>
        <v>1491.44</v>
      </c>
      <c r="R91" s="95">
        <f t="shared" si="12"/>
        <v>3.54</v>
      </c>
      <c r="S91" s="95">
        <f t="shared" si="12"/>
        <v>1514.1399999999999</v>
      </c>
      <c r="T91" s="95">
        <f t="shared" si="12"/>
        <v>1593.54</v>
      </c>
      <c r="U91" s="95">
        <f t="shared" si="12"/>
        <v>1459.4399999999998</v>
      </c>
      <c r="V91" s="95">
        <f t="shared" si="12"/>
        <v>1541.64</v>
      </c>
      <c r="W91" s="95">
        <f t="shared" si="12"/>
        <v>1470.8400000000001</v>
      </c>
      <c r="X91" s="95">
        <f t="shared" si="12"/>
        <v>1542.3400000000001</v>
      </c>
      <c r="Y91" s="95">
        <f t="shared" si="12"/>
        <v>1584.3400000000001</v>
      </c>
      <c r="Z91" s="95">
        <f t="shared" si="12"/>
        <v>1693.54</v>
      </c>
      <c r="AA91" s="95">
        <v>1731.8400000000001</v>
      </c>
      <c r="AB91" s="95">
        <f t="shared" si="12"/>
        <v>1643.14</v>
      </c>
      <c r="AC91" s="95">
        <f t="shared" si="12"/>
        <v>1601.5400000000002</v>
      </c>
      <c r="AD91" s="95">
        <f t="shared" si="12"/>
        <v>1628.3400000000001</v>
      </c>
      <c r="AE91" s="95">
        <f t="shared" si="12"/>
        <v>1613.64</v>
      </c>
      <c r="AF91" s="95">
        <f t="shared" si="12"/>
        <v>1587.94</v>
      </c>
      <c r="AG91" s="88">
        <f>AG88+AG84+AG72+AG68+AG50+AG90</f>
        <v>1573.45</v>
      </c>
      <c r="AH91" s="47">
        <f t="shared" si="8"/>
        <v>1731.8400000000001</v>
      </c>
      <c r="AI91" s="48">
        <f t="shared" si="9"/>
        <v>3.54</v>
      </c>
    </row>
    <row r="92" spans="1:40" ht="15.75" thickBot="1" x14ac:dyDescent="0.3">
      <c r="A92" s="74" t="s">
        <v>101</v>
      </c>
      <c r="B92" s="95">
        <f t="shared" ref="B92:AF92" si="13">B91-B99</f>
        <v>1401.74</v>
      </c>
      <c r="C92" s="95">
        <f t="shared" si="13"/>
        <v>1343.54</v>
      </c>
      <c r="D92" s="95">
        <f t="shared" si="13"/>
        <v>1318.54</v>
      </c>
      <c r="E92" s="95">
        <f t="shared" si="13"/>
        <v>1285.44</v>
      </c>
      <c r="F92" s="95">
        <f t="shared" si="13"/>
        <v>1231.1399999999999</v>
      </c>
      <c r="G92" s="95">
        <f t="shared" si="13"/>
        <v>1231.1399999999999</v>
      </c>
      <c r="H92" s="95">
        <f t="shared" si="13"/>
        <v>1276.1399999999999</v>
      </c>
      <c r="I92" s="95">
        <f t="shared" si="13"/>
        <v>1323.1399999999999</v>
      </c>
      <c r="J92" s="95">
        <f t="shared" si="13"/>
        <v>1397.54</v>
      </c>
      <c r="K92" s="95">
        <f t="shared" si="13"/>
        <v>1368.3400000000001</v>
      </c>
      <c r="L92" s="95">
        <f t="shared" si="13"/>
        <v>1460.14</v>
      </c>
      <c r="M92" s="95">
        <f t="shared" si="13"/>
        <v>1465.34</v>
      </c>
      <c r="N92" s="95">
        <f t="shared" si="13"/>
        <v>1475.54</v>
      </c>
      <c r="O92" s="95">
        <f t="shared" si="13"/>
        <v>1486.0399999999997</v>
      </c>
      <c r="P92" s="95">
        <f t="shared" si="13"/>
        <v>1548.74</v>
      </c>
      <c r="Q92" s="95">
        <f t="shared" si="13"/>
        <v>1491.44</v>
      </c>
      <c r="R92" s="95">
        <f t="shared" si="13"/>
        <v>3.54</v>
      </c>
      <c r="S92" s="95">
        <f t="shared" si="13"/>
        <v>1514.1399999999999</v>
      </c>
      <c r="T92" s="95">
        <f t="shared" si="13"/>
        <v>1593.54</v>
      </c>
      <c r="U92" s="95">
        <f t="shared" si="13"/>
        <v>1459.4399999999998</v>
      </c>
      <c r="V92" s="95">
        <f t="shared" si="13"/>
        <v>1541.64</v>
      </c>
      <c r="W92" s="95">
        <f t="shared" si="13"/>
        <v>1470.8400000000001</v>
      </c>
      <c r="X92" s="95">
        <f t="shared" si="13"/>
        <v>1542.3400000000001</v>
      </c>
      <c r="Y92" s="95">
        <f t="shared" si="13"/>
        <v>1584.3400000000001</v>
      </c>
      <c r="Z92" s="95">
        <f t="shared" si="13"/>
        <v>1693.54</v>
      </c>
      <c r="AA92" s="95">
        <v>1731.8400000000001</v>
      </c>
      <c r="AB92" s="95">
        <f t="shared" si="13"/>
        <v>1643.14</v>
      </c>
      <c r="AC92" s="95">
        <f t="shared" si="13"/>
        <v>1601.5400000000002</v>
      </c>
      <c r="AD92" s="95">
        <f t="shared" si="13"/>
        <v>1628.3400000000001</v>
      </c>
      <c r="AE92" s="95">
        <f t="shared" si="13"/>
        <v>1613.64</v>
      </c>
      <c r="AF92" s="95">
        <f t="shared" si="13"/>
        <v>1587.94</v>
      </c>
      <c r="AG92" s="88"/>
      <c r="AH92" s="47">
        <f t="shared" si="8"/>
        <v>1731.8400000000001</v>
      </c>
      <c r="AI92" s="48">
        <f t="shared" si="9"/>
        <v>3.54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0</v>
      </c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 t="shared" ref="B100:AF100" si="14">B84-B99</f>
        <v>0</v>
      </c>
      <c r="C100" s="60">
        <f t="shared" si="14"/>
        <v>17.8</v>
      </c>
      <c r="D100" s="60">
        <f t="shared" si="14"/>
        <v>47</v>
      </c>
      <c r="E100" s="60">
        <f t="shared" si="14"/>
        <v>22</v>
      </c>
      <c r="F100" s="60">
        <f t="shared" si="14"/>
        <v>0</v>
      </c>
      <c r="G100" s="60">
        <f t="shared" si="14"/>
        <v>0</v>
      </c>
      <c r="H100" s="60">
        <f t="shared" si="14"/>
        <v>10</v>
      </c>
      <c r="I100" s="60">
        <f t="shared" si="14"/>
        <v>44</v>
      </c>
      <c r="J100" s="60">
        <f t="shared" si="14"/>
        <v>52</v>
      </c>
      <c r="K100" s="60">
        <f t="shared" si="14"/>
        <v>32</v>
      </c>
      <c r="L100" s="60">
        <f t="shared" si="14"/>
        <v>23.2</v>
      </c>
      <c r="M100" s="60">
        <f t="shared" si="14"/>
        <v>24</v>
      </c>
      <c r="N100" s="60">
        <f t="shared" si="14"/>
        <v>70</v>
      </c>
      <c r="O100" s="60">
        <f t="shared" si="14"/>
        <v>86.1</v>
      </c>
      <c r="P100" s="60">
        <f t="shared" si="14"/>
        <v>197.3</v>
      </c>
      <c r="Q100" s="60">
        <f t="shared" si="14"/>
        <v>160.9</v>
      </c>
      <c r="R100" s="60">
        <f t="shared" si="14"/>
        <v>0</v>
      </c>
      <c r="S100" s="60">
        <f t="shared" si="14"/>
        <v>41</v>
      </c>
      <c r="T100" s="60">
        <f t="shared" si="14"/>
        <v>85.4</v>
      </c>
      <c r="U100" s="60">
        <f t="shared" si="14"/>
        <v>138.80000000000001</v>
      </c>
      <c r="V100" s="60">
        <f t="shared" si="14"/>
        <v>306.5</v>
      </c>
      <c r="W100" s="60">
        <f t="shared" si="14"/>
        <v>190.5</v>
      </c>
      <c r="X100" s="60">
        <f t="shared" si="14"/>
        <v>141.5</v>
      </c>
      <c r="Y100" s="60">
        <f t="shared" si="14"/>
        <v>133.5</v>
      </c>
      <c r="Z100" s="60">
        <f t="shared" si="14"/>
        <v>146.6</v>
      </c>
      <c r="AA100" s="60">
        <v>92.499999999999986</v>
      </c>
      <c r="AB100" s="60">
        <f t="shared" si="14"/>
        <v>147.4</v>
      </c>
      <c r="AC100" s="60">
        <f t="shared" si="14"/>
        <v>147.4</v>
      </c>
      <c r="AD100" s="60">
        <f t="shared" si="14"/>
        <v>226.2</v>
      </c>
      <c r="AE100" s="60">
        <f t="shared" si="14"/>
        <v>286</v>
      </c>
      <c r="AF100" s="60">
        <f t="shared" si="14"/>
        <v>278</v>
      </c>
      <c r="AG100" s="88"/>
      <c r="AH100" s="47">
        <f t="shared" si="8"/>
        <v>306.5</v>
      </c>
      <c r="AI100" s="48">
        <f t="shared" si="9"/>
        <v>0</v>
      </c>
    </row>
    <row r="101" spans="1:37" x14ac:dyDescent="0.25">
      <c r="A101" s="100" t="s">
        <v>107</v>
      </c>
      <c r="B101" s="101">
        <v>50.042999999999999</v>
      </c>
      <c r="C101" s="101">
        <v>50.03</v>
      </c>
      <c r="D101" s="101">
        <v>50.04</v>
      </c>
      <c r="E101" s="101">
        <v>50.023000000000003</v>
      </c>
      <c r="F101" s="101">
        <v>49.956899999999997</v>
      </c>
      <c r="G101" s="101">
        <v>49.956899999999997</v>
      </c>
      <c r="H101" s="101">
        <v>49.813000000000002</v>
      </c>
      <c r="I101" s="101">
        <v>49.863</v>
      </c>
      <c r="J101" s="101">
        <v>50.103000000000002</v>
      </c>
      <c r="K101" s="101">
        <v>50.063000000000002</v>
      </c>
      <c r="L101" s="101">
        <v>50.042000000000002</v>
      </c>
      <c r="M101" s="101">
        <v>50.064999999999998</v>
      </c>
      <c r="N101" s="101">
        <v>49.987000000000002</v>
      </c>
      <c r="O101" s="101">
        <v>49.854999999999997</v>
      </c>
      <c r="P101" s="101">
        <v>49.997999999999998</v>
      </c>
      <c r="Q101" s="101">
        <v>49.95</v>
      </c>
      <c r="R101" s="101"/>
      <c r="S101" s="101">
        <v>49.76</v>
      </c>
      <c r="T101" s="101">
        <v>50.040999999999997</v>
      </c>
      <c r="U101" s="101">
        <v>50.09</v>
      </c>
      <c r="V101" s="101">
        <v>50.11</v>
      </c>
      <c r="W101" s="101">
        <v>49.98</v>
      </c>
      <c r="X101" s="101">
        <v>50.03</v>
      </c>
      <c r="Y101" s="101">
        <v>50.03</v>
      </c>
      <c r="Z101" s="101">
        <v>49.97</v>
      </c>
      <c r="AA101" s="101">
        <v>49.9</v>
      </c>
      <c r="AB101" s="101">
        <v>49.994</v>
      </c>
      <c r="AC101" s="101">
        <v>49.921999999999997</v>
      </c>
      <c r="AD101" s="101">
        <v>49.83</v>
      </c>
      <c r="AE101" s="101">
        <v>49.988999999999997</v>
      </c>
      <c r="AF101" s="101">
        <v>50.027999999999999</v>
      </c>
      <c r="AG101" s="102"/>
      <c r="AH101" s="47">
        <f t="shared" si="8"/>
        <v>50.11</v>
      </c>
      <c r="AI101" s="48">
        <f t="shared" si="9"/>
        <v>49.76</v>
      </c>
    </row>
    <row r="102" spans="1:37" x14ac:dyDescent="0.25">
      <c r="A102" s="103" t="s">
        <v>108</v>
      </c>
      <c r="B102" s="65">
        <v>125</v>
      </c>
      <c r="C102" s="65">
        <v>125</v>
      </c>
      <c r="D102" s="65">
        <v>125</v>
      </c>
      <c r="E102" s="65">
        <v>126.4</v>
      </c>
      <c r="F102" s="65">
        <v>127.8</v>
      </c>
      <c r="G102" s="65">
        <v>127.8</v>
      </c>
      <c r="H102" s="65">
        <v>126.2</v>
      </c>
      <c r="I102" s="65">
        <v>124.2</v>
      </c>
      <c r="J102" s="65">
        <v>125.7</v>
      </c>
      <c r="K102" s="65">
        <v>125.7</v>
      </c>
      <c r="L102" s="65">
        <v>125.8</v>
      </c>
      <c r="M102" s="65">
        <v>126.2</v>
      </c>
      <c r="N102" s="65">
        <v>125.4</v>
      </c>
      <c r="O102" s="65">
        <v>123.9</v>
      </c>
      <c r="P102" s="65">
        <v>125.1</v>
      </c>
      <c r="Q102" s="65">
        <v>125.1</v>
      </c>
      <c r="R102" s="65"/>
      <c r="S102" s="65">
        <v>125.9</v>
      </c>
      <c r="T102" s="65">
        <v>128</v>
      </c>
      <c r="U102" s="65">
        <v>127.1</v>
      </c>
      <c r="V102" s="65">
        <v>124</v>
      </c>
      <c r="W102" s="65">
        <v>124</v>
      </c>
      <c r="X102" s="65">
        <v>124</v>
      </c>
      <c r="Y102" s="65">
        <v>124</v>
      </c>
      <c r="Z102" s="65">
        <v>127.8</v>
      </c>
      <c r="AA102" s="65">
        <v>127.4</v>
      </c>
      <c r="AB102" s="65">
        <v>127</v>
      </c>
      <c r="AC102" s="65">
        <v>126.6</v>
      </c>
      <c r="AD102" s="65">
        <v>126.6</v>
      </c>
      <c r="AE102" s="65">
        <v>126.1</v>
      </c>
      <c r="AF102" s="65">
        <v>125.4</v>
      </c>
      <c r="AG102" s="104"/>
      <c r="AH102" s="47">
        <f t="shared" si="8"/>
        <v>128</v>
      </c>
      <c r="AI102" s="48">
        <f t="shared" si="9"/>
        <v>123.9</v>
      </c>
    </row>
    <row r="103" spans="1:37" x14ac:dyDescent="0.25">
      <c r="A103" s="103" t="s">
        <v>109</v>
      </c>
      <c r="B103" s="65">
        <v>129.80000000000001</v>
      </c>
      <c r="C103" s="65">
        <v>129.80000000000001</v>
      </c>
      <c r="D103" s="65">
        <v>129.80000000000001</v>
      </c>
      <c r="E103" s="65">
        <v>131.4</v>
      </c>
      <c r="F103" s="65">
        <v>131.6</v>
      </c>
      <c r="G103" s="65">
        <v>131.6</v>
      </c>
      <c r="H103" s="65">
        <v>130.1</v>
      </c>
      <c r="I103" s="65">
        <v>127.9</v>
      </c>
      <c r="J103" s="65">
        <v>129.1</v>
      </c>
      <c r="K103" s="65">
        <v>129.1</v>
      </c>
      <c r="L103" s="65">
        <v>128.4</v>
      </c>
      <c r="M103" s="65">
        <v>128.69999999999999</v>
      </c>
      <c r="N103" s="65">
        <v>128.1</v>
      </c>
      <c r="O103" s="65">
        <v>127.2</v>
      </c>
      <c r="P103" s="65">
        <v>128.19999999999999</v>
      </c>
      <c r="Q103" s="65">
        <v>128.19999999999999</v>
      </c>
      <c r="R103" s="65"/>
      <c r="S103" s="65">
        <v>128.19999999999999</v>
      </c>
      <c r="T103" s="65">
        <v>129.69999999999999</v>
      </c>
      <c r="U103" s="65">
        <v>129</v>
      </c>
      <c r="V103" s="65">
        <v>128</v>
      </c>
      <c r="W103" s="65">
        <v>128</v>
      </c>
      <c r="X103" s="65">
        <v>128</v>
      </c>
      <c r="Y103" s="65">
        <v>128</v>
      </c>
      <c r="Z103" s="65">
        <v>129.69999999999999</v>
      </c>
      <c r="AA103" s="65">
        <v>129.4</v>
      </c>
      <c r="AB103" s="65">
        <v>129.80000000000001</v>
      </c>
      <c r="AC103" s="65">
        <v>130.19999999999999</v>
      </c>
      <c r="AD103" s="65">
        <v>130.4</v>
      </c>
      <c r="AE103" s="65">
        <v>130.80000000000001</v>
      </c>
      <c r="AF103" s="65">
        <v>130.19999999999999</v>
      </c>
      <c r="AG103" s="104"/>
      <c r="AH103" s="47">
        <f t="shared" si="8"/>
        <v>131.6</v>
      </c>
      <c r="AI103" s="48">
        <f t="shared" si="9"/>
        <v>127.2</v>
      </c>
    </row>
    <row r="104" spans="1:37" x14ac:dyDescent="0.25">
      <c r="A104" s="103" t="s">
        <v>110</v>
      </c>
      <c r="B104" s="65">
        <v>129</v>
      </c>
      <c r="C104" s="65">
        <v>129</v>
      </c>
      <c r="D104" s="65">
        <v>129</v>
      </c>
      <c r="E104" s="65">
        <v>131.5</v>
      </c>
      <c r="F104" s="65">
        <v>133.6</v>
      </c>
      <c r="G104" s="65">
        <v>133.6</v>
      </c>
      <c r="H104" s="65">
        <v>130.4</v>
      </c>
      <c r="I104" s="65">
        <v>129.30000000000001</v>
      </c>
      <c r="J104" s="65">
        <v>129</v>
      </c>
      <c r="K104" s="65">
        <v>129</v>
      </c>
      <c r="L104" s="65">
        <v>135.19999999999999</v>
      </c>
      <c r="M104" s="65">
        <v>124.9</v>
      </c>
      <c r="N104" s="65">
        <v>125.6</v>
      </c>
      <c r="O104" s="65">
        <v>127.1</v>
      </c>
      <c r="P104" s="65">
        <v>128.80000000000001</v>
      </c>
      <c r="Q104" s="65">
        <v>130.19999999999999</v>
      </c>
      <c r="R104" s="65"/>
      <c r="S104" s="65">
        <v>127.1</v>
      </c>
      <c r="T104" s="65">
        <v>127.4</v>
      </c>
      <c r="U104" s="65">
        <v>128</v>
      </c>
      <c r="V104" s="65">
        <v>127.6</v>
      </c>
      <c r="W104" s="65">
        <v>127.6</v>
      </c>
      <c r="X104" s="65">
        <v>127.6</v>
      </c>
      <c r="Y104" s="65">
        <v>127.6</v>
      </c>
      <c r="Z104" s="65">
        <v>125.4</v>
      </c>
      <c r="AA104" s="65">
        <v>127.3</v>
      </c>
      <c r="AB104" s="65">
        <v>127.3</v>
      </c>
      <c r="AC104" s="65">
        <v>128.5</v>
      </c>
      <c r="AD104" s="65">
        <v>127.5</v>
      </c>
      <c r="AE104" s="65">
        <v>126</v>
      </c>
      <c r="AF104" s="65">
        <v>125.9</v>
      </c>
      <c r="AG104" s="104"/>
      <c r="AH104" s="47">
        <f t="shared" si="8"/>
        <v>135.19999999999999</v>
      </c>
      <c r="AI104" s="48">
        <f t="shared" si="9"/>
        <v>124.9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131</v>
      </c>
      <c r="C106" s="106">
        <v>131</v>
      </c>
      <c r="D106" s="106">
        <v>131</v>
      </c>
      <c r="E106" s="106">
        <v>130.4</v>
      </c>
      <c r="F106" s="106">
        <v>132.6</v>
      </c>
      <c r="G106" s="106">
        <v>132.6</v>
      </c>
      <c r="H106" s="106">
        <v>132.80000000000001</v>
      </c>
      <c r="I106" s="106">
        <v>130</v>
      </c>
      <c r="J106" s="106">
        <v>134.6</v>
      </c>
      <c r="K106" s="106">
        <v>134.6</v>
      </c>
      <c r="L106" s="106">
        <v>131.9</v>
      </c>
      <c r="M106" s="106">
        <v>132.19999999999999</v>
      </c>
      <c r="N106" s="106">
        <v>129.69999999999999</v>
      </c>
      <c r="O106" s="106">
        <v>127.8</v>
      </c>
      <c r="P106" s="106">
        <v>132.6</v>
      </c>
      <c r="Q106" s="106">
        <v>133.30000000000001</v>
      </c>
      <c r="R106" s="106"/>
      <c r="S106" s="106">
        <v>127.7</v>
      </c>
      <c r="T106" s="106">
        <v>132</v>
      </c>
      <c r="U106" s="106">
        <v>133.5</v>
      </c>
      <c r="V106" s="106">
        <v>131.6</v>
      </c>
      <c r="W106" s="106">
        <v>131.6</v>
      </c>
      <c r="X106" s="106">
        <v>131.6</v>
      </c>
      <c r="Y106" s="106">
        <v>131.6</v>
      </c>
      <c r="Z106" s="106">
        <v>132.9</v>
      </c>
      <c r="AA106" s="106">
        <v>131</v>
      </c>
      <c r="AB106" s="106">
        <v>134.1</v>
      </c>
      <c r="AC106" s="106">
        <v>133.6</v>
      </c>
      <c r="AD106" s="106">
        <v>130.6</v>
      </c>
      <c r="AE106" s="106">
        <v>133.5</v>
      </c>
      <c r="AF106" s="106">
        <v>132.80000000000001</v>
      </c>
      <c r="AG106" s="107"/>
      <c r="AH106" s="47">
        <f t="shared" si="8"/>
        <v>134.6</v>
      </c>
      <c r="AI106" s="48">
        <f t="shared" si="9"/>
        <v>127.7</v>
      </c>
    </row>
    <row r="107" spans="1:37" x14ac:dyDescent="0.25">
      <c r="A107" s="103" t="s">
        <v>113</v>
      </c>
      <c r="B107" s="65">
        <v>131</v>
      </c>
      <c r="C107" s="65">
        <v>131</v>
      </c>
      <c r="D107" s="65">
        <v>131</v>
      </c>
      <c r="E107" s="65">
        <v>132.5</v>
      </c>
      <c r="F107" s="65">
        <v>134.5</v>
      </c>
      <c r="G107" s="65">
        <v>134.5</v>
      </c>
      <c r="H107" s="65">
        <v>133.5</v>
      </c>
      <c r="I107" s="65">
        <v>127.5</v>
      </c>
      <c r="J107" s="65">
        <v>136</v>
      </c>
      <c r="K107" s="65">
        <v>136</v>
      </c>
      <c r="L107" s="65">
        <v>130.4</v>
      </c>
      <c r="M107" s="65">
        <v>129.80000000000001</v>
      </c>
      <c r="N107" s="65">
        <v>129.80000000000001</v>
      </c>
      <c r="O107" s="65">
        <v>127.5</v>
      </c>
      <c r="P107" s="65">
        <v>127.3</v>
      </c>
      <c r="Q107" s="65">
        <v>131.5</v>
      </c>
      <c r="R107" s="65"/>
      <c r="S107" s="65">
        <v>123.5</v>
      </c>
      <c r="T107" s="65">
        <v>130</v>
      </c>
      <c r="U107" s="65">
        <v>130.1</v>
      </c>
      <c r="V107" s="65">
        <v>127.6</v>
      </c>
      <c r="W107" s="65">
        <v>127.6</v>
      </c>
      <c r="X107" s="65">
        <v>127.6</v>
      </c>
      <c r="Y107" s="65">
        <v>127.6</v>
      </c>
      <c r="Z107" s="65">
        <v>130.1</v>
      </c>
      <c r="AA107" s="65">
        <v>127.4</v>
      </c>
      <c r="AB107" s="65">
        <v>131.69999999999999</v>
      </c>
      <c r="AC107" s="65">
        <v>131.30000000000001</v>
      </c>
      <c r="AD107" s="65">
        <v>125.2</v>
      </c>
      <c r="AE107" s="65">
        <v>128.5</v>
      </c>
      <c r="AF107" s="65">
        <v>125.4</v>
      </c>
      <c r="AG107" s="104"/>
      <c r="AH107" s="47">
        <f t="shared" si="8"/>
        <v>136</v>
      </c>
      <c r="AI107" s="48">
        <f t="shared" si="9"/>
        <v>123.5</v>
      </c>
    </row>
    <row r="108" spans="1:37" ht="15.75" thickBot="1" x14ac:dyDescent="0.3">
      <c r="A108" s="103" t="s">
        <v>114</v>
      </c>
      <c r="B108" s="92">
        <v>65.2</v>
      </c>
      <c r="C108" s="92">
        <v>65.2</v>
      </c>
      <c r="D108" s="92">
        <v>65.2</v>
      </c>
      <c r="E108" s="92">
        <v>65.7</v>
      </c>
      <c r="F108" s="92">
        <v>66.2</v>
      </c>
      <c r="G108" s="92">
        <v>66.2</v>
      </c>
      <c r="H108" s="92">
        <v>65.2</v>
      </c>
      <c r="I108" s="92">
        <v>65</v>
      </c>
      <c r="J108" s="92">
        <v>64.900000000000006</v>
      </c>
      <c r="K108" s="92">
        <v>64.900000000000006</v>
      </c>
      <c r="L108" s="92">
        <v>64.5</v>
      </c>
      <c r="M108" s="92">
        <v>64.599999999999994</v>
      </c>
      <c r="N108" s="92">
        <v>64.099999999999994</v>
      </c>
      <c r="O108" s="92">
        <v>63.8</v>
      </c>
      <c r="P108" s="92">
        <v>64</v>
      </c>
      <c r="Q108" s="92">
        <v>64.099999999999994</v>
      </c>
      <c r="R108" s="92"/>
      <c r="S108" s="92">
        <v>63.69</v>
      </c>
      <c r="T108" s="92">
        <v>64.400000000000006</v>
      </c>
      <c r="U108" s="92">
        <v>64</v>
      </c>
      <c r="V108" s="92">
        <v>63.9</v>
      </c>
      <c r="W108" s="92">
        <v>63.9</v>
      </c>
      <c r="X108" s="92">
        <v>63.9</v>
      </c>
      <c r="Y108" s="92">
        <v>63.9</v>
      </c>
      <c r="Z108" s="92">
        <v>64.7</v>
      </c>
      <c r="AA108" s="92">
        <v>64.599999999999994</v>
      </c>
      <c r="AB108" s="92">
        <v>64.8</v>
      </c>
      <c r="AC108" s="92">
        <v>65.099999999999994</v>
      </c>
      <c r="AD108" s="92">
        <v>65.400000000000006</v>
      </c>
      <c r="AE108" s="92">
        <v>65.400000000000006</v>
      </c>
      <c r="AF108" s="92">
        <v>65.400000000000006</v>
      </c>
      <c r="AG108" s="108"/>
      <c r="AH108" s="47">
        <f t="shared" si="8"/>
        <v>66.2</v>
      </c>
      <c r="AI108" s="48">
        <f t="shared" si="9"/>
        <v>63.69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 t="s">
        <v>115</v>
      </c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 t="shared" ref="B110:O110" si="15">SUM(B20,B26,B29:B30,B58,B60:B61,B63,B65,B111:B115,B138,B144,B150,B159,B161,B173,B180,B183:B184,B191,B193,B195,B199:B201,B203:B205,B210,B216:B217,B219:B221,B229,B234)</f>
        <v>70.800000000000026</v>
      </c>
      <c r="C110" s="111">
        <f t="shared" si="15"/>
        <v>66.639999999999986</v>
      </c>
      <c r="D110" s="111">
        <f t="shared" si="15"/>
        <v>62.539999999999978</v>
      </c>
      <c r="E110" s="111">
        <f t="shared" si="15"/>
        <v>58.610000000000014</v>
      </c>
      <c r="F110" s="111">
        <f t="shared" si="15"/>
        <v>66.040000000000006</v>
      </c>
      <c r="G110" s="111">
        <f t="shared" si="15"/>
        <v>92.74</v>
      </c>
      <c r="H110" s="111">
        <f t="shared" si="15"/>
        <v>111.74</v>
      </c>
      <c r="I110" s="111">
        <f t="shared" si="15"/>
        <v>174.64</v>
      </c>
      <c r="J110" s="111">
        <f t="shared" si="15"/>
        <v>196.14000000000001</v>
      </c>
      <c r="K110" s="111">
        <f t="shared" si="15"/>
        <v>213.84000000000003</v>
      </c>
      <c r="L110" s="111">
        <f t="shared" si="15"/>
        <v>200.03999999999996</v>
      </c>
      <c r="M110" s="111">
        <f t="shared" si="15"/>
        <v>198.64</v>
      </c>
      <c r="N110" s="111">
        <f t="shared" si="15"/>
        <v>179.44</v>
      </c>
      <c r="O110" s="111">
        <f t="shared" si="15"/>
        <v>190.24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220.30000000000004</v>
      </c>
      <c r="R110" s="111">
        <f t="shared" si="16"/>
        <v>0</v>
      </c>
      <c r="S110" s="111">
        <f t="shared" si="16"/>
        <v>179.00000000000003</v>
      </c>
      <c r="T110" s="111">
        <f t="shared" si="16"/>
        <v>209.7</v>
      </c>
      <c r="U110" s="111">
        <f t="shared" si="16"/>
        <v>191.40000000000003</v>
      </c>
      <c r="V110" s="111">
        <f t="shared" si="16"/>
        <v>227.50000000000003</v>
      </c>
      <c r="W110" s="111">
        <f t="shared" si="16"/>
        <v>167.50000000000003</v>
      </c>
      <c r="X110" s="111">
        <f t="shared" si="16"/>
        <v>185.70000000000002</v>
      </c>
      <c r="Y110" s="111">
        <f t="shared" si="16"/>
        <v>206.7</v>
      </c>
      <c r="Z110" s="111">
        <f t="shared" si="16"/>
        <v>237.3</v>
      </c>
      <c r="AA110" s="111">
        <v>339.49708333333336</v>
      </c>
      <c r="AB110" s="111">
        <f t="shared" si="16"/>
        <v>245.3</v>
      </c>
      <c r="AC110" s="111">
        <f t="shared" si="16"/>
        <v>251.10000000000002</v>
      </c>
      <c r="AD110" s="111"/>
      <c r="AE110" s="111">
        <f t="shared" si="16"/>
        <v>126.80000000000001</v>
      </c>
      <c r="AF110" s="111">
        <f t="shared" si="16"/>
        <v>99.90000000000002</v>
      </c>
      <c r="AG110" s="112"/>
      <c r="AH110" s="47">
        <f t="shared" si="8"/>
        <v>339.49708333333336</v>
      </c>
      <c r="AI110" s="48">
        <f t="shared" si="9"/>
        <v>0</v>
      </c>
    </row>
    <row r="111" spans="1:37" x14ac:dyDescent="0.25">
      <c r="A111" s="100" t="s">
        <v>117</v>
      </c>
      <c r="B111" s="113">
        <v>8.9</v>
      </c>
      <c r="C111" s="113">
        <v>9</v>
      </c>
      <c r="D111" s="113">
        <v>8.6999999999999993</v>
      </c>
      <c r="E111" s="113">
        <v>5.37</v>
      </c>
      <c r="F111" s="113">
        <v>6.6</v>
      </c>
      <c r="G111" s="113">
        <v>9.5</v>
      </c>
      <c r="H111" s="113">
        <v>22</v>
      </c>
      <c r="I111" s="113">
        <v>26.3</v>
      </c>
      <c r="J111" s="113">
        <v>33.5</v>
      </c>
      <c r="K111" s="113">
        <v>27.4</v>
      </c>
      <c r="L111" s="113">
        <v>33.799999999999997</v>
      </c>
      <c r="M111" s="113">
        <v>37.6</v>
      </c>
      <c r="N111" s="113">
        <v>28.7</v>
      </c>
      <c r="O111" s="113">
        <v>27.4</v>
      </c>
      <c r="P111" s="113">
        <v>21.4</v>
      </c>
      <c r="Q111" s="113">
        <v>39.200000000000003</v>
      </c>
      <c r="R111" s="113"/>
      <c r="S111" s="113">
        <v>27.3</v>
      </c>
      <c r="T111" s="113">
        <v>20.100000000000001</v>
      </c>
      <c r="U111" s="113">
        <v>28.3</v>
      </c>
      <c r="V111" s="113">
        <v>27.4</v>
      </c>
      <c r="W111" s="113">
        <v>27.4</v>
      </c>
      <c r="X111" s="113">
        <v>45</v>
      </c>
      <c r="Y111" s="113">
        <v>51.8</v>
      </c>
      <c r="Z111" s="113">
        <v>48.4</v>
      </c>
      <c r="AA111" s="113">
        <v>44.5</v>
      </c>
      <c r="AB111" s="113">
        <v>49.2</v>
      </c>
      <c r="AC111" s="113">
        <v>42.6</v>
      </c>
      <c r="AD111" s="113">
        <v>35.6</v>
      </c>
      <c r="AE111" s="113">
        <v>20.7</v>
      </c>
      <c r="AF111" s="113">
        <v>16.600000000000001</v>
      </c>
      <c r="AG111" s="114">
        <v>75</v>
      </c>
      <c r="AH111" s="47">
        <f t="shared" si="8"/>
        <v>51.8</v>
      </c>
      <c r="AI111" s="48">
        <f t="shared" si="9"/>
        <v>5.37</v>
      </c>
    </row>
    <row r="112" spans="1:37" x14ac:dyDescent="0.25">
      <c r="A112" s="103" t="s">
        <v>118</v>
      </c>
      <c r="B112" s="115">
        <v>21.3</v>
      </c>
      <c r="C112" s="115">
        <v>22.2</v>
      </c>
      <c r="D112" s="115">
        <v>21.7</v>
      </c>
      <c r="E112" s="115">
        <v>18.399999999999999</v>
      </c>
      <c r="F112" s="115">
        <v>17.3</v>
      </c>
      <c r="G112" s="115">
        <v>22.5</v>
      </c>
      <c r="H112" s="115">
        <v>39.5</v>
      </c>
      <c r="I112" s="115">
        <v>47.4</v>
      </c>
      <c r="J112" s="115">
        <v>59.3</v>
      </c>
      <c r="K112" s="115">
        <v>48.7</v>
      </c>
      <c r="L112" s="115">
        <v>52.1</v>
      </c>
      <c r="M112" s="115">
        <v>54.6</v>
      </c>
      <c r="N112" s="115">
        <v>41.7</v>
      </c>
      <c r="O112" s="115">
        <v>39.9</v>
      </c>
      <c r="P112" s="115">
        <v>30.9</v>
      </c>
      <c r="Q112" s="115">
        <v>60.3</v>
      </c>
      <c r="R112" s="115"/>
      <c r="S112" s="115">
        <v>42</v>
      </c>
      <c r="T112" s="115">
        <v>29.7</v>
      </c>
      <c r="U112" s="115">
        <v>44</v>
      </c>
      <c r="V112" s="115">
        <v>38.9</v>
      </c>
      <c r="W112" s="115">
        <v>38.9</v>
      </c>
      <c r="X112" s="115">
        <v>48.5</v>
      </c>
      <c r="Y112" s="115">
        <v>71.599999999999994</v>
      </c>
      <c r="Z112" s="115">
        <v>69.5</v>
      </c>
      <c r="AA112" s="115">
        <v>63.5</v>
      </c>
      <c r="AB112" s="115">
        <v>70.3</v>
      </c>
      <c r="AC112" s="115">
        <v>61.2</v>
      </c>
      <c r="AD112" s="115">
        <v>54.7</v>
      </c>
      <c r="AE112" s="115">
        <v>35.4</v>
      </c>
      <c r="AF112" s="115">
        <v>33.9</v>
      </c>
      <c r="AG112" s="114">
        <v>240</v>
      </c>
      <c r="AH112" s="47">
        <f t="shared" si="8"/>
        <v>71.599999999999994</v>
      </c>
      <c r="AI112" s="48">
        <f t="shared" si="9"/>
        <v>17.3</v>
      </c>
    </row>
    <row r="113" spans="1:37" x14ac:dyDescent="0.25">
      <c r="A113" s="103" t="s">
        <v>119</v>
      </c>
      <c r="B113" s="115">
        <v>-96.3</v>
      </c>
      <c r="C113" s="115">
        <v>-103</v>
      </c>
      <c r="D113" s="115">
        <v>-105</v>
      </c>
      <c r="E113" s="115">
        <v>-99</v>
      </c>
      <c r="F113" s="115">
        <v>-95.1</v>
      </c>
      <c r="G113" s="115">
        <v>-80</v>
      </c>
      <c r="H113" s="115">
        <v>-90.3</v>
      </c>
      <c r="I113" s="115">
        <v>-48.3</v>
      </c>
      <c r="J113" s="115">
        <v>-64.5</v>
      </c>
      <c r="K113" s="115">
        <v>-37</v>
      </c>
      <c r="L113" s="115">
        <v>-70.900000000000006</v>
      </c>
      <c r="M113" s="115">
        <v>-77</v>
      </c>
      <c r="N113" s="115">
        <v>-81</v>
      </c>
      <c r="O113" s="115">
        <v>-72</v>
      </c>
      <c r="P113" s="115">
        <v>-59</v>
      </c>
      <c r="Q113" s="115">
        <f>-24.5-33.1</f>
        <v>-57.6</v>
      </c>
      <c r="R113" s="115"/>
      <c r="S113" s="115">
        <f>-49.3-31.8</f>
        <v>-81.099999999999994</v>
      </c>
      <c r="T113" s="115">
        <v>-28</v>
      </c>
      <c r="U113" s="115">
        <f>-48.4-17.6</f>
        <v>-66</v>
      </c>
      <c r="V113" s="115">
        <v>-52</v>
      </c>
      <c r="W113" s="115">
        <v>-52</v>
      </c>
      <c r="X113" s="115">
        <v>-54</v>
      </c>
      <c r="Y113" s="115">
        <f>-39.6-27.3</f>
        <v>-66.900000000000006</v>
      </c>
      <c r="Z113" s="115">
        <f>-39.4-12.3</f>
        <v>-51.7</v>
      </c>
      <c r="AA113" s="115">
        <v>-64.8</v>
      </c>
      <c r="AB113" s="115">
        <v>-78.599999999999994</v>
      </c>
      <c r="AC113" s="115">
        <v>-51</v>
      </c>
      <c r="AD113" s="115">
        <v>-60</v>
      </c>
      <c r="AE113" s="115">
        <v>-93</v>
      </c>
      <c r="AF113" s="115">
        <v>-100</v>
      </c>
      <c r="AG113" s="114">
        <v>240</v>
      </c>
      <c r="AH113" s="47">
        <f t="shared" si="8"/>
        <v>-28</v>
      </c>
      <c r="AI113" s="48">
        <f t="shared" si="9"/>
        <v>-105</v>
      </c>
    </row>
    <row r="114" spans="1:37" x14ac:dyDescent="0.25">
      <c r="A114" s="103" t="s">
        <v>120</v>
      </c>
      <c r="B114" s="115">
        <v>-3.5</v>
      </c>
      <c r="C114" s="115">
        <v>-2.9</v>
      </c>
      <c r="D114" s="115">
        <v>-4.2</v>
      </c>
      <c r="E114" s="115">
        <v>-5.5</v>
      </c>
      <c r="F114" s="115">
        <v>-2.2999999999999998</v>
      </c>
      <c r="G114" s="115">
        <v>1.2</v>
      </c>
      <c r="H114" s="115">
        <v>1</v>
      </c>
      <c r="I114" s="115">
        <v>6.7</v>
      </c>
      <c r="J114" s="115">
        <v>25.4</v>
      </c>
      <c r="K114" s="115">
        <v>32.299999999999997</v>
      </c>
      <c r="L114" s="115">
        <v>42.5</v>
      </c>
      <c r="M114" s="115">
        <v>43.5</v>
      </c>
      <c r="N114" s="115">
        <v>47</v>
      </c>
      <c r="O114" s="115">
        <v>49.4</v>
      </c>
      <c r="P114" s="115">
        <v>49.6</v>
      </c>
      <c r="Q114" s="115">
        <v>35.5</v>
      </c>
      <c r="R114" s="115"/>
      <c r="S114" s="115">
        <v>47.9</v>
      </c>
      <c r="T114" s="115">
        <v>45</v>
      </c>
      <c r="U114" s="115">
        <v>45.2</v>
      </c>
      <c r="V114" s="115">
        <v>22.3</v>
      </c>
      <c r="W114" s="115">
        <v>22.3</v>
      </c>
      <c r="X114" s="115">
        <v>22.3</v>
      </c>
      <c r="Y114" s="115">
        <v>26.3</v>
      </c>
      <c r="Z114" s="115">
        <v>47.2</v>
      </c>
      <c r="AA114" s="115">
        <v>46.2</v>
      </c>
      <c r="AB114" s="115">
        <v>40.4</v>
      </c>
      <c r="AC114" s="115">
        <v>36.5</v>
      </c>
      <c r="AD114" s="115">
        <v>26.6</v>
      </c>
      <c r="AE114" s="115">
        <v>4.7</v>
      </c>
      <c r="AF114" s="115">
        <v>-13.8</v>
      </c>
      <c r="AG114" s="114">
        <v>60</v>
      </c>
      <c r="AH114" s="47">
        <f t="shared" si="8"/>
        <v>49.6</v>
      </c>
      <c r="AI114" s="48">
        <f t="shared" si="9"/>
        <v>-13.8</v>
      </c>
    </row>
    <row r="115" spans="1:37" x14ac:dyDescent="0.25">
      <c r="A115" s="116" t="s">
        <v>121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  <c r="O115" s="117">
        <v>0</v>
      </c>
      <c r="P115" s="117">
        <v>0</v>
      </c>
      <c r="Q115" s="117">
        <v>0</v>
      </c>
      <c r="R115" s="117"/>
      <c r="S115" s="117">
        <v>0</v>
      </c>
      <c r="T115" s="117">
        <v>0</v>
      </c>
      <c r="U115" s="117">
        <v>0</v>
      </c>
      <c r="V115" s="117">
        <v>60</v>
      </c>
      <c r="W115" s="117">
        <v>0</v>
      </c>
      <c r="X115" s="117">
        <v>0</v>
      </c>
      <c r="Y115" s="117">
        <v>0</v>
      </c>
      <c r="Z115" s="117">
        <v>0</v>
      </c>
      <c r="AA115" s="117">
        <v>49.9</v>
      </c>
      <c r="AB115" s="117">
        <v>39</v>
      </c>
      <c r="AC115" s="117">
        <v>36.799999999999997</v>
      </c>
      <c r="AD115" s="117">
        <v>32.200000000000003</v>
      </c>
      <c r="AE115" s="117">
        <v>33.799999999999997</v>
      </c>
      <c r="AF115" s="117">
        <v>38</v>
      </c>
      <c r="AG115" s="118">
        <v>120</v>
      </c>
      <c r="AH115" s="47">
        <f t="shared" si="8"/>
        <v>60</v>
      </c>
      <c r="AI115" s="48">
        <f t="shared" si="9"/>
        <v>0</v>
      </c>
    </row>
    <row r="116" spans="1:37" x14ac:dyDescent="0.25">
      <c r="A116" s="116" t="s">
        <v>122</v>
      </c>
      <c r="B116" s="117">
        <v>83.7</v>
      </c>
      <c r="C116" s="117">
        <v>74.3</v>
      </c>
      <c r="D116" s="117">
        <v>75.739999999999995</v>
      </c>
      <c r="E116" s="117">
        <v>62</v>
      </c>
      <c r="F116" s="117">
        <v>54.3</v>
      </c>
      <c r="G116" s="117">
        <v>69</v>
      </c>
      <c r="H116" s="117">
        <v>55.2</v>
      </c>
      <c r="I116" s="117">
        <v>92.2</v>
      </c>
      <c r="J116" s="117">
        <v>82</v>
      </c>
      <c r="K116" s="117">
        <v>66.5</v>
      </c>
      <c r="L116" s="117">
        <v>64.3</v>
      </c>
      <c r="M116" s="117">
        <v>47.1</v>
      </c>
      <c r="N116" s="117">
        <v>69.7</v>
      </c>
      <c r="O116" s="117">
        <v>73.7</v>
      </c>
      <c r="P116" s="117">
        <v>96.4</v>
      </c>
      <c r="Q116" s="117">
        <v>72.5</v>
      </c>
      <c r="R116" s="117"/>
      <c r="S116" s="117">
        <v>23.5</v>
      </c>
      <c r="T116" s="117">
        <v>20.100000000000001</v>
      </c>
      <c r="U116" s="117">
        <v>30</v>
      </c>
      <c r="V116" s="117">
        <v>72</v>
      </c>
      <c r="W116" s="117">
        <v>72</v>
      </c>
      <c r="X116" s="117">
        <v>72</v>
      </c>
      <c r="Y116" s="117">
        <v>12</v>
      </c>
      <c r="Z116" s="117">
        <v>30</v>
      </c>
      <c r="AA116" s="117">
        <v>33.200000000000003</v>
      </c>
      <c r="AB116" s="117">
        <v>31.1</v>
      </c>
      <c r="AC116" s="117">
        <v>36.299999999999997</v>
      </c>
      <c r="AD116" s="117">
        <v>41.5</v>
      </c>
      <c r="AE116" s="117">
        <v>58.3</v>
      </c>
      <c r="AF116" s="117">
        <v>65</v>
      </c>
      <c r="AG116" s="118"/>
      <c r="AH116" s="47">
        <f t="shared" si="8"/>
        <v>96.4</v>
      </c>
      <c r="AI116" s="48">
        <f t="shared" si="9"/>
        <v>12</v>
      </c>
    </row>
    <row r="117" spans="1:37" x14ac:dyDescent="0.25">
      <c r="A117" s="116" t="s">
        <v>123</v>
      </c>
      <c r="B117" s="117">
        <v>57.4</v>
      </c>
      <c r="C117" s="117">
        <v>58</v>
      </c>
      <c r="D117" s="117">
        <v>53.8</v>
      </c>
      <c r="E117" s="117">
        <v>58</v>
      </c>
      <c r="F117" s="117">
        <v>54.5</v>
      </c>
      <c r="G117" s="117"/>
      <c r="H117" s="117">
        <v>49</v>
      </c>
      <c r="I117" s="117">
        <v>56.5</v>
      </c>
      <c r="J117" s="117">
        <v>39.4</v>
      </c>
      <c r="K117" s="117">
        <v>55.3</v>
      </c>
      <c r="L117" s="117">
        <v>47</v>
      </c>
      <c r="M117" s="117">
        <v>37.200000000000003</v>
      </c>
      <c r="N117" s="117">
        <v>38</v>
      </c>
      <c r="O117" s="117">
        <v>53.1</v>
      </c>
      <c r="P117" s="117">
        <v>49.4</v>
      </c>
      <c r="Q117" s="117">
        <v>32.799999999999997</v>
      </c>
      <c r="R117" s="117"/>
      <c r="S117" s="117"/>
      <c r="T117" s="117"/>
      <c r="U117" s="117"/>
      <c r="V117" s="117">
        <v>43.5</v>
      </c>
      <c r="W117" s="117">
        <v>43.5</v>
      </c>
      <c r="X117" s="117">
        <v>43.5</v>
      </c>
      <c r="Y117" s="117">
        <v>12.7</v>
      </c>
      <c r="Z117" s="117">
        <v>20.7</v>
      </c>
      <c r="AA117" s="117">
        <v>29.4</v>
      </c>
      <c r="AB117" s="117">
        <v>14.3</v>
      </c>
      <c r="AC117" s="117">
        <v>15.5</v>
      </c>
      <c r="AD117" s="117">
        <v>23</v>
      </c>
      <c r="AE117" s="117">
        <v>47.6</v>
      </c>
      <c r="AF117" s="117">
        <v>45</v>
      </c>
      <c r="AG117" s="119"/>
      <c r="AH117" s="47">
        <f t="shared" si="8"/>
        <v>58</v>
      </c>
      <c r="AI117" s="48">
        <f t="shared" si="9"/>
        <v>12.7</v>
      </c>
    </row>
    <row r="118" spans="1:37" x14ac:dyDescent="0.25">
      <c r="A118" s="120" t="s">
        <v>124</v>
      </c>
      <c r="B118" s="106">
        <v>19.3</v>
      </c>
      <c r="C118" s="106">
        <v>20.5</v>
      </c>
      <c r="D118" s="106">
        <v>23</v>
      </c>
      <c r="E118" s="106">
        <v>21.5</v>
      </c>
      <c r="F118" s="106">
        <v>21.7</v>
      </c>
      <c r="G118" s="106">
        <v>23.3</v>
      </c>
      <c r="H118" s="106">
        <v>16.7</v>
      </c>
      <c r="I118" s="106">
        <v>0</v>
      </c>
      <c r="J118" s="106">
        <v>-2.1</v>
      </c>
      <c r="K118" s="106">
        <v>-4.5999999999999996</v>
      </c>
      <c r="L118" s="106">
        <v>4.2</v>
      </c>
      <c r="M118" s="106">
        <v>2.8</v>
      </c>
      <c r="N118" s="106">
        <v>5.6</v>
      </c>
      <c r="O118" s="106">
        <v>8.6999999999999993</v>
      </c>
      <c r="P118" s="106">
        <v>4.5</v>
      </c>
      <c r="Q118" s="106">
        <v>2.6</v>
      </c>
      <c r="R118" s="106"/>
      <c r="S118" s="106">
        <v>-1.1000000000000001</v>
      </c>
      <c r="T118" s="106">
        <v>0.6</v>
      </c>
      <c r="U118" s="106">
        <v>-2</v>
      </c>
      <c r="V118" s="106">
        <v>3.3</v>
      </c>
      <c r="W118" s="106">
        <v>3.3</v>
      </c>
      <c r="X118" s="106">
        <v>3.3</v>
      </c>
      <c r="Y118" s="106">
        <v>3.3</v>
      </c>
      <c r="Z118" s="106">
        <v>-14</v>
      </c>
      <c r="AA118" s="106">
        <v>-16</v>
      </c>
      <c r="AB118" s="106">
        <v>-13</v>
      </c>
      <c r="AC118" s="106">
        <v>-10</v>
      </c>
      <c r="AD118" s="106">
        <v>-4.0999999999999996</v>
      </c>
      <c r="AE118" s="106">
        <v>-28.3</v>
      </c>
      <c r="AF118" s="106">
        <v>7.1</v>
      </c>
      <c r="AG118" s="119"/>
      <c r="AH118" s="47">
        <f t="shared" si="8"/>
        <v>23.3</v>
      </c>
      <c r="AI118" s="48">
        <f t="shared" si="9"/>
        <v>-28.3</v>
      </c>
    </row>
    <row r="119" spans="1:37" x14ac:dyDescent="0.25">
      <c r="A119" s="175" t="s">
        <v>265</v>
      </c>
      <c r="B119" s="106">
        <v>97</v>
      </c>
      <c r="C119" s="106">
        <v>101</v>
      </c>
      <c r="D119" s="106">
        <v>107</v>
      </c>
      <c r="E119" s="106">
        <v>99</v>
      </c>
      <c r="F119" s="106">
        <v>103</v>
      </c>
      <c r="G119" s="106">
        <v>69</v>
      </c>
      <c r="H119" s="106">
        <v>94</v>
      </c>
      <c r="I119" s="106">
        <v>42</v>
      </c>
      <c r="J119" s="106">
        <v>77.400000000000006</v>
      </c>
      <c r="K119" s="106">
        <v>65</v>
      </c>
      <c r="L119" s="106">
        <v>81.599999999999994</v>
      </c>
      <c r="M119" s="106">
        <v>84.1</v>
      </c>
      <c r="N119" s="106">
        <v>103</v>
      </c>
      <c r="O119" s="106">
        <v>71.099999999999994</v>
      </c>
      <c r="P119" s="106">
        <v>42.6</v>
      </c>
      <c r="Q119" s="106">
        <v>98.4</v>
      </c>
      <c r="R119" s="106"/>
      <c r="S119" s="106">
        <v>76.099999999999994</v>
      </c>
      <c r="T119" s="106">
        <v>29.8</v>
      </c>
      <c r="U119" s="106">
        <v>59.8</v>
      </c>
      <c r="V119" s="106">
        <v>68</v>
      </c>
      <c r="W119" s="106">
        <v>102</v>
      </c>
      <c r="X119" s="106">
        <v>95</v>
      </c>
      <c r="Y119" s="106">
        <v>90</v>
      </c>
      <c r="Z119" s="106">
        <v>75</v>
      </c>
      <c r="AA119" s="106">
        <v>81.599999999999994</v>
      </c>
      <c r="AB119" s="106">
        <v>-13.5</v>
      </c>
      <c r="AC119" s="106">
        <v>98.6</v>
      </c>
      <c r="AD119" s="106">
        <v>96.2</v>
      </c>
      <c r="AE119" s="106">
        <v>104.8</v>
      </c>
      <c r="AF119" s="106">
        <v>95.2</v>
      </c>
      <c r="AG119" s="119"/>
      <c r="AH119" s="47">
        <f t="shared" si="8"/>
        <v>107</v>
      </c>
      <c r="AI119" s="48">
        <f t="shared" si="9"/>
        <v>-13.5</v>
      </c>
    </row>
    <row r="120" spans="1:37" ht="15.75" thickBot="1" x14ac:dyDescent="0.3">
      <c r="A120" s="120" t="s">
        <v>125</v>
      </c>
      <c r="B120" s="106">
        <v>56.6</v>
      </c>
      <c r="C120" s="106">
        <v>58</v>
      </c>
      <c r="D120" s="106">
        <v>47</v>
      </c>
      <c r="E120" s="106">
        <v>40</v>
      </c>
      <c r="F120" s="106">
        <v>39.299999999999997</v>
      </c>
      <c r="G120" s="106">
        <v>35</v>
      </c>
      <c r="H120" s="106">
        <v>37.200000000000003</v>
      </c>
      <c r="I120" s="106">
        <v>49.3</v>
      </c>
      <c r="J120" s="106">
        <v>54.8</v>
      </c>
      <c r="K120" s="106">
        <v>60.9</v>
      </c>
      <c r="L120" s="106">
        <v>60</v>
      </c>
      <c r="M120" s="106">
        <v>58.8</v>
      </c>
      <c r="N120" s="106">
        <v>60.2</v>
      </c>
      <c r="O120" s="106">
        <v>52.6</v>
      </c>
      <c r="P120" s="106">
        <v>59.1</v>
      </c>
      <c r="Q120" s="106">
        <v>60.8</v>
      </c>
      <c r="R120" s="106"/>
      <c r="S120" s="106">
        <v>73.099999999999994</v>
      </c>
      <c r="T120" s="106">
        <v>76</v>
      </c>
      <c r="U120" s="106">
        <v>75.3</v>
      </c>
      <c r="V120" s="106">
        <v>67.8</v>
      </c>
      <c r="W120" s="106">
        <v>67.8</v>
      </c>
      <c r="X120" s="106">
        <v>60</v>
      </c>
      <c r="Y120" s="106">
        <v>54.6</v>
      </c>
      <c r="Z120" s="106">
        <v>70</v>
      </c>
      <c r="AA120" s="106">
        <v>90</v>
      </c>
      <c r="AB120" s="106">
        <v>81.5</v>
      </c>
      <c r="AC120" s="106">
        <v>85</v>
      </c>
      <c r="AD120" s="106">
        <v>77.5</v>
      </c>
      <c r="AE120" s="106">
        <v>102.9</v>
      </c>
      <c r="AF120" s="106">
        <v>89.2</v>
      </c>
      <c r="AG120" s="119"/>
      <c r="AH120" s="47">
        <f t="shared" si="8"/>
        <v>102.9</v>
      </c>
      <c r="AI120" s="48">
        <f t="shared" si="9"/>
        <v>35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123.21900000000009</v>
      </c>
      <c r="N231" s="128">
        <f t="shared" ca="1" si="19"/>
        <v>123.21900000000009</v>
      </c>
      <c r="O231" s="128">
        <f t="shared" ca="1" si="19"/>
        <v>123.21900000000009</v>
      </c>
      <c r="P231" s="128">
        <f t="shared" ca="1" si="19"/>
        <v>123.21900000000009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121.23900000000009</v>
      </c>
      <c r="M235" s="136">
        <f t="shared" ca="1" si="20"/>
        <v>121.23900000000009</v>
      </c>
      <c r="N235" s="136">
        <f t="shared" ca="1" si="20"/>
        <v>121.23900000000009</v>
      </c>
      <c r="O235" s="136">
        <f t="shared" ca="1" si="20"/>
        <v>121.23900000000009</v>
      </c>
      <c r="P235" s="136">
        <f t="shared" ca="1" si="20"/>
        <v>125.2590000000001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1475.54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14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2080/02/14)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2080/02/14)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1401.74</v>
      </c>
      <c r="U249" s="170">
        <f t="shared" si="21"/>
        <v>1343.54</v>
      </c>
      <c r="V249" s="170">
        <f t="shared" si="21"/>
        <v>1318.54</v>
      </c>
      <c r="W249" s="170">
        <f t="shared" si="21"/>
        <v>1285.44</v>
      </c>
      <c r="X249" s="170">
        <f t="shared" si="21"/>
        <v>1231.1399999999999</v>
      </c>
      <c r="Y249" s="170">
        <f t="shared" si="21"/>
        <v>1231.1399999999999</v>
      </c>
      <c r="Z249" s="170">
        <f t="shared" si="21"/>
        <v>1276.1399999999999</v>
      </c>
      <c r="AA249" s="170">
        <f t="shared" si="21"/>
        <v>1323.1399999999999</v>
      </c>
      <c r="AB249" s="170">
        <f t="shared" si="21"/>
        <v>1397.54</v>
      </c>
      <c r="AC249" s="170">
        <f t="shared" si="21"/>
        <v>1368.3400000000001</v>
      </c>
      <c r="AD249" s="170">
        <f t="shared" si="21"/>
        <v>1460.14</v>
      </c>
      <c r="AE249" s="170">
        <f t="shared" si="21"/>
        <v>1465.34</v>
      </c>
      <c r="AF249" s="170">
        <f t="shared" si="21"/>
        <v>1475.54</v>
      </c>
      <c r="AG249" s="170">
        <f t="shared" si="21"/>
        <v>1486.0399999999997</v>
      </c>
      <c r="AH249" s="170">
        <f t="shared" si="21"/>
        <v>1548.74</v>
      </c>
      <c r="AI249" s="170">
        <f t="shared" si="21"/>
        <v>1491.44</v>
      </c>
      <c r="AJ249" s="170">
        <f t="shared" si="21"/>
        <v>3.54</v>
      </c>
      <c r="AK249" s="170">
        <f t="shared" si="21"/>
        <v>1514.1399999999999</v>
      </c>
      <c r="AL249" s="170">
        <f t="shared" si="21"/>
        <v>1593.54</v>
      </c>
      <c r="AM249" s="170">
        <f t="shared" si="21"/>
        <v>1459.4399999999998</v>
      </c>
      <c r="AN249" s="170">
        <f t="shared" si="21"/>
        <v>1541.64</v>
      </c>
      <c r="AO249" s="170">
        <f t="shared" si="21"/>
        <v>1470.8400000000001</v>
      </c>
      <c r="AP249" s="170">
        <f t="shared" si="21"/>
        <v>1542.3400000000001</v>
      </c>
      <c r="AQ249" s="170">
        <f t="shared" si="21"/>
        <v>1584.3400000000001</v>
      </c>
      <c r="AR249" s="170">
        <f t="shared" si="21"/>
        <v>1693.54</v>
      </c>
      <c r="AS249" s="170">
        <f t="shared" si="21"/>
        <v>1731.8400000000001</v>
      </c>
      <c r="AT249" s="170">
        <f t="shared" si="21"/>
        <v>1643.14</v>
      </c>
      <c r="AU249" s="170">
        <f t="shared" si="21"/>
        <v>1601.5400000000002</v>
      </c>
      <c r="AV249" s="170">
        <f t="shared" si="21"/>
        <v>1628.3400000000001</v>
      </c>
      <c r="AW249" s="170">
        <f t="shared" si="21"/>
        <v>1613.64</v>
      </c>
      <c r="AX249" s="170">
        <f t="shared" si="21"/>
        <v>1587.94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88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B14:R17 B12:R12 D111:AF111 D113:AF119 AA12:AF12 AA14:AF17">
    <cfRule type="expression" dxfId="8612" priority="484">
      <formula>B$9&gt;=20/24</formula>
    </cfRule>
    <cfRule type="expression" dxfId="8611" priority="485">
      <formula>AND(B$9&gt;=14/24,B$9&lt;20/24)</formula>
    </cfRule>
    <cfRule type="expression" dxfId="8610" priority="486">
      <formula>AND(B$9&gt;=8/24,B$9&lt;14/24)</formula>
    </cfRule>
    <cfRule type="expression" dxfId="8609" priority="487">
      <formula>B$9&lt;8/24</formula>
    </cfRule>
  </conditionalFormatting>
  <conditionalFormatting sqref="AL4:AL6">
    <cfRule type="iconSet" priority="483">
      <iconSet iconSet="3TrafficLights2" reverse="1">
        <cfvo type="percent" val="0"/>
        <cfvo type="num" val="1"/>
        <cfvo type="num" val="1"/>
      </iconSet>
    </cfRule>
  </conditionalFormatting>
  <conditionalFormatting sqref="AG67 B14:R17 B12:R12 AA12:AF12 AA14:AF17">
    <cfRule type="expression" dxfId="8608" priority="482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8607" priority="481">
      <formula>$AH12=0</formula>
    </cfRule>
  </conditionalFormatting>
  <conditionalFormatting sqref="A116">
    <cfRule type="expression" dxfId="8606" priority="480">
      <formula>$AH116=0</formula>
    </cfRule>
  </conditionalFormatting>
  <conditionalFormatting sqref="AL44">
    <cfRule type="iconSet" priority="479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8605" priority="478">
      <formula>$AH47=0</formula>
    </cfRule>
  </conditionalFormatting>
  <conditionalFormatting sqref="A100">
    <cfRule type="expression" dxfId="8604" priority="477">
      <formula>$AH100=0</formula>
    </cfRule>
  </conditionalFormatting>
  <conditionalFormatting sqref="A20">
    <cfRule type="expression" dxfId="8603" priority="476">
      <formula>$AH20=0</formula>
    </cfRule>
  </conditionalFormatting>
  <conditionalFormatting sqref="A199:A204">
    <cfRule type="expression" dxfId="8602" priority="475">
      <formula>$AH199=0</formula>
    </cfRule>
  </conditionalFormatting>
  <conditionalFormatting sqref="A193:A198">
    <cfRule type="expression" dxfId="8601" priority="474">
      <formula>$AH193=0</formula>
    </cfRule>
  </conditionalFormatting>
  <conditionalFormatting sqref="A60">
    <cfRule type="expression" dxfId="8600" priority="473">
      <formula>$AH60=0</formula>
    </cfRule>
  </conditionalFormatting>
  <conditionalFormatting sqref="A96">
    <cfRule type="expression" dxfId="8599" priority="472">
      <formula>$AH96=0</formula>
    </cfRule>
  </conditionalFormatting>
  <conditionalFormatting sqref="AD101:AF101 E101:Y101">
    <cfRule type="expression" dxfId="8598" priority="468">
      <formula>E$9&gt;=20/24</formula>
    </cfRule>
    <cfRule type="expression" dxfId="8597" priority="469">
      <formula>AND(E$9&gt;=14/24,E$9&lt;20/24)</formula>
    </cfRule>
    <cfRule type="expression" dxfId="8596" priority="470">
      <formula>AND(E$9&gt;=8/24,E$9&lt;14/24)</formula>
    </cfRule>
    <cfRule type="expression" dxfId="8595" priority="471">
      <formula>E$9&lt;8/24</formula>
    </cfRule>
  </conditionalFormatting>
  <conditionalFormatting sqref="AL45">
    <cfRule type="iconSet" priority="46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594" priority="490">
      <formula>C$9&gt;=20/24</formula>
    </cfRule>
    <cfRule type="expression" dxfId="8593" priority="491">
      <formula>AND(C$9&gt;=14/24,C$9&lt;20/24)</formula>
    </cfRule>
    <cfRule type="expression" dxfId="8592" priority="492">
      <formula>AND(C$9&gt;=8/24,C$9&lt;14/24)</formula>
    </cfRule>
    <cfRule type="expression" dxfId="8591" priority="493">
      <formula>C$9&lt;8/24</formula>
    </cfRule>
  </conditionalFormatting>
  <conditionalFormatting sqref="A236">
    <cfRule type="expression" dxfId="8590" priority="494">
      <formula>$AH236=0</formula>
    </cfRule>
  </conditionalFormatting>
  <conditionalFormatting sqref="AG248">
    <cfRule type="expression" dxfId="8589" priority="495">
      <formula>B$9&gt;=20/24</formula>
    </cfRule>
    <cfRule type="expression" dxfId="8588" priority="496">
      <formula>AND(B$9&gt;=14/24,B$9&lt;20/24)</formula>
    </cfRule>
    <cfRule type="expression" dxfId="8587" priority="497">
      <formula>AND(B$9&gt;=8/24,B$9&lt;14/24)</formula>
    </cfRule>
    <cfRule type="expression" dxfId="8586" priority="498">
      <formula>B$9&lt;8/24</formula>
    </cfRule>
  </conditionalFormatting>
  <conditionalFormatting sqref="S8">
    <cfRule type="expression" dxfId="8585" priority="463">
      <formula>U$9&gt;=20/24</formula>
    </cfRule>
    <cfRule type="expression" dxfId="8584" priority="464">
      <formula>AND(U$9&gt;=14/24,U$9&lt;20/24)</formula>
    </cfRule>
    <cfRule type="expression" dxfId="8583" priority="465">
      <formula>AND(U$9&gt;=8/24,U$9&lt;14/24)</formula>
    </cfRule>
    <cfRule type="expression" dxfId="8582" priority="466">
      <formula>U$9&lt;8/24</formula>
    </cfRule>
  </conditionalFormatting>
  <conditionalFormatting sqref="AB8">
    <cfRule type="expression" dxfId="8581" priority="459">
      <formula>AD$9&gt;=20/24</formula>
    </cfRule>
    <cfRule type="expression" dxfId="8580" priority="460">
      <formula>AND(AD$9&gt;=14/24,AD$9&lt;20/24)</formula>
    </cfRule>
    <cfRule type="expression" dxfId="8579" priority="461">
      <formula>AND(AD$9&gt;=8/24,AD$9&lt;14/24)</formula>
    </cfRule>
    <cfRule type="expression" dxfId="8578" priority="462">
      <formula>AD$9&lt;8/24</formula>
    </cfRule>
  </conditionalFormatting>
  <conditionalFormatting sqref="AH248:AX248">
    <cfRule type="expression" dxfId="8577" priority="499">
      <formula>AG$9&gt;=20/24</formula>
    </cfRule>
    <cfRule type="expression" dxfId="8576" priority="500">
      <formula>AND(AG$9&gt;=14/24,AG$9&lt;20/24)</formula>
    </cfRule>
    <cfRule type="expression" dxfId="8575" priority="501">
      <formula>AND(AG$9&gt;=8/24,AG$9&lt;14/24)</formula>
    </cfRule>
    <cfRule type="expression" dxfId="8574" priority="502">
      <formula>AG$9&lt;8/24</formula>
    </cfRule>
  </conditionalFormatting>
  <conditionalFormatting sqref="T248">
    <cfRule type="expression" dxfId="8573" priority="503">
      <formula>AX$9&gt;=20/24</formula>
    </cfRule>
    <cfRule type="expression" dxfId="8572" priority="504">
      <formula>AND(AX$9&gt;=14/24,AX$9&lt;20/24)</formula>
    </cfRule>
    <cfRule type="expression" dxfId="8571" priority="505">
      <formula>AND(AX$9&gt;=8/24,AX$9&lt;14/24)</formula>
    </cfRule>
    <cfRule type="expression" dxfId="8570" priority="506">
      <formula>AX$9&lt;8/24</formula>
    </cfRule>
  </conditionalFormatting>
  <conditionalFormatting sqref="A117:A119">
    <cfRule type="expression" dxfId="8569" priority="458">
      <formula>$AH117=0</formula>
    </cfRule>
  </conditionalFormatting>
  <conditionalFormatting sqref="O56:R57 E73:R73 Q58:R60 T73:AD73">
    <cfRule type="expression" dxfId="8568" priority="454">
      <formula>E$9&gt;=20/24</formula>
    </cfRule>
    <cfRule type="expression" dxfId="8567" priority="455">
      <formula>AND(E$9&gt;=14/24,E$9&lt;20/24)</formula>
    </cfRule>
    <cfRule type="expression" dxfId="8566" priority="456">
      <formula>AND(E$9&gt;=8/24,E$9&lt;14/24)</formula>
    </cfRule>
    <cfRule type="expression" dxfId="8565" priority="457">
      <formula>E$9&lt;8/24</formula>
    </cfRule>
  </conditionalFormatting>
  <conditionalFormatting sqref="O55:R55">
    <cfRule type="expression" dxfId="8564" priority="450">
      <formula>O$9&gt;=20/24</formula>
    </cfRule>
    <cfRule type="expression" dxfId="8563" priority="451">
      <formula>AND(O$9&gt;=14/24,O$9&lt;20/24)</formula>
    </cfRule>
    <cfRule type="expression" dxfId="8562" priority="452">
      <formula>AND(O$9&gt;=8/24,O$9&lt;14/24)</formula>
    </cfRule>
    <cfRule type="expression" dxfId="8561" priority="453">
      <formula>O$9&lt;8/24</formula>
    </cfRule>
  </conditionalFormatting>
  <conditionalFormatting sqref="O55:R57 Q58:R60">
    <cfRule type="expression" dxfId="8560" priority="449">
      <formula>O55&gt;$AG55</formula>
    </cfRule>
  </conditionalFormatting>
  <conditionalFormatting sqref="D88:AF88 X98:AF98 AE102:AF108 E74:R75 M102:Y108 T74:AD75 X49:AF49 AA69:AF71">
    <cfRule type="expression" dxfId="8559" priority="445">
      <formula>D$9&gt;=20/24</formula>
    </cfRule>
    <cfRule type="expression" dxfId="8558" priority="446">
      <formula>AND(D$9&gt;=14/24,D$9&lt;20/24)</formula>
    </cfRule>
    <cfRule type="expression" dxfId="8557" priority="447">
      <formula>AND(D$9&gt;=8/24,D$9&lt;14/24)</formula>
    </cfRule>
    <cfRule type="expression" dxfId="8556" priority="448">
      <formula>D$9&lt;8/24</formula>
    </cfRule>
  </conditionalFormatting>
  <conditionalFormatting sqref="X49:AF49 AA69:AF71">
    <cfRule type="expression" dxfId="8555" priority="444">
      <formula>X49&gt;$AG49</formula>
    </cfRule>
  </conditionalFormatting>
  <conditionalFormatting sqref="X60:Y60 T55:Y59 Z55:AF60">
    <cfRule type="expression" dxfId="8554" priority="440">
      <formula>T$9&gt;=20/24</formula>
    </cfRule>
    <cfRule type="expression" dxfId="8553" priority="441">
      <formula>AND(T$9&gt;=14/24,T$9&lt;20/24)</formula>
    </cfRule>
    <cfRule type="expression" dxfId="8552" priority="442">
      <formula>AND(T$9&gt;=8/24,T$9&lt;14/24)</formula>
    </cfRule>
    <cfRule type="expression" dxfId="8551" priority="443">
      <formula>T$9&lt;8/24</formula>
    </cfRule>
  </conditionalFormatting>
  <conditionalFormatting sqref="X60:Y60 T55:Y59 Z55:AF60">
    <cfRule type="expression" dxfId="8550" priority="439">
      <formula>T55&gt;$AG55</formula>
    </cfRule>
  </conditionalFormatting>
  <conditionalFormatting sqref="C99:AF99 D90:AF90">
    <cfRule type="expression" dxfId="8549" priority="435">
      <formula>C$9&gt;=20/24</formula>
    </cfRule>
    <cfRule type="expression" dxfId="8548" priority="436">
      <formula>AND(C$9&gt;=14/24,C$9&lt;20/24)</formula>
    </cfRule>
    <cfRule type="expression" dxfId="8547" priority="437">
      <formula>AND(C$9&gt;=8/24,C$9&lt;14/24)</formula>
    </cfRule>
    <cfRule type="expression" dxfId="8546" priority="438">
      <formula>C$9&lt;8/24</formula>
    </cfRule>
  </conditionalFormatting>
  <conditionalFormatting sqref="T49:W49">
    <cfRule type="expression" dxfId="8545" priority="431">
      <formula>T$9&gt;=20/24</formula>
    </cfRule>
    <cfRule type="expression" dxfId="8544" priority="432">
      <formula>AND(T$9&gt;=14/24,T$9&lt;20/24)</formula>
    </cfRule>
    <cfRule type="expression" dxfId="8543" priority="433">
      <formula>AND(T$9&gt;=8/24,T$9&lt;14/24)</formula>
    </cfRule>
    <cfRule type="expression" dxfId="8542" priority="434">
      <formula>T$9&lt;8/24</formula>
    </cfRule>
  </conditionalFormatting>
  <conditionalFormatting sqref="T49:W49">
    <cfRule type="expression" dxfId="8541" priority="430">
      <formula>T49&gt;$AG49</formula>
    </cfRule>
  </conditionalFormatting>
  <conditionalFormatting sqref="E56:N57">
    <cfRule type="expression" dxfId="8540" priority="426">
      <formula>E$9&gt;=20/24</formula>
    </cfRule>
    <cfRule type="expression" dxfId="8539" priority="427">
      <formula>AND(E$9&gt;=14/24,E$9&lt;20/24)</formula>
    </cfRule>
    <cfRule type="expression" dxfId="8538" priority="428">
      <formula>AND(E$9&gt;=8/24,E$9&lt;14/24)</formula>
    </cfRule>
    <cfRule type="expression" dxfId="8537" priority="429">
      <formula>E$9&lt;8/24</formula>
    </cfRule>
  </conditionalFormatting>
  <conditionalFormatting sqref="E55:N55">
    <cfRule type="expression" dxfId="8536" priority="422">
      <formula>E$9&gt;=20/24</formula>
    </cfRule>
    <cfRule type="expression" dxfId="8535" priority="423">
      <formula>AND(E$9&gt;=14/24,E$9&lt;20/24)</formula>
    </cfRule>
    <cfRule type="expression" dxfId="8534" priority="424">
      <formula>AND(E$9&gt;=8/24,E$9&lt;14/24)</formula>
    </cfRule>
    <cfRule type="expression" dxfId="8533" priority="425">
      <formula>E$9&lt;8/24</formula>
    </cfRule>
  </conditionalFormatting>
  <conditionalFormatting sqref="E55:N57">
    <cfRule type="expression" dxfId="8532" priority="421">
      <formula>E55&gt;$AG55</formula>
    </cfRule>
  </conditionalFormatting>
  <conditionalFormatting sqref="AG72 AG89 E102:L108">
    <cfRule type="expression" dxfId="8531" priority="417">
      <formula>E$9&gt;=20/24</formula>
    </cfRule>
    <cfRule type="expression" dxfId="8530" priority="418">
      <formula>AND(E$9&gt;=14/24,E$9&lt;20/24)</formula>
    </cfRule>
    <cfRule type="expression" dxfId="8529" priority="419">
      <formula>AND(E$9&gt;=8/24,E$9&lt;14/24)</formula>
    </cfRule>
    <cfRule type="expression" dxfId="8528" priority="420">
      <formula>E$9&lt;8/24</formula>
    </cfRule>
  </conditionalFormatting>
  <conditionalFormatting sqref="AG50 AG68 AG72">
    <cfRule type="expression" dxfId="8527" priority="416">
      <formula>AG50&gt;$AG50</formula>
    </cfRule>
  </conditionalFormatting>
  <conditionalFormatting sqref="A45">
    <cfRule type="expression" dxfId="8526" priority="410">
      <formula>$AH45=0</formula>
    </cfRule>
  </conditionalFormatting>
  <conditionalFormatting sqref="X93:AF97">
    <cfRule type="expression" dxfId="8525" priority="406">
      <formula>X$9&gt;=20/24</formula>
    </cfRule>
    <cfRule type="expression" dxfId="8524" priority="407">
      <formula>AND(X$9&gt;=14/24,X$9&lt;20/24)</formula>
    </cfRule>
    <cfRule type="expression" dxfId="8523" priority="408">
      <formula>AND(X$9&gt;=8/24,X$9&lt;14/24)</formula>
    </cfRule>
    <cfRule type="expression" dxfId="8522" priority="409">
      <formula>X$9&lt;8/24</formula>
    </cfRule>
  </conditionalFormatting>
  <conditionalFormatting sqref="AL47 AL43 AL24:AL34 AL40:AL41 AL19:AL22 AL36:AL38 AL7:AL17">
    <cfRule type="iconSet" priority="507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8521" priority="402">
      <formula>E$9&gt;=20/24</formula>
    </cfRule>
    <cfRule type="expression" dxfId="8520" priority="403">
      <formula>AND(E$9&gt;=14/24,E$9&lt;20/24)</formula>
    </cfRule>
    <cfRule type="expression" dxfId="8519" priority="404">
      <formula>AND(E$9&gt;=8/24,E$9&lt;14/24)</formula>
    </cfRule>
    <cfRule type="expression" dxfId="8518" priority="405">
      <formula>E$9&lt;8/24</formula>
    </cfRule>
  </conditionalFormatting>
  <conditionalFormatting sqref="E51:AF53">
    <cfRule type="expression" dxfId="8517" priority="401">
      <formula>E51&gt;$AG51</formula>
    </cfRule>
  </conditionalFormatting>
  <conditionalFormatting sqref="AG54">
    <cfRule type="expression" dxfId="8516" priority="397">
      <formula>AG$9&gt;=20/24</formula>
    </cfRule>
    <cfRule type="expression" dxfId="8515" priority="398">
      <formula>AND(AG$9&gt;=14/24,AG$9&lt;20/24)</formula>
    </cfRule>
    <cfRule type="expression" dxfId="8514" priority="399">
      <formula>AND(AG$9&gt;=8/24,AG$9&lt;14/24)</formula>
    </cfRule>
    <cfRule type="expression" dxfId="8513" priority="400">
      <formula>AG$9&lt;8/24</formula>
    </cfRule>
  </conditionalFormatting>
  <conditionalFormatting sqref="AG54">
    <cfRule type="expression" dxfId="8512" priority="396">
      <formula>AG54&gt;$AG54</formula>
    </cfRule>
  </conditionalFormatting>
  <conditionalFormatting sqref="C109:AF109">
    <cfRule type="expression" dxfId="8511" priority="392">
      <formula>C$9&gt;=20/24</formula>
    </cfRule>
    <cfRule type="expression" dxfId="8510" priority="393">
      <formula>AND(C$9&gt;=14/24,C$9&lt;20/24)</formula>
    </cfRule>
    <cfRule type="expression" dxfId="8509" priority="394">
      <formula>AND(C$9&gt;=8/24,C$9&lt;14/24)</formula>
    </cfRule>
    <cfRule type="expression" dxfId="8508" priority="395">
      <formula>C$9&lt;8/24</formula>
    </cfRule>
  </conditionalFormatting>
  <conditionalFormatting sqref="AL42">
    <cfRule type="iconSet" priority="391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8507" priority="390">
      <formula>$AH42=0</formula>
    </cfRule>
  </conditionalFormatting>
  <conditionalFormatting sqref="A92">
    <cfRule type="expression" dxfId="8506" priority="388">
      <formula>$AH92=0</formula>
    </cfRule>
  </conditionalFormatting>
  <conditionalFormatting sqref="A89">
    <cfRule type="expression" dxfId="8505" priority="389">
      <formula>$AH89=0</formula>
    </cfRule>
  </conditionalFormatting>
  <conditionalFormatting sqref="D112:AF112">
    <cfRule type="expression" dxfId="8504" priority="384">
      <formula>D$9&gt;=20/24</formula>
    </cfRule>
    <cfRule type="expression" dxfId="8503" priority="385">
      <formula>AND(D$9&gt;=14/24,D$9&lt;20/24)</formula>
    </cfRule>
    <cfRule type="expression" dxfId="8502" priority="386">
      <formula>AND(D$9&gt;=8/24,D$9&lt;14/24)</formula>
    </cfRule>
    <cfRule type="expression" dxfId="8501" priority="387">
      <formula>D$9&lt;8/24</formula>
    </cfRule>
  </conditionalFormatting>
  <conditionalFormatting sqref="A112">
    <cfRule type="expression" dxfId="8500" priority="383">
      <formula>$AH112=0</formula>
    </cfRule>
  </conditionalFormatting>
  <conditionalFormatting sqref="A23">
    <cfRule type="expression" dxfId="8499" priority="381">
      <formula>$AH23=0</formula>
    </cfRule>
  </conditionalFormatting>
  <conditionalFormatting sqref="AL23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8498" priority="379">
      <formula>$AH39=0</formula>
    </cfRule>
  </conditionalFormatting>
  <conditionalFormatting sqref="AL39">
    <cfRule type="iconSet" priority="380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8497" priority="375">
      <formula>Z$9&gt;=20/24</formula>
    </cfRule>
    <cfRule type="expression" dxfId="8496" priority="376">
      <formula>AND(Z$9&gt;=14/24,Z$9&lt;20/24)</formula>
    </cfRule>
    <cfRule type="expression" dxfId="8495" priority="377">
      <formula>AND(Z$9&gt;=8/24,Z$9&lt;14/24)</formula>
    </cfRule>
    <cfRule type="expression" dxfId="8494" priority="378">
      <formula>Z$9&lt;8/24</formula>
    </cfRule>
  </conditionalFormatting>
  <conditionalFormatting sqref="Z102:AD108">
    <cfRule type="expression" dxfId="8493" priority="371">
      <formula>Z$9&gt;=20/24</formula>
    </cfRule>
    <cfRule type="expression" dxfId="8492" priority="372">
      <formula>AND(Z$9&gt;=14/24,Z$9&lt;20/24)</formula>
    </cfRule>
    <cfRule type="expression" dxfId="8491" priority="373">
      <formula>AND(Z$9&gt;=8/24,Z$9&lt;14/24)</formula>
    </cfRule>
    <cfRule type="expression" dxfId="8490" priority="374">
      <formula>Z$9&lt;8/24</formula>
    </cfRule>
  </conditionalFormatting>
  <conditionalFormatting sqref="C111 C113:C119 AA19:AF30 AA36:AF45 AA32:AF34">
    <cfRule type="expression" dxfId="8489" priority="367">
      <formula>C$9&gt;=20/24</formula>
    </cfRule>
    <cfRule type="expression" dxfId="8488" priority="368">
      <formula>AND(C$9&gt;=14/24,C$9&lt;20/24)</formula>
    </cfRule>
    <cfRule type="expression" dxfId="8487" priority="369">
      <formula>AND(C$9&gt;=8/24,C$9&lt;14/24)</formula>
    </cfRule>
    <cfRule type="expression" dxfId="8486" priority="370">
      <formula>C$9&lt;8/24</formula>
    </cfRule>
  </conditionalFormatting>
  <conditionalFormatting sqref="E49:S49">
    <cfRule type="expression" dxfId="8485" priority="363">
      <formula>E$9&gt;=20/24</formula>
    </cfRule>
    <cfRule type="expression" dxfId="8484" priority="364">
      <formula>AND(E$9&gt;=14/24,E$9&lt;20/24)</formula>
    </cfRule>
    <cfRule type="expression" dxfId="8483" priority="365">
      <formula>AND(E$9&gt;=8/24,E$9&lt;14/24)</formula>
    </cfRule>
    <cfRule type="expression" dxfId="8482" priority="366">
      <formula>E$9&lt;8/24</formula>
    </cfRule>
  </conditionalFormatting>
  <conditionalFormatting sqref="E49:S49 AA19:AF30 AA36:AF45 AA32:AF34">
    <cfRule type="expression" dxfId="8481" priority="362">
      <formula>E19&gt;$AG19</formula>
    </cfRule>
  </conditionalFormatting>
  <conditionalFormatting sqref="C101:D101">
    <cfRule type="expression" dxfId="8480" priority="358">
      <formula>C$9&gt;=20/24</formula>
    </cfRule>
    <cfRule type="expression" dxfId="8479" priority="359">
      <formula>AND(C$9&gt;=14/24,C$9&lt;20/24)</formula>
    </cfRule>
    <cfRule type="expression" dxfId="8478" priority="360">
      <formula>AND(C$9&gt;=8/24,C$9&lt;14/24)</formula>
    </cfRule>
    <cfRule type="expression" dxfId="8477" priority="361">
      <formula>C$9&lt;8/24</formula>
    </cfRule>
  </conditionalFormatting>
  <conditionalFormatting sqref="C88 C98:W98 C85:AF87 M76:R78 Z76:AB77 L69:Z71 AA78:AB78 AC76:AD78 AE78:AF78">
    <cfRule type="expression" dxfId="8476" priority="354">
      <formula>C$9&gt;=20/24</formula>
    </cfRule>
    <cfRule type="expression" dxfId="8475" priority="355">
      <formula>AND(C$9&gt;=14/24,C$9&lt;20/24)</formula>
    </cfRule>
    <cfRule type="expression" dxfId="8474" priority="356">
      <formula>AND(C$9&gt;=8/24,C$9&lt;14/24)</formula>
    </cfRule>
    <cfRule type="expression" dxfId="8473" priority="357">
      <formula>C$9&lt;8/24</formula>
    </cfRule>
  </conditionalFormatting>
  <conditionalFormatting sqref="E58:P59 L69:Z71">
    <cfRule type="expression" dxfId="8472" priority="353">
      <formula>E58&gt;$AG58</formula>
    </cfRule>
  </conditionalFormatting>
  <conditionalFormatting sqref="C73:D73">
    <cfRule type="expression" dxfId="8471" priority="295">
      <formula>C$9&gt;=20/24</formula>
    </cfRule>
    <cfRule type="expression" dxfId="8470" priority="296">
      <formula>AND(C$9&gt;=14/24,C$9&lt;20/24)</formula>
    </cfRule>
    <cfRule type="expression" dxfId="8469" priority="297">
      <formula>AND(C$9&gt;=8/24,C$9&lt;14/24)</formula>
    </cfRule>
    <cfRule type="expression" dxfId="8468" priority="298">
      <formula>C$9&lt;8/24</formula>
    </cfRule>
  </conditionalFormatting>
  <conditionalFormatting sqref="C89:AF89 C91:AF91 C100:AF100 C72:AF72">
    <cfRule type="expression" dxfId="8467" priority="349">
      <formula>C$9&gt;=20/24</formula>
    </cfRule>
    <cfRule type="expression" dxfId="8466" priority="350">
      <formula>AND(C$9&gt;=14/24,C$9&lt;20/24)</formula>
    </cfRule>
    <cfRule type="expression" dxfId="8465" priority="351">
      <formula>AND(C$9&gt;=8/24,C$9&lt;14/24)</formula>
    </cfRule>
    <cfRule type="expression" dxfId="8464" priority="352">
      <formula>C$9&lt;8/24</formula>
    </cfRule>
  </conditionalFormatting>
  <conditionalFormatting sqref="C72:AF72 D67:AF68">
    <cfRule type="expression" dxfId="8463" priority="348">
      <formula>C67&gt;$AG67</formula>
    </cfRule>
  </conditionalFormatting>
  <conditionalFormatting sqref="C84:AF84">
    <cfRule type="expression" dxfId="8462" priority="344">
      <formula>C$9&gt;=20/24</formula>
    </cfRule>
    <cfRule type="expression" dxfId="8461" priority="345">
      <formula>AND(C$9&gt;=14/24,C$9&lt;20/24)</formula>
    </cfRule>
    <cfRule type="expression" dxfId="8460" priority="346">
      <formula>AND(C$9&gt;=8/24,C$9&lt;14/24)</formula>
    </cfRule>
    <cfRule type="expression" dxfId="8459" priority="347">
      <formula>C$9&lt;8/24</formula>
    </cfRule>
  </conditionalFormatting>
  <conditionalFormatting sqref="C93:W97">
    <cfRule type="expression" dxfId="8458" priority="340">
      <formula>C$9&gt;=20/24</formula>
    </cfRule>
    <cfRule type="expression" dxfId="8457" priority="341">
      <formula>AND(C$9&gt;=14/24,C$9&lt;20/24)</formula>
    </cfRule>
    <cfRule type="expression" dxfId="8456" priority="342">
      <formula>AND(C$9&gt;=8/24,C$9&lt;14/24)</formula>
    </cfRule>
    <cfRule type="expression" dxfId="8455" priority="343">
      <formula>C$9&lt;8/24</formula>
    </cfRule>
  </conditionalFormatting>
  <conditionalFormatting sqref="D54:AF54">
    <cfRule type="expression" dxfId="8454" priority="336">
      <formula>D$9&gt;=20/24</formula>
    </cfRule>
    <cfRule type="expression" dxfId="8453" priority="337">
      <formula>AND(D$9&gt;=14/24,D$9&lt;20/24)</formula>
    </cfRule>
    <cfRule type="expression" dxfId="8452" priority="338">
      <formula>AND(D$9&gt;=8/24,D$9&lt;14/24)</formula>
    </cfRule>
    <cfRule type="expression" dxfId="8451" priority="339">
      <formula>D$9&lt;8/24</formula>
    </cfRule>
  </conditionalFormatting>
  <conditionalFormatting sqref="D54:AF54">
    <cfRule type="expression" dxfId="8450" priority="335">
      <formula>D54&gt;$AG54</formula>
    </cfRule>
  </conditionalFormatting>
  <conditionalFormatting sqref="C112">
    <cfRule type="expression" dxfId="8449" priority="327">
      <formula>C$9&gt;=20/24</formula>
    </cfRule>
    <cfRule type="expression" dxfId="8448" priority="328">
      <formula>AND(C$9&gt;=14/24,C$9&lt;20/24)</formula>
    </cfRule>
    <cfRule type="expression" dxfId="8447" priority="329">
      <formula>AND(C$9&gt;=8/24,C$9&lt;14/24)</formula>
    </cfRule>
    <cfRule type="expression" dxfId="8446" priority="330">
      <formula>C$9&lt;8/24</formula>
    </cfRule>
  </conditionalFormatting>
  <conditionalFormatting sqref="AA61:AF66">
    <cfRule type="expression" dxfId="8445" priority="323">
      <formula>AA$9&gt;=20/24</formula>
    </cfRule>
    <cfRule type="expression" dxfId="8444" priority="324">
      <formula>AND(AA$9&gt;=14/24,AA$9&lt;20/24)</formula>
    </cfRule>
    <cfRule type="expression" dxfId="8443" priority="325">
      <formula>AND(AA$9&gt;=8/24,AA$9&lt;14/24)</formula>
    </cfRule>
    <cfRule type="expression" dxfId="8442" priority="326">
      <formula>AA$9&lt;8/24</formula>
    </cfRule>
  </conditionalFormatting>
  <conditionalFormatting sqref="AA61:AF66">
    <cfRule type="expression" dxfId="8441" priority="322">
      <formula>AA61&gt;$AG61</formula>
    </cfRule>
  </conditionalFormatting>
  <conditionalFormatting sqref="AA47:AF47">
    <cfRule type="expression" dxfId="8440" priority="321">
      <formula>AA47&gt;$AG47</formula>
    </cfRule>
  </conditionalFormatting>
  <conditionalFormatting sqref="AA13:AF13">
    <cfRule type="expression" dxfId="8439" priority="317">
      <formula>AA$9&gt;=20/24</formula>
    </cfRule>
    <cfRule type="expression" dxfId="8438" priority="318">
      <formula>AND(AA$9&gt;=14/24,AA$9&lt;20/24)</formula>
    </cfRule>
    <cfRule type="expression" dxfId="8437" priority="319">
      <formula>AND(AA$9&gt;=8/24,AA$9&lt;14/24)</formula>
    </cfRule>
    <cfRule type="expression" dxfId="8436" priority="320">
      <formula>AA$9&lt;8/24</formula>
    </cfRule>
  </conditionalFormatting>
  <conditionalFormatting sqref="AA13:AF13">
    <cfRule type="expression" dxfId="8435" priority="316">
      <formula>AA13&gt;$AG13</formula>
    </cfRule>
  </conditionalFormatting>
  <conditionalFormatting sqref="AA47:AF47">
    <cfRule type="expression" dxfId="8434" priority="312">
      <formula>AA$9&gt;=20/24</formula>
    </cfRule>
    <cfRule type="expression" dxfId="8433" priority="313">
      <formula>AND(AA$9&gt;=14/24,AA$9&lt;20/24)</formula>
    </cfRule>
    <cfRule type="expression" dxfId="8432" priority="314">
      <formula>AND(AA$9&gt;=8/24,AA$9&lt;14/24)</formula>
    </cfRule>
    <cfRule type="expression" dxfId="8431" priority="315">
      <formula>AA$9&lt;8/24</formula>
    </cfRule>
  </conditionalFormatting>
  <conditionalFormatting sqref="M79:R83 AA79:AF83">
    <cfRule type="expression" dxfId="8430" priority="308">
      <formula>M$9&gt;=20/24</formula>
    </cfRule>
    <cfRule type="expression" dxfId="8429" priority="309">
      <formula>AND(M$9&gt;=14/24,M$9&lt;20/24)</formula>
    </cfRule>
    <cfRule type="expression" dxfId="8428" priority="310">
      <formula>AND(M$9&gt;=8/24,M$9&lt;14/24)</formula>
    </cfRule>
    <cfRule type="expression" dxfId="8427" priority="311">
      <formula>M$9&lt;8/24</formula>
    </cfRule>
  </conditionalFormatting>
  <conditionalFormatting sqref="AL80:AN80 AL86:AN86 AN81:AN82">
    <cfRule type="expression" dxfId="8426" priority="304">
      <formula>AL$9&gt;=20/24</formula>
    </cfRule>
    <cfRule type="expression" dxfId="8425" priority="305">
      <formula>AND(AL$9&gt;=14/24,AL$9&lt;20/24)</formula>
    </cfRule>
    <cfRule type="expression" dxfId="8424" priority="306">
      <formula>AND(AL$9&gt;=8/24,AL$9&lt;14/24)</formula>
    </cfRule>
    <cfRule type="expression" dxfId="8423" priority="307">
      <formula>AL$9&lt;8/24</formula>
    </cfRule>
  </conditionalFormatting>
  <conditionalFormatting sqref="AN83:AN84">
    <cfRule type="expression" dxfId="8422" priority="300">
      <formula>AN$9&gt;=20/24</formula>
    </cfRule>
    <cfRule type="expression" dxfId="8421" priority="301">
      <formula>AND(AN$9&gt;=14/24,AN$9&lt;20/24)</formula>
    </cfRule>
    <cfRule type="expression" dxfId="8420" priority="302">
      <formula>AND(AN$9&gt;=8/24,AN$9&lt;14/24)</formula>
    </cfRule>
    <cfRule type="expression" dxfId="8419" priority="303">
      <formula>AN$9&lt;8/24</formula>
    </cfRule>
  </conditionalFormatting>
  <conditionalFormatting sqref="AL81:AM85">
    <cfRule type="expression" dxfId="8418" priority="508">
      <formula>AJ$9&gt;=20/24</formula>
    </cfRule>
    <cfRule type="expression" dxfId="8417" priority="509">
      <formula>AND(AJ$9&gt;=14/24,AJ$9&lt;20/24)</formula>
    </cfRule>
    <cfRule type="expression" dxfId="8416" priority="510">
      <formula>AND(AJ$9&gt;=8/24,AJ$9&lt;14/24)</formula>
    </cfRule>
    <cfRule type="expression" dxfId="8415" priority="511">
      <formula>AJ$9&lt;8/24</formula>
    </cfRule>
  </conditionalFormatting>
  <conditionalFormatting sqref="A120">
    <cfRule type="expression" dxfId="8414" priority="299">
      <formula>$AH120=0</formula>
    </cfRule>
  </conditionalFormatting>
  <conditionalFormatting sqref="D55">
    <cfRule type="expression" dxfId="8413" priority="291">
      <formula>D$9&gt;=20/24</formula>
    </cfRule>
    <cfRule type="expression" dxfId="8412" priority="292">
      <formula>AND(D$9&gt;=14/24,D$9&lt;20/24)</formula>
    </cfRule>
    <cfRule type="expression" dxfId="8411" priority="293">
      <formula>AND(D$9&gt;=8/24,D$9&lt;14/24)</formula>
    </cfRule>
    <cfRule type="expression" dxfId="8410" priority="294">
      <formula>D$9&lt;8/24</formula>
    </cfRule>
  </conditionalFormatting>
  <conditionalFormatting sqref="D55">
    <cfRule type="expression" dxfId="8409" priority="290">
      <formula>D55&gt;$AG55</formula>
    </cfRule>
  </conditionalFormatting>
  <conditionalFormatting sqref="C74:D75">
    <cfRule type="expression" dxfId="8408" priority="286">
      <formula>C$9&gt;=20/24</formula>
    </cfRule>
    <cfRule type="expression" dxfId="8407" priority="287">
      <formula>AND(C$9&gt;=14/24,C$9&lt;20/24)</formula>
    </cfRule>
    <cfRule type="expression" dxfId="8406" priority="288">
      <formula>AND(C$9&gt;=8/24,C$9&lt;14/24)</formula>
    </cfRule>
    <cfRule type="expression" dxfId="8405" priority="289">
      <formula>C$9&lt;8/24</formula>
    </cfRule>
  </conditionalFormatting>
  <conditionalFormatting sqref="C90">
    <cfRule type="expression" dxfId="8404" priority="281">
      <formula>C$9&gt;=20/24</formula>
    </cfRule>
    <cfRule type="expression" dxfId="8403" priority="282">
      <formula>AND(C$9&gt;=14/24,C$9&lt;20/24)</formula>
    </cfRule>
    <cfRule type="expression" dxfId="8402" priority="283">
      <formula>AND(C$9&gt;=8/24,C$9&lt;14/24)</formula>
    </cfRule>
    <cfRule type="expression" dxfId="8401" priority="284">
      <formula>C$9&lt;8/24</formula>
    </cfRule>
  </conditionalFormatting>
  <conditionalFormatting sqref="AA48:AF48">
    <cfRule type="expression" dxfId="8400" priority="277">
      <formula>AA$9&gt;=20/24</formula>
    </cfRule>
    <cfRule type="expression" dxfId="8399" priority="278">
      <formula>AND(AA$9&gt;=14/24,AA$9&lt;20/24)</formula>
    </cfRule>
    <cfRule type="expression" dxfId="8398" priority="279">
      <formula>AND(AA$9&gt;=8/24,AA$9&lt;14/24)</formula>
    </cfRule>
    <cfRule type="expression" dxfId="8397" priority="280">
      <formula>AA$9&lt;8/24</formula>
    </cfRule>
  </conditionalFormatting>
  <conditionalFormatting sqref="AA48:AF48">
    <cfRule type="expression" dxfId="8396" priority="276">
      <formula>AA48&gt;$AG48</formula>
    </cfRule>
  </conditionalFormatting>
  <conditionalFormatting sqref="E60:P60">
    <cfRule type="expression" dxfId="8395" priority="272">
      <formula>E$9&gt;=20/24</formula>
    </cfRule>
    <cfRule type="expression" dxfId="8394" priority="273">
      <formula>AND(E$9&gt;=14/24,E$9&lt;20/24)</formula>
    </cfRule>
    <cfRule type="expression" dxfId="8393" priority="274">
      <formula>AND(E$9&gt;=8/24,E$9&lt;14/24)</formula>
    </cfRule>
    <cfRule type="expression" dxfId="8392" priority="275">
      <formula>E$9&lt;8/24</formula>
    </cfRule>
  </conditionalFormatting>
  <conditionalFormatting sqref="E60:P60">
    <cfRule type="expression" dxfId="8391" priority="271">
      <formula>E60&gt;$AG60</formula>
    </cfRule>
  </conditionalFormatting>
  <conditionalFormatting sqref="B88 B98 B49:D49 B74:B84 C76:L83 B102:D108 B69:K71">
    <cfRule type="expression" dxfId="8390" priority="201">
      <formula>B$9&gt;=20/24</formula>
    </cfRule>
    <cfRule type="expression" dxfId="8389" priority="202">
      <formula>AND(B$9&gt;=14/24,B$9&lt;20/24)</formula>
    </cfRule>
    <cfRule type="expression" dxfId="8388" priority="203">
      <formula>AND(B$9&gt;=8/24,B$9&lt;14/24)</formula>
    </cfRule>
    <cfRule type="expression" dxfId="8387" priority="204">
      <formula>B$9&lt;8/24</formula>
    </cfRule>
  </conditionalFormatting>
  <conditionalFormatting sqref="B60:D60">
    <cfRule type="expression" dxfId="8386" priority="192">
      <formula>B$9&gt;=20/24</formula>
    </cfRule>
    <cfRule type="expression" dxfId="8385" priority="193">
      <formula>AND(B$9&gt;=14/24,B$9&lt;20/24)</formula>
    </cfRule>
    <cfRule type="expression" dxfId="8384" priority="194">
      <formula>AND(B$9&gt;=8/24,B$9&lt;14/24)</formula>
    </cfRule>
    <cfRule type="expression" dxfId="8383" priority="195">
      <formula>B$9&lt;8/24</formula>
    </cfRule>
  </conditionalFormatting>
  <conditionalFormatting sqref="E50:AF50">
    <cfRule type="expression" dxfId="8382" priority="266">
      <formula>E50&gt;$AG50</formula>
    </cfRule>
  </conditionalFormatting>
  <conditionalFormatting sqref="E61:R66">
    <cfRule type="expression" dxfId="8381" priority="262">
      <formula>E$9&gt;=20/24</formula>
    </cfRule>
    <cfRule type="expression" dxfId="8380" priority="263">
      <formula>AND(E$9&gt;=14/24,E$9&lt;20/24)</formula>
    </cfRule>
    <cfRule type="expression" dxfId="8379" priority="264">
      <formula>AND(E$9&gt;=8/24,E$9&lt;14/24)</formula>
    </cfRule>
    <cfRule type="expression" dxfId="8378" priority="265">
      <formula>E$9&lt;8/24</formula>
    </cfRule>
  </conditionalFormatting>
  <conditionalFormatting sqref="E61:R66">
    <cfRule type="expression" dxfId="8377" priority="261">
      <formula>E61&gt;$AG61</formula>
    </cfRule>
  </conditionalFormatting>
  <conditionalFormatting sqref="A11">
    <cfRule type="expression" dxfId="8376" priority="256">
      <formula>$AH11=0</formula>
    </cfRule>
  </conditionalFormatting>
  <conditionalFormatting sqref="AA11:AF11">
    <cfRule type="expression" dxfId="8375" priority="252">
      <formula>AA$9&gt;=20/24</formula>
    </cfRule>
    <cfRule type="expression" dxfId="8374" priority="253">
      <formula>AND(AA$9&gt;=14/24,AA$9&lt;20/24)</formula>
    </cfRule>
    <cfRule type="expression" dxfId="8373" priority="254">
      <formula>AND(AA$9&gt;=8/24,AA$9&lt;14/24)</formula>
    </cfRule>
    <cfRule type="expression" dxfId="8372" priority="255">
      <formula>AA$9&lt;8/24</formula>
    </cfRule>
  </conditionalFormatting>
  <conditionalFormatting sqref="AA11:AF11">
    <cfRule type="expression" dxfId="8371" priority="251">
      <formula>AA11&gt;$AG11</formula>
    </cfRule>
  </conditionalFormatting>
  <conditionalFormatting sqref="A18">
    <cfRule type="expression" dxfId="8370" priority="249">
      <formula>$AH18=0</formula>
    </cfRule>
  </conditionalFormatting>
  <conditionalFormatting sqref="AL18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8369" priority="245">
      <formula>AA$9&gt;=20/24</formula>
    </cfRule>
    <cfRule type="expression" dxfId="8368" priority="246">
      <formula>AND(AA$9&gt;=14/24,AA$9&lt;20/24)</formula>
    </cfRule>
    <cfRule type="expression" dxfId="8367" priority="247">
      <formula>AND(AA$9&gt;=8/24,AA$9&lt;14/24)</formula>
    </cfRule>
    <cfRule type="expression" dxfId="8366" priority="248">
      <formula>AA$9&lt;8/24</formula>
    </cfRule>
  </conditionalFormatting>
  <conditionalFormatting sqref="AA18:AF18">
    <cfRule type="expression" dxfId="8365" priority="244">
      <formula>AA18&gt;$AG18</formula>
    </cfRule>
  </conditionalFormatting>
  <conditionalFormatting sqref="A35">
    <cfRule type="expression" dxfId="8364" priority="242">
      <formula>$AH35=0</formula>
    </cfRule>
  </conditionalFormatting>
  <conditionalFormatting sqref="AL35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8363" priority="238">
      <formula>AA$9&gt;=20/24</formula>
    </cfRule>
    <cfRule type="expression" dxfId="8362" priority="239">
      <formula>AND(AA$9&gt;=14/24,AA$9&lt;20/24)</formula>
    </cfRule>
    <cfRule type="expression" dxfId="8361" priority="240">
      <formula>AND(AA$9&gt;=8/24,AA$9&lt;14/24)</formula>
    </cfRule>
    <cfRule type="expression" dxfId="8360" priority="241">
      <formula>AA$9&lt;8/24</formula>
    </cfRule>
  </conditionalFormatting>
  <conditionalFormatting sqref="AA35:AF35">
    <cfRule type="expression" dxfId="8359" priority="237">
      <formula>AA35&gt;$AG35</formula>
    </cfRule>
  </conditionalFormatting>
  <conditionalFormatting sqref="A46">
    <cfRule type="expression" dxfId="8358" priority="235">
      <formula>$AH46=0</formula>
    </cfRule>
  </conditionalFormatting>
  <conditionalFormatting sqref="AL46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8357" priority="234">
      <formula>AA46&gt;$AG46</formula>
    </cfRule>
  </conditionalFormatting>
  <conditionalFormatting sqref="AA46:AF46">
    <cfRule type="expression" dxfId="8356" priority="230">
      <formula>AA$9&gt;=20/24</formula>
    </cfRule>
    <cfRule type="expression" dxfId="8355" priority="231">
      <formula>AND(AA$9&gt;=14/24,AA$9&lt;20/24)</formula>
    </cfRule>
    <cfRule type="expression" dxfId="8354" priority="232">
      <formula>AND(AA$9&gt;=8/24,AA$9&lt;14/24)</formula>
    </cfRule>
    <cfRule type="expression" dxfId="8353" priority="233">
      <formula>AA$9&lt;8/24</formula>
    </cfRule>
  </conditionalFormatting>
  <conditionalFormatting sqref="B120">
    <cfRule type="expression" dxfId="8352" priority="102">
      <formula>B$9&gt;=20/24</formula>
    </cfRule>
    <cfRule type="expression" dxfId="8351" priority="103">
      <formula>AND(B$9&gt;=14/24,B$9&lt;20/24)</formula>
    </cfRule>
    <cfRule type="expression" dxfId="8350" priority="104">
      <formula>AND(B$9&gt;=8/24,B$9&lt;14/24)</formula>
    </cfRule>
    <cfRule type="expression" dxfId="8349" priority="105">
      <formula>B$9&lt;8/24</formula>
    </cfRule>
  </conditionalFormatting>
  <conditionalFormatting sqref="D120:AF120">
    <cfRule type="expression" dxfId="8348" priority="226">
      <formula>D$9&gt;=20/24</formula>
    </cfRule>
    <cfRule type="expression" dxfId="8347" priority="227">
      <formula>AND(D$9&gt;=14/24,D$9&lt;20/24)</formula>
    </cfRule>
    <cfRule type="expression" dxfId="8346" priority="228">
      <formula>AND(D$9&gt;=8/24,D$9&lt;14/24)</formula>
    </cfRule>
    <cfRule type="expression" dxfId="8345" priority="229">
      <formula>D$9&lt;8/24</formula>
    </cfRule>
  </conditionalFormatting>
  <conditionalFormatting sqref="C120">
    <cfRule type="expression" dxfId="8344" priority="222">
      <formula>C$9&gt;=20/24</formula>
    </cfRule>
    <cfRule type="expression" dxfId="8343" priority="223">
      <formula>AND(C$9&gt;=14/24,C$9&lt;20/24)</formula>
    </cfRule>
    <cfRule type="expression" dxfId="8342" priority="224">
      <formula>AND(C$9&gt;=8/24,C$9&lt;14/24)</formula>
    </cfRule>
    <cfRule type="expression" dxfId="8341" priority="225">
      <formula>C$9&lt;8/24</formula>
    </cfRule>
  </conditionalFormatting>
  <conditionalFormatting sqref="B111 B113:B119">
    <cfRule type="expression" dxfId="8340" priority="218">
      <formula>B$9&gt;=20/24</formula>
    </cfRule>
    <cfRule type="expression" dxfId="8339" priority="219">
      <formula>AND(B$9&gt;=14/24,B$9&lt;20/24)</formula>
    </cfRule>
    <cfRule type="expression" dxfId="8338" priority="220">
      <formula>AND(B$9&gt;=8/24,B$9&lt;14/24)</formula>
    </cfRule>
    <cfRule type="expression" dxfId="8337" priority="221">
      <formula>B$9&lt;8/24</formula>
    </cfRule>
  </conditionalFormatting>
  <conditionalFormatting sqref="B101">
    <cfRule type="expression" dxfId="8336" priority="214">
      <formula>B$9&gt;=20/24</formula>
    </cfRule>
    <cfRule type="expression" dxfId="8335" priority="215">
      <formula>AND(B$9&gt;=14/24,B$9&lt;20/24)</formula>
    </cfRule>
    <cfRule type="expression" dxfId="8334" priority="216">
      <formula>AND(B$9&gt;=8/24,B$9&lt;14/24)</formula>
    </cfRule>
    <cfRule type="expression" dxfId="8333" priority="217">
      <formula>B$9&lt;8/24</formula>
    </cfRule>
  </conditionalFormatting>
  <conditionalFormatting sqref="B73 B56:D59">
    <cfRule type="expression" dxfId="8332" priority="210">
      <formula>B$9&gt;=20/24</formula>
    </cfRule>
    <cfRule type="expression" dxfId="8331" priority="211">
      <formula>AND(B$9&gt;=14/24,B$9&lt;20/24)</formula>
    </cfRule>
    <cfRule type="expression" dxfId="8330" priority="212">
      <formula>AND(B$9&gt;=8/24,B$9&lt;14/24)</formula>
    </cfRule>
    <cfRule type="expression" dxfId="8329" priority="213">
      <formula>B$9&lt;8/24</formula>
    </cfRule>
  </conditionalFormatting>
  <conditionalFormatting sqref="B55:C55">
    <cfRule type="expression" dxfId="8328" priority="206">
      <formula>B$9&gt;=20/24</formula>
    </cfRule>
    <cfRule type="expression" dxfId="8327" priority="207">
      <formula>AND(B$9&gt;=14/24,B$9&lt;20/24)</formula>
    </cfRule>
    <cfRule type="expression" dxfId="8326" priority="208">
      <formula>AND(B$9&gt;=8/24,B$9&lt;14/24)</formula>
    </cfRule>
    <cfRule type="expression" dxfId="8325" priority="209">
      <formula>B$9&lt;8/24</formula>
    </cfRule>
  </conditionalFormatting>
  <conditionalFormatting sqref="B55:C59 D56:D59">
    <cfRule type="expression" dxfId="8324" priority="205">
      <formula>B55&gt;$AG55</formula>
    </cfRule>
  </conditionalFormatting>
  <conditionalFormatting sqref="B49:D49 B69:K71">
    <cfRule type="expression" dxfId="8323" priority="200">
      <formula>B49&gt;$AG49</formula>
    </cfRule>
  </conditionalFormatting>
  <conditionalFormatting sqref="B99 B90">
    <cfRule type="expression" dxfId="8322" priority="196">
      <formula>B$9&gt;=20/24</formula>
    </cfRule>
    <cfRule type="expression" dxfId="8321" priority="197">
      <formula>AND(B$9&gt;=14/24,B$9&lt;20/24)</formula>
    </cfRule>
    <cfRule type="expression" dxfId="8320" priority="198">
      <formula>AND(B$9&gt;=8/24,B$9&lt;14/24)</formula>
    </cfRule>
    <cfRule type="expression" dxfId="8319" priority="199">
      <formula>B$9&lt;8/24</formula>
    </cfRule>
  </conditionalFormatting>
  <conditionalFormatting sqref="B60:D60">
    <cfRule type="expression" dxfId="8318" priority="191">
      <formula>B60&gt;$AG60</formula>
    </cfRule>
  </conditionalFormatting>
  <conditionalFormatting sqref="B93:B97">
    <cfRule type="expression" dxfId="8317" priority="187">
      <formula>B$9&gt;=20/24</formula>
    </cfRule>
    <cfRule type="expression" dxfId="8316" priority="188">
      <formula>AND(B$9&gt;=14/24,B$9&lt;20/24)</formula>
    </cfRule>
    <cfRule type="expression" dxfId="8315" priority="189">
      <formula>AND(B$9&gt;=8/24,B$9&lt;14/24)</formula>
    </cfRule>
    <cfRule type="expression" dxfId="8314" priority="190">
      <formula>B$9&lt;8/24</formula>
    </cfRule>
  </conditionalFormatting>
  <conditionalFormatting sqref="B51:D53">
    <cfRule type="expression" dxfId="8313" priority="183">
      <formula>B$9&gt;=20/24</formula>
    </cfRule>
    <cfRule type="expression" dxfId="8312" priority="184">
      <formula>AND(B$9&gt;=14/24,B$9&lt;20/24)</formula>
    </cfRule>
    <cfRule type="expression" dxfId="8311" priority="185">
      <formula>AND(B$9&gt;=8/24,B$9&lt;14/24)</formula>
    </cfRule>
    <cfRule type="expression" dxfId="8310" priority="186">
      <formula>B$9&lt;8/24</formula>
    </cfRule>
  </conditionalFormatting>
  <conditionalFormatting sqref="B51:D53">
    <cfRule type="expression" dxfId="8309" priority="182">
      <formula>B51&gt;$AG51</formula>
    </cfRule>
  </conditionalFormatting>
  <conditionalFormatting sqref="B109">
    <cfRule type="expression" dxfId="8308" priority="178">
      <formula>B$9&gt;=20/24</formula>
    </cfRule>
    <cfRule type="expression" dxfId="8307" priority="179">
      <formula>AND(B$9&gt;=14/24,B$9&lt;20/24)</formula>
    </cfRule>
    <cfRule type="expression" dxfId="8306" priority="180">
      <formula>AND(B$9&gt;=8/24,B$9&lt;14/24)</formula>
    </cfRule>
    <cfRule type="expression" dxfId="8305" priority="181">
      <formula>B$9&lt;8/24</formula>
    </cfRule>
  </conditionalFormatting>
  <conditionalFormatting sqref="B112">
    <cfRule type="expression" dxfId="8304" priority="174">
      <formula>B$9&gt;=20/24</formula>
    </cfRule>
    <cfRule type="expression" dxfId="8303" priority="175">
      <formula>AND(B$9&gt;=14/24,B$9&lt;20/24)</formula>
    </cfRule>
    <cfRule type="expression" dxfId="8302" priority="176">
      <formula>AND(B$9&gt;=8/24,B$9&lt;14/24)</formula>
    </cfRule>
    <cfRule type="expression" dxfId="8301" priority="177">
      <formula>B$9&lt;8/24</formula>
    </cfRule>
  </conditionalFormatting>
  <conditionalFormatting sqref="B19:R34 B36:R45 AA31:AF31">
    <cfRule type="expression" dxfId="8300" priority="170">
      <formula>B$9&gt;=20/24</formula>
    </cfRule>
    <cfRule type="expression" dxfId="8299" priority="171">
      <formula>AND(B$9&gt;=14/24,B$9&lt;20/24)</formula>
    </cfRule>
    <cfRule type="expression" dxfId="8298" priority="172">
      <formula>AND(B$9&gt;=8/24,B$9&lt;14/24)</formula>
    </cfRule>
    <cfRule type="expression" dxfId="8297" priority="173">
      <formula>B$9&lt;8/24</formula>
    </cfRule>
  </conditionalFormatting>
  <conditionalFormatting sqref="B19:R34 B36:R45 AA31:AF31">
    <cfRule type="expression" dxfId="8296" priority="169">
      <formula>B19&gt;$AG19</formula>
    </cfRule>
  </conditionalFormatting>
  <conditionalFormatting sqref="B85:B87">
    <cfRule type="expression" dxfId="8295" priority="165">
      <formula>B$9&gt;=20/24</formula>
    </cfRule>
    <cfRule type="expression" dxfId="8294" priority="166">
      <formula>AND(B$9&gt;=14/24,B$9&lt;20/24)</formula>
    </cfRule>
    <cfRule type="expression" dxfId="8293" priority="167">
      <formula>AND(B$9&gt;=8/24,B$9&lt;14/24)</formula>
    </cfRule>
    <cfRule type="expression" dxfId="8292" priority="168">
      <formula>B$9&lt;8/24</formula>
    </cfRule>
  </conditionalFormatting>
  <conditionalFormatting sqref="B89 B91 B100 B72">
    <cfRule type="expression" dxfId="8291" priority="161">
      <formula>B$9&gt;=20/24</formula>
    </cfRule>
    <cfRule type="expression" dxfId="8290" priority="162">
      <formula>AND(B$9&gt;=14/24,B$9&lt;20/24)</formula>
    </cfRule>
    <cfRule type="expression" dxfId="8289" priority="163">
      <formula>AND(B$9&gt;=8/24,B$9&lt;14/24)</formula>
    </cfRule>
    <cfRule type="expression" dxfId="8288" priority="164">
      <formula>B$9&lt;8/24</formula>
    </cfRule>
  </conditionalFormatting>
  <conditionalFormatting sqref="B72 B67:C68">
    <cfRule type="expression" dxfId="8287" priority="160">
      <formula>B67&gt;$AG67</formula>
    </cfRule>
  </conditionalFormatting>
  <conditionalFormatting sqref="B54:C54">
    <cfRule type="expression" dxfId="8286" priority="152">
      <formula>B$9&gt;=20/24</formula>
    </cfRule>
    <cfRule type="expression" dxfId="8285" priority="153">
      <formula>AND(B$9&gt;=14/24,B$9&lt;20/24)</formula>
    </cfRule>
    <cfRule type="expression" dxfId="8284" priority="154">
      <formula>AND(B$9&gt;=8/24,B$9&lt;14/24)</formula>
    </cfRule>
    <cfRule type="expression" dxfId="8283" priority="155">
      <formula>B$9&lt;8/24</formula>
    </cfRule>
  </conditionalFormatting>
  <conditionalFormatting sqref="B54:C54">
    <cfRule type="expression" dxfId="8282" priority="151">
      <formula>B54&gt;$AG54</formula>
    </cfRule>
  </conditionalFormatting>
  <conditionalFormatting sqref="B61:D66">
    <cfRule type="expression" dxfId="8281" priority="143">
      <formula>B$9&gt;=20/24</formula>
    </cfRule>
    <cfRule type="expression" dxfId="8280" priority="144">
      <formula>AND(B$9&gt;=14/24,B$9&lt;20/24)</formula>
    </cfRule>
    <cfRule type="expression" dxfId="8279" priority="145">
      <formula>AND(B$9&gt;=8/24,B$9&lt;14/24)</formula>
    </cfRule>
    <cfRule type="expression" dxfId="8278" priority="146">
      <formula>B$9&lt;8/24</formula>
    </cfRule>
  </conditionalFormatting>
  <conditionalFormatting sqref="B61:D66">
    <cfRule type="expression" dxfId="8277" priority="142">
      <formula>B61&gt;$AG61</formula>
    </cfRule>
  </conditionalFormatting>
  <conditionalFormatting sqref="B47:R47">
    <cfRule type="expression" dxfId="8276" priority="141">
      <formula>B47&gt;$AG47</formula>
    </cfRule>
  </conditionalFormatting>
  <conditionalFormatting sqref="B13:R13">
    <cfRule type="expression" dxfId="8275" priority="137">
      <formula>B$9&gt;=20/24</formula>
    </cfRule>
    <cfRule type="expression" dxfId="8274" priority="138">
      <formula>AND(B$9&gt;=14/24,B$9&lt;20/24)</formula>
    </cfRule>
    <cfRule type="expression" dxfId="8273" priority="139">
      <formula>AND(B$9&gt;=8/24,B$9&lt;14/24)</formula>
    </cfRule>
    <cfRule type="expression" dxfId="8272" priority="140">
      <formula>B$9&lt;8/24</formula>
    </cfRule>
  </conditionalFormatting>
  <conditionalFormatting sqref="B13:R13">
    <cfRule type="expression" dxfId="8271" priority="136">
      <formula>B13&gt;$AG13</formula>
    </cfRule>
  </conditionalFormatting>
  <conditionalFormatting sqref="B47:R47">
    <cfRule type="expression" dxfId="8270" priority="132">
      <formula>B$9&gt;=20/24</formula>
    </cfRule>
    <cfRule type="expression" dxfId="8269" priority="133">
      <formula>AND(B$9&gt;=14/24,B$9&lt;20/24)</formula>
    </cfRule>
    <cfRule type="expression" dxfId="8268" priority="134">
      <formula>AND(B$9&gt;=8/24,B$9&lt;14/24)</formula>
    </cfRule>
    <cfRule type="expression" dxfId="8267" priority="135">
      <formula>B$9&lt;8/24</formula>
    </cfRule>
  </conditionalFormatting>
  <conditionalFormatting sqref="B48:R48">
    <cfRule type="expression" dxfId="8266" priority="128">
      <formula>B$9&gt;=20/24</formula>
    </cfRule>
    <cfRule type="expression" dxfId="8265" priority="129">
      <formula>AND(B$9&gt;=14/24,B$9&lt;20/24)</formula>
    </cfRule>
    <cfRule type="expression" dxfId="8264" priority="130">
      <formula>AND(B$9&gt;=8/24,B$9&lt;14/24)</formula>
    </cfRule>
    <cfRule type="expression" dxfId="8263" priority="131">
      <formula>B$9&lt;8/24</formula>
    </cfRule>
  </conditionalFormatting>
  <conditionalFormatting sqref="B48:R48">
    <cfRule type="expression" dxfId="8262" priority="127">
      <formula>B48&gt;$AG48</formula>
    </cfRule>
  </conditionalFormatting>
  <conditionalFormatting sqref="B50:D50">
    <cfRule type="expression" dxfId="8261" priority="126">
      <formula>B50&gt;$AG50</formula>
    </cfRule>
  </conditionalFormatting>
  <conditionalFormatting sqref="B11:R11">
    <cfRule type="expression" dxfId="8260" priority="122">
      <formula>B$9&gt;=20/24</formula>
    </cfRule>
    <cfRule type="expression" dxfId="8259" priority="123">
      <formula>AND(B$9&gt;=14/24,B$9&lt;20/24)</formula>
    </cfRule>
    <cfRule type="expression" dxfId="8258" priority="124">
      <formula>AND(B$9&gt;=8/24,B$9&lt;14/24)</formula>
    </cfRule>
    <cfRule type="expression" dxfId="8257" priority="125">
      <formula>B$9&lt;8/24</formula>
    </cfRule>
  </conditionalFormatting>
  <conditionalFormatting sqref="B11:R11">
    <cfRule type="expression" dxfId="8256" priority="121">
      <formula>B11&gt;$AG11</formula>
    </cfRule>
  </conditionalFormatting>
  <conditionalFormatting sqref="B18:R18">
    <cfRule type="expression" dxfId="8255" priority="117">
      <formula>B$9&gt;=20/24</formula>
    </cfRule>
    <cfRule type="expression" dxfId="8254" priority="118">
      <formula>AND(B$9&gt;=14/24,B$9&lt;20/24)</formula>
    </cfRule>
    <cfRule type="expression" dxfId="8253" priority="119">
      <formula>AND(B$9&gt;=8/24,B$9&lt;14/24)</formula>
    </cfRule>
    <cfRule type="expression" dxfId="8252" priority="120">
      <formula>B$9&lt;8/24</formula>
    </cfRule>
  </conditionalFormatting>
  <conditionalFormatting sqref="B18:R18">
    <cfRule type="expression" dxfId="8251" priority="116">
      <formula>B18&gt;$AG18</formula>
    </cfRule>
  </conditionalFormatting>
  <conditionalFormatting sqref="B35:R35">
    <cfRule type="expression" dxfId="8250" priority="112">
      <formula>B$9&gt;=20/24</formula>
    </cfRule>
    <cfRule type="expression" dxfId="8249" priority="113">
      <formula>AND(B$9&gt;=14/24,B$9&lt;20/24)</formula>
    </cfRule>
    <cfRule type="expression" dxfId="8248" priority="114">
      <formula>AND(B$9&gt;=8/24,B$9&lt;14/24)</formula>
    </cfRule>
    <cfRule type="expression" dxfId="8247" priority="115">
      <formula>B$9&lt;8/24</formula>
    </cfRule>
  </conditionalFormatting>
  <conditionalFormatting sqref="B35:R35">
    <cfRule type="expression" dxfId="8246" priority="111">
      <formula>B35&gt;$AG35</formula>
    </cfRule>
  </conditionalFormatting>
  <conditionalFormatting sqref="B46:R46">
    <cfRule type="expression" dxfId="8245" priority="110">
      <formula>B46&gt;$AG46</formula>
    </cfRule>
  </conditionalFormatting>
  <conditionalFormatting sqref="B46:R46">
    <cfRule type="expression" dxfId="8244" priority="106">
      <formula>B$9&gt;=20/24</formula>
    </cfRule>
    <cfRule type="expression" dxfId="8243" priority="107">
      <formula>AND(B$9&gt;=14/24,B$9&lt;20/24)</formula>
    </cfRule>
    <cfRule type="expression" dxfId="8242" priority="108">
      <formula>AND(B$9&gt;=8/24,B$9&lt;14/24)</formula>
    </cfRule>
    <cfRule type="expression" dxfId="8241" priority="109">
      <formula>B$9&lt;8/24</formula>
    </cfRule>
  </conditionalFormatting>
  <conditionalFormatting sqref="AE73:AF73">
    <cfRule type="expression" dxfId="8240" priority="88">
      <formula>AE$9&gt;=20/24</formula>
    </cfRule>
    <cfRule type="expression" dxfId="8239" priority="89">
      <formula>AND(AE$9&gt;=14/24,AE$9&lt;20/24)</formula>
    </cfRule>
    <cfRule type="expression" dxfId="8238" priority="90">
      <formula>AND(AE$9&gt;=8/24,AE$9&lt;14/24)</formula>
    </cfRule>
    <cfRule type="expression" dxfId="8237" priority="91">
      <formula>AE$9&lt;8/24</formula>
    </cfRule>
  </conditionalFormatting>
  <conditionalFormatting sqref="AE74:AF75">
    <cfRule type="expression" dxfId="8236" priority="84">
      <formula>AE$9&gt;=20/24</formula>
    </cfRule>
    <cfRule type="expression" dxfId="8235" priority="85">
      <formula>AND(AE$9&gt;=14/24,AE$9&lt;20/24)</formula>
    </cfRule>
    <cfRule type="expression" dxfId="8234" priority="86">
      <formula>AND(AE$9&gt;=8/24,AE$9&lt;14/24)</formula>
    </cfRule>
    <cfRule type="expression" dxfId="8233" priority="87">
      <formula>AE$9&lt;8/24</formula>
    </cfRule>
  </conditionalFormatting>
  <conditionalFormatting sqref="AE76:AF77">
    <cfRule type="expression" dxfId="8232" priority="80">
      <formula>AE$9&gt;=20/24</formula>
    </cfRule>
    <cfRule type="expression" dxfId="8231" priority="81">
      <formula>AND(AE$9&gt;=14/24,AE$9&lt;20/24)</formula>
    </cfRule>
    <cfRule type="expression" dxfId="8230" priority="82">
      <formula>AND(AE$9&gt;=8/24,AE$9&lt;14/24)</formula>
    </cfRule>
    <cfRule type="expression" dxfId="8229" priority="83">
      <formula>AE$9&lt;8/24</formula>
    </cfRule>
  </conditionalFormatting>
  <conditionalFormatting sqref="S14:Z17 S12:Z12">
    <cfRule type="expression" dxfId="8228" priority="72">
      <formula>S$9&gt;=20/24</formula>
    </cfRule>
    <cfRule type="expression" dxfId="8227" priority="73">
      <formula>AND(S$9&gt;=14/24,S$9&lt;20/24)</formula>
    </cfRule>
    <cfRule type="expression" dxfId="8226" priority="74">
      <formula>AND(S$9&gt;=8/24,S$9&lt;14/24)</formula>
    </cfRule>
    <cfRule type="expression" dxfId="8225" priority="75">
      <formula>S$9&lt;8/24</formula>
    </cfRule>
  </conditionalFormatting>
  <conditionalFormatting sqref="S14:Z17 S12:Z12">
    <cfRule type="expression" dxfId="8224" priority="71">
      <formula>S12&gt;$AG12</formula>
    </cfRule>
  </conditionalFormatting>
  <conditionalFormatting sqref="S19:Z34 S36:Z45">
    <cfRule type="expression" dxfId="8223" priority="67">
      <formula>S$9&gt;=20/24</formula>
    </cfRule>
    <cfRule type="expression" dxfId="8222" priority="68">
      <formula>AND(S$9&gt;=14/24,S$9&lt;20/24)</formula>
    </cfRule>
    <cfRule type="expression" dxfId="8221" priority="69">
      <formula>AND(S$9&gt;=8/24,S$9&lt;14/24)</formula>
    </cfRule>
    <cfRule type="expression" dxfId="8220" priority="70">
      <formula>S$9&lt;8/24</formula>
    </cfRule>
  </conditionalFormatting>
  <conditionalFormatting sqref="S19:Z34 S36:Z45">
    <cfRule type="expression" dxfId="8219" priority="66">
      <formula>S19&gt;$AG19</formula>
    </cfRule>
  </conditionalFormatting>
  <conditionalFormatting sqref="S47:Z47">
    <cfRule type="expression" dxfId="8218" priority="65">
      <formula>S47&gt;$AG47</formula>
    </cfRule>
  </conditionalFormatting>
  <conditionalFormatting sqref="S13:Z13">
    <cfRule type="expression" dxfId="8217" priority="61">
      <formula>S$9&gt;=20/24</formula>
    </cfRule>
    <cfRule type="expression" dxfId="8216" priority="62">
      <formula>AND(S$9&gt;=14/24,S$9&lt;20/24)</formula>
    </cfRule>
    <cfRule type="expression" dxfId="8215" priority="63">
      <formula>AND(S$9&gt;=8/24,S$9&lt;14/24)</formula>
    </cfRule>
    <cfRule type="expression" dxfId="8214" priority="64">
      <formula>S$9&lt;8/24</formula>
    </cfRule>
  </conditionalFormatting>
  <conditionalFormatting sqref="S13:Z13">
    <cfRule type="expression" dxfId="8213" priority="60">
      <formula>S13&gt;$AG13</formula>
    </cfRule>
  </conditionalFormatting>
  <conditionalFormatting sqref="S47:Z47">
    <cfRule type="expression" dxfId="8212" priority="56">
      <formula>S$9&gt;=20/24</formula>
    </cfRule>
    <cfRule type="expression" dxfId="8211" priority="57">
      <formula>AND(S$9&gt;=14/24,S$9&lt;20/24)</formula>
    </cfRule>
    <cfRule type="expression" dxfId="8210" priority="58">
      <formula>AND(S$9&gt;=8/24,S$9&lt;14/24)</formula>
    </cfRule>
    <cfRule type="expression" dxfId="8209" priority="59">
      <formula>S$9&lt;8/24</formula>
    </cfRule>
  </conditionalFormatting>
  <conditionalFormatting sqref="S48:Z48">
    <cfRule type="expression" dxfId="8208" priority="52">
      <formula>S$9&gt;=20/24</formula>
    </cfRule>
    <cfRule type="expression" dxfId="8207" priority="53">
      <formula>AND(S$9&gt;=14/24,S$9&lt;20/24)</formula>
    </cfRule>
    <cfRule type="expression" dxfId="8206" priority="54">
      <formula>AND(S$9&gt;=8/24,S$9&lt;14/24)</formula>
    </cfRule>
    <cfRule type="expression" dxfId="8205" priority="55">
      <formula>S$9&lt;8/24</formula>
    </cfRule>
  </conditionalFormatting>
  <conditionalFormatting sqref="S48:Z48">
    <cfRule type="expression" dxfId="8204" priority="51">
      <formula>S48&gt;$AG48</formula>
    </cfRule>
  </conditionalFormatting>
  <conditionalFormatting sqref="S11:Z11">
    <cfRule type="expression" dxfId="8203" priority="47">
      <formula>S$9&gt;=20/24</formula>
    </cfRule>
    <cfRule type="expression" dxfId="8202" priority="48">
      <formula>AND(S$9&gt;=14/24,S$9&lt;20/24)</formula>
    </cfRule>
    <cfRule type="expression" dxfId="8201" priority="49">
      <formula>AND(S$9&gt;=8/24,S$9&lt;14/24)</formula>
    </cfRule>
    <cfRule type="expression" dxfId="8200" priority="50">
      <formula>S$9&lt;8/24</formula>
    </cfRule>
  </conditionalFormatting>
  <conditionalFormatting sqref="S11:Z11">
    <cfRule type="expression" dxfId="8199" priority="46">
      <formula>S11&gt;$AG11</formula>
    </cfRule>
  </conditionalFormatting>
  <conditionalFormatting sqref="S18:Z18">
    <cfRule type="expression" dxfId="8198" priority="42">
      <formula>S$9&gt;=20/24</formula>
    </cfRule>
    <cfRule type="expression" dxfId="8197" priority="43">
      <formula>AND(S$9&gt;=14/24,S$9&lt;20/24)</formula>
    </cfRule>
    <cfRule type="expression" dxfId="8196" priority="44">
      <formula>AND(S$9&gt;=8/24,S$9&lt;14/24)</formula>
    </cfRule>
    <cfRule type="expression" dxfId="8195" priority="45">
      <formula>S$9&lt;8/24</formula>
    </cfRule>
  </conditionalFormatting>
  <conditionalFormatting sqref="S18:Z18">
    <cfRule type="expression" dxfId="8194" priority="41">
      <formula>S18&gt;$AG18</formula>
    </cfRule>
  </conditionalFormatting>
  <conditionalFormatting sqref="S35:Z35">
    <cfRule type="expression" dxfId="8193" priority="37">
      <formula>S$9&gt;=20/24</formula>
    </cfRule>
    <cfRule type="expression" dxfId="8192" priority="38">
      <formula>AND(S$9&gt;=14/24,S$9&lt;20/24)</formula>
    </cfRule>
    <cfRule type="expression" dxfId="8191" priority="39">
      <formula>AND(S$9&gt;=8/24,S$9&lt;14/24)</formula>
    </cfRule>
    <cfRule type="expression" dxfId="8190" priority="40">
      <formula>S$9&lt;8/24</formula>
    </cfRule>
  </conditionalFormatting>
  <conditionalFormatting sqref="S35:Z35">
    <cfRule type="expression" dxfId="8189" priority="36">
      <formula>S35&gt;$AG35</formula>
    </cfRule>
  </conditionalFormatting>
  <conditionalFormatting sqref="S46:Z46">
    <cfRule type="expression" dxfId="8188" priority="35">
      <formula>S46&gt;$AG46</formula>
    </cfRule>
  </conditionalFormatting>
  <conditionalFormatting sqref="S46:Z46">
    <cfRule type="expression" dxfId="8187" priority="31">
      <formula>S$9&gt;=20/24</formula>
    </cfRule>
    <cfRule type="expression" dxfId="8186" priority="32">
      <formula>AND(S$9&gt;=14/24,S$9&lt;20/24)</formula>
    </cfRule>
    <cfRule type="expression" dxfId="8185" priority="33">
      <formula>AND(S$9&gt;=8/24,S$9&lt;14/24)</formula>
    </cfRule>
    <cfRule type="expression" dxfId="8184" priority="34">
      <formula>S$9&lt;8/24</formula>
    </cfRule>
  </conditionalFormatting>
  <conditionalFormatting sqref="S56:S60 T60:W60">
    <cfRule type="expression" dxfId="8183" priority="27">
      <formula>S$9&gt;=20/24</formula>
    </cfRule>
    <cfRule type="expression" dxfId="8182" priority="28">
      <formula>AND(S$9&gt;=14/24,S$9&lt;20/24)</formula>
    </cfRule>
    <cfRule type="expression" dxfId="8181" priority="29">
      <formula>AND(S$9&gt;=8/24,S$9&lt;14/24)</formula>
    </cfRule>
    <cfRule type="expression" dxfId="8180" priority="30">
      <formula>S$9&lt;8/24</formula>
    </cfRule>
  </conditionalFormatting>
  <conditionalFormatting sqref="S55">
    <cfRule type="expression" dxfId="8179" priority="23">
      <formula>S$9&gt;=20/24</formula>
    </cfRule>
    <cfRule type="expression" dxfId="8178" priority="24">
      <formula>AND(S$9&gt;=14/24,S$9&lt;20/24)</formula>
    </cfRule>
    <cfRule type="expression" dxfId="8177" priority="25">
      <formula>AND(S$9&gt;=8/24,S$9&lt;14/24)</formula>
    </cfRule>
    <cfRule type="expression" dxfId="8176" priority="26">
      <formula>S$9&lt;8/24</formula>
    </cfRule>
  </conditionalFormatting>
  <conditionalFormatting sqref="S55:S60 T60:W60">
    <cfRule type="expression" dxfId="8175" priority="22">
      <formula>S55&gt;$AG55</formula>
    </cfRule>
  </conditionalFormatting>
  <conditionalFormatting sqref="S61:Z66">
    <cfRule type="expression" dxfId="8174" priority="18">
      <formula>S$9&gt;=20/24</formula>
    </cfRule>
    <cfRule type="expression" dxfId="8173" priority="19">
      <formula>AND(S$9&gt;=14/24,S$9&lt;20/24)</formula>
    </cfRule>
    <cfRule type="expression" dxfId="8172" priority="20">
      <formula>AND(S$9&gt;=8/24,S$9&lt;14/24)</formula>
    </cfRule>
    <cfRule type="expression" dxfId="8171" priority="21">
      <formula>S$9&lt;8/24</formula>
    </cfRule>
  </conditionalFormatting>
  <conditionalFormatting sqref="S61:Z66">
    <cfRule type="expression" dxfId="8170" priority="17">
      <formula>S61&gt;$AG61</formula>
    </cfRule>
  </conditionalFormatting>
  <conditionalFormatting sqref="S73">
    <cfRule type="expression" dxfId="8169" priority="13">
      <formula>S$9&gt;=20/24</formula>
    </cfRule>
    <cfRule type="expression" dxfId="8168" priority="14">
      <formula>AND(S$9&gt;=14/24,S$9&lt;20/24)</formula>
    </cfRule>
    <cfRule type="expression" dxfId="8167" priority="15">
      <formula>AND(S$9&gt;=8/24,S$9&lt;14/24)</formula>
    </cfRule>
    <cfRule type="expression" dxfId="8166" priority="16">
      <formula>S$9&lt;8/24</formula>
    </cfRule>
  </conditionalFormatting>
  <conditionalFormatting sqref="S74:S75">
    <cfRule type="expression" dxfId="8165" priority="9">
      <formula>S$9&gt;=20/24</formula>
    </cfRule>
    <cfRule type="expression" dxfId="8164" priority="10">
      <formula>AND(S$9&gt;=14/24,S$9&lt;20/24)</formula>
    </cfRule>
    <cfRule type="expression" dxfId="8163" priority="11">
      <formula>AND(S$9&gt;=8/24,S$9&lt;14/24)</formula>
    </cfRule>
    <cfRule type="expression" dxfId="8162" priority="12">
      <formula>S$9&lt;8/24</formula>
    </cfRule>
  </conditionalFormatting>
  <conditionalFormatting sqref="S76:Y78 Z78">
    <cfRule type="expression" dxfId="8161" priority="5">
      <formula>S$9&gt;=20/24</formula>
    </cfRule>
    <cfRule type="expression" dxfId="8160" priority="6">
      <formula>AND(S$9&gt;=14/24,S$9&lt;20/24)</formula>
    </cfRule>
    <cfRule type="expression" dxfId="8159" priority="7">
      <formula>AND(S$9&gt;=8/24,S$9&lt;14/24)</formula>
    </cfRule>
    <cfRule type="expression" dxfId="8158" priority="8">
      <formula>S$9&lt;8/24</formula>
    </cfRule>
  </conditionalFormatting>
  <conditionalFormatting sqref="S79:Z83">
    <cfRule type="expression" dxfId="8157" priority="1">
      <formula>S$9&gt;=20/24</formula>
    </cfRule>
    <cfRule type="expression" dxfId="8156" priority="2">
      <formula>AND(S$9&gt;=14/24,S$9&lt;20/24)</formula>
    </cfRule>
    <cfRule type="expression" dxfId="8155" priority="3">
      <formula>AND(S$9&gt;=8/24,S$9&lt;14/24)</formula>
    </cfRule>
    <cfRule type="expression" dxfId="8154" priority="4">
      <formula>S$9&lt;8/24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1" id="{F6D32160-E5C3-433F-AE42-8B1091BFB89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32" id="{D9D9E5F0-67FA-4A0F-BFDD-86C11B524B9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33" id="{24161B57-2E36-4497-9BC5-825F4E3EBF6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34" id="{9EC2FC0D-6393-4FE4-97FD-50F703E67D5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147" id="{C22B6B0F-44AD-489C-9ED4-27222D8261E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8" id="{EA99D649-0E25-4742-AC91-2579D8F7E27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9" id="{2626AB6E-09BA-47D5-8033-4370278F70D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50" id="{716D3257-AE44-4F6D-B9D4-D8B833D8D84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/>
  <dimension ref="A1:CJ281"/>
  <sheetViews>
    <sheetView zoomScale="93" zoomScaleNormal="93" workbookViewId="0">
      <pane ySplit="10" topLeftCell="A53" activePane="bottomLeft" state="frozen"/>
      <selection activeCell="Z85" sqref="Z85"/>
      <selection pane="bottomLeft" activeCell="AD75" sqref="AD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2080/02/15</v>
      </c>
      <c r="C4" s="191"/>
      <c r="D4" s="191"/>
      <c r="E4" s="192" t="str">
        <f ca="1">"2079/"&amp;"12/"&amp;INT(MID(CELL("filename",G6),FIND("]",CELL("filename",G6))+1,200))</f>
        <v>2079/12/15</v>
      </c>
      <c r="F4" s="192"/>
      <c r="G4" s="192"/>
      <c r="H4" s="192" t="str">
        <f ca="1">TEXT(E4,"dddd")</f>
        <v>Friday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325.7</v>
      </c>
      <c r="C5" s="30">
        <f t="shared" si="0"/>
        <v>338.09999999999997</v>
      </c>
      <c r="D5" s="30">
        <f t="shared" si="0"/>
        <v>289</v>
      </c>
      <c r="E5" s="30">
        <f t="shared" si="0"/>
        <v>252.6</v>
      </c>
      <c r="F5" s="30">
        <f t="shared" si="0"/>
        <v>201.9</v>
      </c>
      <c r="G5" s="30">
        <f t="shared" si="0"/>
        <v>188.20000000000002</v>
      </c>
      <c r="H5" s="30">
        <f t="shared" si="0"/>
        <v>230.3</v>
      </c>
      <c r="I5" s="30">
        <f t="shared" si="0"/>
        <v>249.2</v>
      </c>
      <c r="J5" s="30">
        <f t="shared" si="0"/>
        <v>199.9</v>
      </c>
      <c r="K5" s="30">
        <f t="shared" si="0"/>
        <v>189.70000000000002</v>
      </c>
      <c r="L5" s="30">
        <f t="shared" si="0"/>
        <v>195.4</v>
      </c>
      <c r="M5" s="30">
        <f t="shared" si="0"/>
        <v>244.8</v>
      </c>
      <c r="N5" s="30">
        <f t="shared" si="0"/>
        <v>264</v>
      </c>
      <c r="O5" s="30">
        <f t="shared" si="0"/>
        <v>289</v>
      </c>
      <c r="P5" s="30">
        <f t="shared" si="0"/>
        <v>335</v>
      </c>
      <c r="Q5" s="30">
        <f t="shared" si="0"/>
        <v>429</v>
      </c>
      <c r="R5" s="30">
        <f t="shared" si="0"/>
        <v>421.5</v>
      </c>
      <c r="S5" s="30">
        <f t="shared" si="0"/>
        <v>416</v>
      </c>
      <c r="T5" s="30">
        <f t="shared" si="0"/>
        <v>0</v>
      </c>
      <c r="U5" s="30">
        <f t="shared" si="0"/>
        <v>393</v>
      </c>
      <c r="V5" s="30">
        <f t="shared" si="0"/>
        <v>198</v>
      </c>
      <c r="W5" s="30">
        <f t="shared" si="0"/>
        <v>118.1</v>
      </c>
      <c r="X5" s="30">
        <f t="shared" si="0"/>
        <v>184.3</v>
      </c>
      <c r="Y5" s="30">
        <f t="shared" si="0"/>
        <v>198.3</v>
      </c>
      <c r="Z5" s="30">
        <f t="shared" si="0"/>
        <v>129.39999999999998</v>
      </c>
      <c r="AA5" s="30">
        <f t="shared" si="0"/>
        <v>152.1</v>
      </c>
      <c r="AB5" s="30">
        <f t="shared" si="0"/>
        <v>143.6</v>
      </c>
      <c r="AC5" s="30">
        <f t="shared" si="0"/>
        <v>149</v>
      </c>
      <c r="AD5" s="30">
        <f t="shared" si="0"/>
        <v>111</v>
      </c>
      <c r="AE5" s="30">
        <f t="shared" si="0"/>
        <v>101</v>
      </c>
      <c r="AF5" s="30">
        <f>B84</f>
        <v>327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1607MW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Load=49</v>
      </c>
      <c r="B7" s="35">
        <f t="shared" ref="B7:AF7" si="1">B91</f>
        <v>1578.94</v>
      </c>
      <c r="C7" s="35">
        <f t="shared" si="1"/>
        <v>1513.64</v>
      </c>
      <c r="D7" s="35">
        <f t="shared" si="1"/>
        <v>1526.04</v>
      </c>
      <c r="E7" s="35">
        <f t="shared" si="1"/>
        <v>1469.64</v>
      </c>
      <c r="F7" s="35">
        <f t="shared" si="1"/>
        <v>1403.6399999999999</v>
      </c>
      <c r="G7" s="35">
        <f t="shared" si="1"/>
        <v>1358.7400000000002</v>
      </c>
      <c r="H7" s="35">
        <f t="shared" si="1"/>
        <v>1377.5400000000002</v>
      </c>
      <c r="I7" s="35">
        <f t="shared" si="1"/>
        <v>1453.44</v>
      </c>
      <c r="J7" s="35">
        <f t="shared" si="1"/>
        <v>1460.5400000000002</v>
      </c>
      <c r="K7" s="35">
        <f t="shared" si="1"/>
        <v>1436.94</v>
      </c>
      <c r="L7" s="35">
        <f t="shared" si="1"/>
        <v>1527.64</v>
      </c>
      <c r="M7" s="35">
        <f t="shared" si="1"/>
        <v>1544.64</v>
      </c>
      <c r="N7" s="35">
        <f>N91</f>
        <v>1607.3400000000001</v>
      </c>
      <c r="O7" s="35">
        <f t="shared" si="1"/>
        <v>1611.64</v>
      </c>
      <c r="P7" s="35">
        <f t="shared" si="1"/>
        <v>1596.64</v>
      </c>
      <c r="Q7" s="35">
        <f t="shared" si="1"/>
        <v>1569.8400000000001</v>
      </c>
      <c r="R7" s="35">
        <f t="shared" si="1"/>
        <v>1608.54</v>
      </c>
      <c r="S7" s="35">
        <f t="shared" si="1"/>
        <v>1601.04</v>
      </c>
      <c r="T7" s="35">
        <f t="shared" si="1"/>
        <v>1643.24</v>
      </c>
      <c r="U7" s="35">
        <f t="shared" si="1"/>
        <v>49</v>
      </c>
      <c r="V7" s="35">
        <f t="shared" si="1"/>
        <v>1607.74</v>
      </c>
      <c r="W7" s="35">
        <f t="shared" si="1"/>
        <v>1495.7400000000002</v>
      </c>
      <c r="X7" s="35">
        <f t="shared" si="1"/>
        <v>1389.8400000000001</v>
      </c>
      <c r="Y7" s="35">
        <f t="shared" si="1"/>
        <v>1575.5400000000002</v>
      </c>
      <c r="Z7" s="35">
        <f t="shared" si="1"/>
        <v>1663.24</v>
      </c>
      <c r="AA7" s="35">
        <f t="shared" si="1"/>
        <v>1767.7400000000002</v>
      </c>
      <c r="AB7" s="35">
        <f t="shared" si="1"/>
        <v>1758.8400000000001</v>
      </c>
      <c r="AC7" s="35">
        <f t="shared" si="1"/>
        <v>1749.94</v>
      </c>
      <c r="AD7" s="35">
        <f t="shared" si="1"/>
        <v>1727.94</v>
      </c>
      <c r="AE7" s="35">
        <f t="shared" si="1"/>
        <v>1665.94</v>
      </c>
      <c r="AF7" s="35">
        <f t="shared" si="1"/>
        <v>1560.7400000000002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36</v>
      </c>
      <c r="C11" s="45">
        <v>36</v>
      </c>
      <c r="D11" s="45">
        <v>36</v>
      </c>
      <c r="E11" s="45">
        <v>36</v>
      </c>
      <c r="F11" s="45">
        <v>36</v>
      </c>
      <c r="G11" s="45">
        <v>36</v>
      </c>
      <c r="H11" s="45">
        <v>36</v>
      </c>
      <c r="I11" s="45">
        <v>36</v>
      </c>
      <c r="J11" s="45">
        <v>36</v>
      </c>
      <c r="K11" s="45">
        <v>36</v>
      </c>
      <c r="L11" s="45">
        <v>36</v>
      </c>
      <c r="M11" s="45">
        <v>30</v>
      </c>
      <c r="N11" s="45">
        <v>30</v>
      </c>
      <c r="O11" s="45">
        <v>30</v>
      </c>
      <c r="P11" s="45">
        <v>30</v>
      </c>
      <c r="Q11" s="45">
        <v>30</v>
      </c>
      <c r="R11" s="45">
        <v>30</v>
      </c>
      <c r="S11" s="45">
        <v>30</v>
      </c>
      <c r="T11" s="45">
        <v>30</v>
      </c>
      <c r="U11" s="45"/>
      <c r="V11" s="45">
        <v>30</v>
      </c>
      <c r="W11" s="45">
        <v>30</v>
      </c>
      <c r="X11" s="45">
        <v>30</v>
      </c>
      <c r="Y11" s="45">
        <v>30</v>
      </c>
      <c r="Z11" s="45">
        <v>30</v>
      </c>
      <c r="AA11" s="45">
        <v>30</v>
      </c>
      <c r="AB11" s="45">
        <v>30</v>
      </c>
      <c r="AC11" s="45">
        <v>30</v>
      </c>
      <c r="AD11" s="45">
        <v>30</v>
      </c>
      <c r="AE11" s="45">
        <v>30</v>
      </c>
      <c r="AF11" s="45">
        <v>30</v>
      </c>
      <c r="AG11" s="46">
        <v>86</v>
      </c>
      <c r="AH11" s="47">
        <f t="shared" ref="AH11:AH76" si="2">MAX(B11:AF11)</f>
        <v>36</v>
      </c>
      <c r="AI11" s="48">
        <f t="shared" ref="AI11:AI76" si="3">MIN(B11:AF11)</f>
        <v>30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25</v>
      </c>
      <c r="C12" s="45">
        <v>25</v>
      </c>
      <c r="D12" s="45">
        <v>25</v>
      </c>
      <c r="E12" s="45">
        <v>25</v>
      </c>
      <c r="F12" s="45">
        <v>25</v>
      </c>
      <c r="G12" s="45">
        <v>25</v>
      </c>
      <c r="H12" s="45">
        <v>25</v>
      </c>
      <c r="I12" s="45">
        <v>25</v>
      </c>
      <c r="J12" s="45">
        <v>25</v>
      </c>
      <c r="K12" s="45">
        <v>25</v>
      </c>
      <c r="L12" s="45">
        <v>25</v>
      </c>
      <c r="M12" s="45">
        <v>25</v>
      </c>
      <c r="N12" s="45">
        <v>25</v>
      </c>
      <c r="O12" s="45">
        <v>25</v>
      </c>
      <c r="P12" s="45">
        <v>25</v>
      </c>
      <c r="Q12" s="45">
        <v>25</v>
      </c>
      <c r="R12" s="45">
        <v>25</v>
      </c>
      <c r="S12" s="45">
        <v>25</v>
      </c>
      <c r="T12" s="45">
        <v>25</v>
      </c>
      <c r="U12" s="45"/>
      <c r="V12" s="45">
        <v>25</v>
      </c>
      <c r="W12" s="45">
        <v>25</v>
      </c>
      <c r="X12" s="45">
        <v>25</v>
      </c>
      <c r="Y12" s="45">
        <v>25</v>
      </c>
      <c r="Z12" s="45">
        <v>25</v>
      </c>
      <c r="AA12" s="45">
        <v>25</v>
      </c>
      <c r="AB12" s="45">
        <v>25</v>
      </c>
      <c r="AC12" s="45">
        <v>25</v>
      </c>
      <c r="AD12" s="45">
        <v>25</v>
      </c>
      <c r="AE12" s="45">
        <v>25</v>
      </c>
      <c r="AF12" s="45">
        <v>25</v>
      </c>
      <c r="AG12" s="50">
        <v>54</v>
      </c>
      <c r="AH12" s="47">
        <f t="shared" si="2"/>
        <v>25</v>
      </c>
      <c r="AI12" s="48">
        <f t="shared" si="3"/>
        <v>25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23</v>
      </c>
      <c r="C13" s="45">
        <v>23</v>
      </c>
      <c r="D13" s="45">
        <v>23</v>
      </c>
      <c r="E13" s="45">
        <v>22.9</v>
      </c>
      <c r="F13" s="45">
        <v>22.9</v>
      </c>
      <c r="G13" s="45">
        <v>22.9</v>
      </c>
      <c r="H13" s="45">
        <v>22.9</v>
      </c>
      <c r="I13" s="45">
        <v>22.9</v>
      </c>
      <c r="J13" s="45">
        <v>20.3</v>
      </c>
      <c r="K13" s="45">
        <v>20.3</v>
      </c>
      <c r="L13" s="45">
        <v>20.3</v>
      </c>
      <c r="M13" s="45">
        <v>20.3</v>
      </c>
      <c r="N13" s="45">
        <v>20.2</v>
      </c>
      <c r="O13" s="45">
        <v>20.2</v>
      </c>
      <c r="P13" s="45">
        <v>20.2</v>
      </c>
      <c r="Q13" s="45">
        <v>20.2</v>
      </c>
      <c r="R13" s="45">
        <v>20.9</v>
      </c>
      <c r="S13" s="45">
        <v>20.9</v>
      </c>
      <c r="T13" s="45">
        <v>20.9</v>
      </c>
      <c r="U13" s="45"/>
      <c r="V13" s="45">
        <v>20.9</v>
      </c>
      <c r="W13" s="45">
        <v>20.9</v>
      </c>
      <c r="X13" s="45">
        <v>20.9</v>
      </c>
      <c r="Y13" s="45">
        <v>20.9</v>
      </c>
      <c r="Z13" s="45">
        <v>20.9</v>
      </c>
      <c r="AA13" s="45">
        <v>20.9</v>
      </c>
      <c r="AB13" s="45">
        <v>20.9</v>
      </c>
      <c r="AC13" s="45">
        <v>20.9</v>
      </c>
      <c r="AD13" s="45">
        <v>20.9</v>
      </c>
      <c r="AE13" s="45">
        <v>20.9</v>
      </c>
      <c r="AF13" s="45">
        <v>20.9</v>
      </c>
      <c r="AG13" s="46">
        <v>52.4</v>
      </c>
      <c r="AH13" s="47">
        <f t="shared" si="2"/>
        <v>23</v>
      </c>
      <c r="AI13" s="48">
        <f t="shared" si="3"/>
        <v>20.2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50.2</v>
      </c>
      <c r="C14" s="58">
        <v>50.2</v>
      </c>
      <c r="D14" s="58">
        <v>50.2</v>
      </c>
      <c r="E14" s="58">
        <v>50.5</v>
      </c>
      <c r="F14" s="58">
        <v>50.5</v>
      </c>
      <c r="G14" s="58">
        <v>50.5</v>
      </c>
      <c r="H14" s="58">
        <v>50.5</v>
      </c>
      <c r="I14" s="58">
        <v>50.5</v>
      </c>
      <c r="J14" s="58">
        <v>50.5</v>
      </c>
      <c r="K14" s="58">
        <v>50.5</v>
      </c>
      <c r="L14" s="58">
        <v>50.5</v>
      </c>
      <c r="M14" s="58">
        <v>50.5</v>
      </c>
      <c r="N14" s="58">
        <v>50.2</v>
      </c>
      <c r="O14" s="58">
        <v>50.2</v>
      </c>
      <c r="P14" s="58">
        <v>50.2</v>
      </c>
      <c r="Q14" s="58">
        <v>50.2</v>
      </c>
      <c r="R14" s="58">
        <v>50.2</v>
      </c>
      <c r="S14" s="58">
        <v>50.2</v>
      </c>
      <c r="T14" s="58">
        <v>50.2</v>
      </c>
      <c r="U14" s="58"/>
      <c r="V14" s="58">
        <v>50.2</v>
      </c>
      <c r="W14" s="58">
        <v>50.2</v>
      </c>
      <c r="X14" s="58">
        <v>50.2</v>
      </c>
      <c r="Y14" s="58">
        <v>50.2</v>
      </c>
      <c r="Z14" s="58">
        <v>50.2</v>
      </c>
      <c r="AA14" s="58">
        <v>50.2</v>
      </c>
      <c r="AB14" s="58">
        <v>50.2</v>
      </c>
      <c r="AC14" s="58">
        <v>50.2</v>
      </c>
      <c r="AD14" s="58">
        <v>50.2</v>
      </c>
      <c r="AE14" s="58">
        <v>50.2</v>
      </c>
      <c r="AF14" s="58">
        <v>50.2</v>
      </c>
      <c r="AG14" s="50">
        <v>50</v>
      </c>
      <c r="AH14" s="47">
        <f t="shared" si="2"/>
        <v>50.5</v>
      </c>
      <c r="AI14" s="48">
        <f t="shared" si="3"/>
        <v>50.2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24.7</v>
      </c>
      <c r="C15" s="45">
        <v>24.7</v>
      </c>
      <c r="D15" s="45">
        <v>24.7</v>
      </c>
      <c r="E15" s="45">
        <v>27.4</v>
      </c>
      <c r="F15" s="45">
        <v>27.4</v>
      </c>
      <c r="G15" s="45">
        <v>26.2</v>
      </c>
      <c r="H15" s="45">
        <v>26.2</v>
      </c>
      <c r="I15" s="45">
        <v>26.2</v>
      </c>
      <c r="J15" s="45">
        <v>25.2</v>
      </c>
      <c r="K15" s="45">
        <v>25.2</v>
      </c>
      <c r="L15" s="45">
        <v>25.2</v>
      </c>
      <c r="M15" s="45">
        <v>24.6</v>
      </c>
      <c r="N15" s="45">
        <v>25</v>
      </c>
      <c r="O15" s="45">
        <v>25</v>
      </c>
      <c r="P15" s="45">
        <v>25</v>
      </c>
      <c r="Q15" s="45">
        <v>25</v>
      </c>
      <c r="R15" s="45">
        <v>22.9</v>
      </c>
      <c r="S15" s="45">
        <v>22.9</v>
      </c>
      <c r="T15" s="45">
        <v>22.9</v>
      </c>
      <c r="U15" s="45"/>
      <c r="V15" s="45">
        <v>22.9</v>
      </c>
      <c r="W15" s="45">
        <v>22.9</v>
      </c>
      <c r="X15" s="45">
        <v>22.9</v>
      </c>
      <c r="Y15" s="45">
        <v>22.9</v>
      </c>
      <c r="Z15" s="45">
        <v>22.9</v>
      </c>
      <c r="AA15" s="45">
        <v>22.9</v>
      </c>
      <c r="AB15" s="45">
        <v>22.9</v>
      </c>
      <c r="AC15" s="45">
        <v>22.9</v>
      </c>
      <c r="AD15" s="45">
        <v>22.9</v>
      </c>
      <c r="AE15" s="45">
        <v>22.9</v>
      </c>
      <c r="AF15" s="45">
        <v>22.9</v>
      </c>
      <c r="AG15" s="50">
        <v>45</v>
      </c>
      <c r="AH15" s="47">
        <f t="shared" si="2"/>
        <v>27.4</v>
      </c>
      <c r="AI15" s="48">
        <f t="shared" si="3"/>
        <v>22.9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31</v>
      </c>
      <c r="C16" s="45">
        <v>31</v>
      </c>
      <c r="D16" s="45">
        <v>31</v>
      </c>
      <c r="E16" s="45">
        <v>31</v>
      </c>
      <c r="F16" s="45">
        <v>31</v>
      </c>
      <c r="G16" s="45">
        <v>31</v>
      </c>
      <c r="H16" s="45">
        <v>31</v>
      </c>
      <c r="I16" s="45">
        <v>31</v>
      </c>
      <c r="J16" s="45">
        <v>31</v>
      </c>
      <c r="K16" s="45">
        <v>31</v>
      </c>
      <c r="L16" s="45">
        <v>31</v>
      </c>
      <c r="M16" s="45">
        <v>27</v>
      </c>
      <c r="N16" s="45">
        <v>27</v>
      </c>
      <c r="O16" s="45">
        <v>27</v>
      </c>
      <c r="P16" s="45">
        <v>27</v>
      </c>
      <c r="Q16" s="45">
        <v>27</v>
      </c>
      <c r="R16" s="45">
        <v>27</v>
      </c>
      <c r="S16" s="45">
        <v>27</v>
      </c>
      <c r="T16" s="45">
        <v>27</v>
      </c>
      <c r="U16" s="45"/>
      <c r="V16" s="45">
        <v>27</v>
      </c>
      <c r="W16" s="45">
        <v>27</v>
      </c>
      <c r="X16" s="45">
        <v>27</v>
      </c>
      <c r="Y16" s="45">
        <v>27</v>
      </c>
      <c r="Z16" s="45">
        <v>27</v>
      </c>
      <c r="AA16" s="45">
        <v>27</v>
      </c>
      <c r="AB16" s="45">
        <v>27</v>
      </c>
      <c r="AC16" s="45">
        <v>27</v>
      </c>
      <c r="AD16" s="45">
        <v>27</v>
      </c>
      <c r="AE16" s="45">
        <v>27</v>
      </c>
      <c r="AF16" s="45">
        <v>27</v>
      </c>
      <c r="AG16" s="50">
        <v>44</v>
      </c>
      <c r="AH16" s="47">
        <f>MAX(B16:AG16)</f>
        <v>44</v>
      </c>
      <c r="AI16" s="48">
        <f>MIN(B16:AG16)</f>
        <v>27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20</v>
      </c>
      <c r="C17" s="45">
        <v>20</v>
      </c>
      <c r="D17" s="45">
        <v>20</v>
      </c>
      <c r="E17" s="45">
        <v>22</v>
      </c>
      <c r="F17" s="45">
        <v>22</v>
      </c>
      <c r="G17" s="45">
        <v>22</v>
      </c>
      <c r="H17" s="45">
        <v>22</v>
      </c>
      <c r="I17" s="45">
        <v>20</v>
      </c>
      <c r="J17" s="45">
        <v>16</v>
      </c>
      <c r="K17" s="45">
        <v>16</v>
      </c>
      <c r="L17" s="45">
        <v>16</v>
      </c>
      <c r="M17" s="45">
        <v>23</v>
      </c>
      <c r="N17" s="45">
        <v>23</v>
      </c>
      <c r="O17" s="45">
        <v>23</v>
      </c>
      <c r="P17" s="45">
        <v>23</v>
      </c>
      <c r="Q17" s="45">
        <v>23</v>
      </c>
      <c r="R17" s="45">
        <v>19</v>
      </c>
      <c r="S17" s="45">
        <v>19</v>
      </c>
      <c r="T17" s="45">
        <v>19</v>
      </c>
      <c r="U17" s="45"/>
      <c r="V17" s="45">
        <v>30</v>
      </c>
      <c r="W17" s="45">
        <v>30</v>
      </c>
      <c r="X17" s="45">
        <v>30</v>
      </c>
      <c r="Y17" s="45">
        <v>30</v>
      </c>
      <c r="Z17" s="45">
        <v>30</v>
      </c>
      <c r="AA17" s="45">
        <v>30</v>
      </c>
      <c r="AB17" s="45">
        <v>30</v>
      </c>
      <c r="AC17" s="45">
        <v>30</v>
      </c>
      <c r="AD17" s="45">
        <v>30</v>
      </c>
      <c r="AE17" s="45">
        <v>30</v>
      </c>
      <c r="AF17" s="45">
        <v>30</v>
      </c>
      <c r="AG17" s="50">
        <v>42</v>
      </c>
      <c r="AH17" s="47">
        <f t="shared" si="2"/>
        <v>30</v>
      </c>
      <c r="AI17" s="48">
        <f t="shared" si="3"/>
        <v>16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24</v>
      </c>
      <c r="C18" s="45">
        <v>24</v>
      </c>
      <c r="D18" s="45">
        <v>24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/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24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19.5</v>
      </c>
      <c r="C19" s="45">
        <v>19.5</v>
      </c>
      <c r="D19" s="45">
        <v>19.5</v>
      </c>
      <c r="E19" s="45">
        <v>19</v>
      </c>
      <c r="F19" s="45">
        <v>19</v>
      </c>
      <c r="G19" s="45">
        <v>19</v>
      </c>
      <c r="H19" s="45">
        <v>19</v>
      </c>
      <c r="I19" s="45">
        <v>19</v>
      </c>
      <c r="J19" s="45">
        <v>19</v>
      </c>
      <c r="K19" s="45">
        <v>19</v>
      </c>
      <c r="L19" s="45">
        <v>19</v>
      </c>
      <c r="M19" s="45">
        <v>19</v>
      </c>
      <c r="N19" s="45">
        <v>19</v>
      </c>
      <c r="O19" s="45">
        <v>19</v>
      </c>
      <c r="P19" s="45">
        <v>19</v>
      </c>
      <c r="Q19" s="45">
        <v>19</v>
      </c>
      <c r="R19" s="45">
        <v>19</v>
      </c>
      <c r="S19" s="45">
        <v>19</v>
      </c>
      <c r="T19" s="45">
        <v>19</v>
      </c>
      <c r="U19" s="45"/>
      <c r="V19" s="45">
        <v>19</v>
      </c>
      <c r="W19" s="45">
        <v>19</v>
      </c>
      <c r="X19" s="45">
        <v>19</v>
      </c>
      <c r="Y19" s="45">
        <v>19</v>
      </c>
      <c r="Z19" s="45">
        <v>19</v>
      </c>
      <c r="AA19" s="45">
        <v>19</v>
      </c>
      <c r="AB19" s="45">
        <v>19</v>
      </c>
      <c r="AC19" s="45">
        <v>19</v>
      </c>
      <c r="AD19" s="45">
        <v>19</v>
      </c>
      <c r="AE19" s="45">
        <v>19</v>
      </c>
      <c r="AF19" s="45">
        <v>19</v>
      </c>
      <c r="AG19" s="50">
        <v>36</v>
      </c>
      <c r="AH19" s="47">
        <f t="shared" si="2"/>
        <v>19.5</v>
      </c>
      <c r="AI19" s="48">
        <f t="shared" si="3"/>
        <v>19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14.7</v>
      </c>
      <c r="C20" s="45">
        <v>14.7</v>
      </c>
      <c r="D20" s="45">
        <v>14.7</v>
      </c>
      <c r="E20" s="45">
        <v>15.5</v>
      </c>
      <c r="F20" s="45">
        <v>15.5</v>
      </c>
      <c r="G20" s="45">
        <v>15.5</v>
      </c>
      <c r="H20" s="45">
        <v>15.5</v>
      </c>
      <c r="I20" s="45">
        <v>15.5</v>
      </c>
      <c r="J20" s="45">
        <v>15.2</v>
      </c>
      <c r="K20" s="45">
        <v>15.2</v>
      </c>
      <c r="L20" s="45">
        <v>15.2</v>
      </c>
      <c r="M20" s="45">
        <v>15.2</v>
      </c>
      <c r="N20" s="45">
        <v>15.3</v>
      </c>
      <c r="O20" s="45">
        <v>15.3</v>
      </c>
      <c r="P20" s="45">
        <v>15.3</v>
      </c>
      <c r="Q20" s="45">
        <v>15.3</v>
      </c>
      <c r="R20" s="45">
        <v>13.6</v>
      </c>
      <c r="S20" s="45">
        <v>13.6</v>
      </c>
      <c r="T20" s="45">
        <v>13.6</v>
      </c>
      <c r="U20" s="45"/>
      <c r="V20" s="45">
        <v>13.6</v>
      </c>
      <c r="W20" s="45">
        <v>13.6</v>
      </c>
      <c r="X20" s="45">
        <v>13.6</v>
      </c>
      <c r="Y20" s="45">
        <v>13.6</v>
      </c>
      <c r="Z20" s="45">
        <v>13.6</v>
      </c>
      <c r="AA20" s="45">
        <v>13.6</v>
      </c>
      <c r="AB20" s="45">
        <v>13.6</v>
      </c>
      <c r="AC20" s="45">
        <v>13.6</v>
      </c>
      <c r="AD20" s="45">
        <v>13.6</v>
      </c>
      <c r="AE20" s="45">
        <v>13.6</v>
      </c>
      <c r="AF20" s="45">
        <v>13.6</v>
      </c>
      <c r="AG20" s="51">
        <v>30</v>
      </c>
      <c r="AH20" s="47">
        <f t="shared" si="2"/>
        <v>15.5</v>
      </c>
      <c r="AI20" s="48">
        <f t="shared" si="3"/>
        <v>13.6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13.2</v>
      </c>
      <c r="C21" s="45">
        <v>13.2</v>
      </c>
      <c r="D21" s="45">
        <v>13.2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11</v>
      </c>
      <c r="O21" s="45">
        <v>11</v>
      </c>
      <c r="P21" s="45">
        <v>11</v>
      </c>
      <c r="Q21" s="45">
        <v>11</v>
      </c>
      <c r="R21" s="45">
        <v>11.2</v>
      </c>
      <c r="S21" s="45">
        <v>11.2</v>
      </c>
      <c r="T21" s="45">
        <v>11.2</v>
      </c>
      <c r="U21" s="45"/>
      <c r="V21" s="45">
        <v>11.2</v>
      </c>
      <c r="W21" s="45">
        <v>11.2</v>
      </c>
      <c r="X21" s="45">
        <v>11.2</v>
      </c>
      <c r="Y21" s="45">
        <v>11.2</v>
      </c>
      <c r="Z21" s="45">
        <v>11.2</v>
      </c>
      <c r="AA21" s="45">
        <v>11.2</v>
      </c>
      <c r="AB21" s="45">
        <v>11.2</v>
      </c>
      <c r="AC21" s="45">
        <v>11.2</v>
      </c>
      <c r="AD21" s="45">
        <v>11.2</v>
      </c>
      <c r="AE21" s="45">
        <v>11.2</v>
      </c>
      <c r="AF21" s="45">
        <v>11.2</v>
      </c>
      <c r="AG21" s="50">
        <v>24.2</v>
      </c>
      <c r="AH21" s="47">
        <f t="shared" si="2"/>
        <v>13.2</v>
      </c>
      <c r="AI21" s="48">
        <f t="shared" si="3"/>
        <v>11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 t="s">
        <v>278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0">
        <v>28</v>
      </c>
      <c r="AH22" s="47">
        <f t="shared" si="2"/>
        <v>12</v>
      </c>
      <c r="AI22" s="48">
        <f t="shared" si="3"/>
        <v>12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 t="s">
        <v>279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30</v>
      </c>
      <c r="AH23" s="47">
        <f t="shared" si="2"/>
        <v>15</v>
      </c>
      <c r="AI23" s="48">
        <f t="shared" si="3"/>
        <v>15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13.1</v>
      </c>
      <c r="C24" s="45">
        <v>13.1</v>
      </c>
      <c r="D24" s="45">
        <v>13.1</v>
      </c>
      <c r="E24" s="45">
        <v>13.1</v>
      </c>
      <c r="F24" s="45">
        <v>13.1</v>
      </c>
      <c r="G24" s="45">
        <v>13.1</v>
      </c>
      <c r="H24" s="45">
        <v>13.1</v>
      </c>
      <c r="I24" s="45">
        <v>13.1</v>
      </c>
      <c r="J24" s="45">
        <v>13.1</v>
      </c>
      <c r="K24" s="45">
        <v>13.1</v>
      </c>
      <c r="L24" s="45">
        <v>13.1</v>
      </c>
      <c r="M24" s="45">
        <v>13.1</v>
      </c>
      <c r="N24" s="45">
        <v>16.399999999999999</v>
      </c>
      <c r="O24" s="45">
        <v>16.399999999999999</v>
      </c>
      <c r="P24" s="45">
        <v>16.399999999999999</v>
      </c>
      <c r="Q24" s="45">
        <v>16.399999999999999</v>
      </c>
      <c r="R24" s="45">
        <v>13.3</v>
      </c>
      <c r="S24" s="45">
        <v>13.3</v>
      </c>
      <c r="T24" s="45">
        <v>13.3</v>
      </c>
      <c r="U24" s="45" t="s">
        <v>280</v>
      </c>
      <c r="V24" s="45">
        <v>13.3</v>
      </c>
      <c r="W24" s="45">
        <v>13.3</v>
      </c>
      <c r="X24" s="45">
        <v>13.3</v>
      </c>
      <c r="Y24" s="45">
        <v>13.3</v>
      </c>
      <c r="Z24" s="45">
        <v>13.3</v>
      </c>
      <c r="AA24" s="45">
        <v>13.3</v>
      </c>
      <c r="AB24" s="45">
        <v>13.3</v>
      </c>
      <c r="AC24" s="45">
        <v>13.3</v>
      </c>
      <c r="AD24" s="45">
        <v>13.3</v>
      </c>
      <c r="AE24" s="45">
        <v>13.3</v>
      </c>
      <c r="AF24" s="45">
        <v>13.3</v>
      </c>
      <c r="AG24" s="50">
        <v>25</v>
      </c>
      <c r="AH24" s="47">
        <f t="shared" si="2"/>
        <v>16.399999999999999</v>
      </c>
      <c r="AI24" s="48">
        <f t="shared" si="3"/>
        <v>13.1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13</v>
      </c>
      <c r="C25" s="45">
        <v>13</v>
      </c>
      <c r="D25" s="45">
        <v>13</v>
      </c>
      <c r="E25" s="45">
        <v>13</v>
      </c>
      <c r="F25" s="45">
        <v>13</v>
      </c>
      <c r="G25" s="45">
        <v>13</v>
      </c>
      <c r="H25" s="45">
        <v>13</v>
      </c>
      <c r="I25" s="45">
        <v>13</v>
      </c>
      <c r="J25" s="45">
        <v>13</v>
      </c>
      <c r="K25" s="45">
        <v>13</v>
      </c>
      <c r="L25" s="45">
        <v>13</v>
      </c>
      <c r="M25" s="45">
        <v>13</v>
      </c>
      <c r="N25" s="45">
        <v>13</v>
      </c>
      <c r="O25" s="45">
        <v>13</v>
      </c>
      <c r="P25" s="45">
        <v>13</v>
      </c>
      <c r="Q25" s="45">
        <v>13</v>
      </c>
      <c r="R25" s="45">
        <v>13</v>
      </c>
      <c r="S25" s="45">
        <v>13</v>
      </c>
      <c r="T25" s="45">
        <v>13</v>
      </c>
      <c r="U25" s="45" t="s">
        <v>281</v>
      </c>
      <c r="V25" s="45">
        <v>13</v>
      </c>
      <c r="W25" s="45">
        <v>13</v>
      </c>
      <c r="X25" s="45">
        <v>13</v>
      </c>
      <c r="Y25" s="45">
        <v>13</v>
      </c>
      <c r="Z25" s="45">
        <v>13</v>
      </c>
      <c r="AA25" s="45">
        <v>13</v>
      </c>
      <c r="AB25" s="45">
        <v>13</v>
      </c>
      <c r="AC25" s="45">
        <v>13</v>
      </c>
      <c r="AD25" s="45">
        <v>13</v>
      </c>
      <c r="AE25" s="45">
        <v>13</v>
      </c>
      <c r="AF25" s="45">
        <v>13</v>
      </c>
      <c r="AG25" s="50">
        <v>25</v>
      </c>
      <c r="AH25" s="47">
        <f t="shared" si="2"/>
        <v>13</v>
      </c>
      <c r="AI25" s="48">
        <f t="shared" si="3"/>
        <v>13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9</v>
      </c>
      <c r="C26" s="45">
        <v>9</v>
      </c>
      <c r="D26" s="45">
        <v>9</v>
      </c>
      <c r="E26" s="45">
        <v>9</v>
      </c>
      <c r="F26" s="45">
        <v>9</v>
      </c>
      <c r="G26" s="45">
        <v>9</v>
      </c>
      <c r="H26" s="45">
        <v>9</v>
      </c>
      <c r="I26" s="45">
        <v>9</v>
      </c>
      <c r="J26" s="45">
        <v>9</v>
      </c>
      <c r="K26" s="45">
        <v>9</v>
      </c>
      <c r="L26" s="45">
        <v>9</v>
      </c>
      <c r="M26" s="45">
        <v>9</v>
      </c>
      <c r="N26" s="45">
        <v>9</v>
      </c>
      <c r="O26" s="45">
        <v>9</v>
      </c>
      <c r="P26" s="45">
        <v>9</v>
      </c>
      <c r="Q26" s="45">
        <v>9</v>
      </c>
      <c r="R26" s="45">
        <v>9</v>
      </c>
      <c r="S26" s="45">
        <v>9</v>
      </c>
      <c r="T26" s="45">
        <v>9</v>
      </c>
      <c r="U26" s="45" t="s">
        <v>282</v>
      </c>
      <c r="V26" s="45">
        <v>9</v>
      </c>
      <c r="W26" s="45">
        <v>9</v>
      </c>
      <c r="X26" s="45">
        <v>9</v>
      </c>
      <c r="Y26" s="45">
        <v>9</v>
      </c>
      <c r="Z26" s="45">
        <v>9</v>
      </c>
      <c r="AA26" s="45">
        <v>9</v>
      </c>
      <c r="AB26" s="45">
        <v>9</v>
      </c>
      <c r="AC26" s="45">
        <v>9</v>
      </c>
      <c r="AD26" s="45">
        <v>9</v>
      </c>
      <c r="AE26" s="45">
        <v>9</v>
      </c>
      <c r="AF26" s="45">
        <v>9</v>
      </c>
      <c r="AG26" s="50">
        <v>25</v>
      </c>
      <c r="AH26" s="47">
        <f t="shared" si="2"/>
        <v>9</v>
      </c>
      <c r="AI26" s="48">
        <f t="shared" si="3"/>
        <v>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13</v>
      </c>
      <c r="C27" s="45">
        <v>13</v>
      </c>
      <c r="D27" s="45">
        <v>13</v>
      </c>
      <c r="E27" s="45">
        <v>13</v>
      </c>
      <c r="F27" s="45">
        <v>13</v>
      </c>
      <c r="G27" s="45">
        <v>13</v>
      </c>
      <c r="H27" s="45">
        <v>13</v>
      </c>
      <c r="I27" s="45">
        <v>13</v>
      </c>
      <c r="J27" s="45">
        <v>13</v>
      </c>
      <c r="K27" s="45">
        <v>13</v>
      </c>
      <c r="L27" s="45">
        <v>13</v>
      </c>
      <c r="M27" s="45">
        <v>13</v>
      </c>
      <c r="N27" s="45">
        <v>13</v>
      </c>
      <c r="O27" s="45">
        <v>13</v>
      </c>
      <c r="P27" s="45">
        <v>13</v>
      </c>
      <c r="Q27" s="45">
        <v>13</v>
      </c>
      <c r="R27" s="45">
        <v>13</v>
      </c>
      <c r="S27" s="45">
        <v>13</v>
      </c>
      <c r="T27" s="45">
        <v>13</v>
      </c>
      <c r="U27" s="45" t="s">
        <v>279</v>
      </c>
      <c r="V27" s="45">
        <v>13</v>
      </c>
      <c r="W27" s="45">
        <v>13</v>
      </c>
      <c r="X27" s="45">
        <v>13</v>
      </c>
      <c r="Y27" s="45">
        <v>13</v>
      </c>
      <c r="Z27" s="45">
        <v>13</v>
      </c>
      <c r="AA27" s="45">
        <v>13</v>
      </c>
      <c r="AB27" s="45">
        <v>13</v>
      </c>
      <c r="AC27" s="45">
        <v>13</v>
      </c>
      <c r="AD27" s="45">
        <v>13</v>
      </c>
      <c r="AE27" s="45">
        <v>13</v>
      </c>
      <c r="AF27" s="45">
        <v>13</v>
      </c>
      <c r="AG27" s="50">
        <v>25</v>
      </c>
      <c r="AH27" s="47">
        <f t="shared" si="2"/>
        <v>13</v>
      </c>
      <c r="AI27" s="48">
        <f t="shared" si="3"/>
        <v>13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10.5</v>
      </c>
      <c r="C28" s="45">
        <v>10.5</v>
      </c>
      <c r="D28" s="45">
        <v>10.5</v>
      </c>
      <c r="E28" s="45">
        <v>8.1999999999999993</v>
      </c>
      <c r="F28" s="45">
        <v>8.1999999999999993</v>
      </c>
      <c r="G28" s="45">
        <v>8.1999999999999993</v>
      </c>
      <c r="H28" s="45">
        <v>8.1999999999999993</v>
      </c>
      <c r="I28" s="45">
        <v>8.1999999999999993</v>
      </c>
      <c r="J28" s="45">
        <v>8.1999999999999993</v>
      </c>
      <c r="K28" s="45">
        <v>8.1999999999999993</v>
      </c>
      <c r="L28" s="45">
        <v>8.1999999999999993</v>
      </c>
      <c r="M28" s="45">
        <v>8.1999999999999993</v>
      </c>
      <c r="N28" s="45">
        <v>9.8000000000000007</v>
      </c>
      <c r="O28" s="45">
        <v>9.8000000000000007</v>
      </c>
      <c r="P28" s="45">
        <v>9.8000000000000007</v>
      </c>
      <c r="Q28" s="45">
        <v>9.8000000000000007</v>
      </c>
      <c r="R28" s="45">
        <v>9.8000000000000007</v>
      </c>
      <c r="S28" s="45">
        <v>9.8000000000000007</v>
      </c>
      <c r="T28" s="45">
        <v>9.8000000000000007</v>
      </c>
      <c r="U28" s="45" t="s">
        <v>283</v>
      </c>
      <c r="V28" s="45">
        <v>9.8000000000000007</v>
      </c>
      <c r="W28" s="45">
        <v>9.8000000000000007</v>
      </c>
      <c r="X28" s="45">
        <v>9.8000000000000007</v>
      </c>
      <c r="Y28" s="45">
        <v>9.8000000000000007</v>
      </c>
      <c r="Z28" s="45">
        <v>9.8000000000000007</v>
      </c>
      <c r="AA28" s="45">
        <v>9.8000000000000007</v>
      </c>
      <c r="AB28" s="45">
        <v>9.8000000000000007</v>
      </c>
      <c r="AC28" s="45">
        <v>9.8000000000000007</v>
      </c>
      <c r="AD28" s="45">
        <v>9.8000000000000007</v>
      </c>
      <c r="AE28" s="45">
        <v>9.8000000000000007</v>
      </c>
      <c r="AF28" s="45">
        <v>9.8000000000000007</v>
      </c>
      <c r="AG28" s="50">
        <v>23.5</v>
      </c>
      <c r="AH28" s="47">
        <f t="shared" si="2"/>
        <v>10.5</v>
      </c>
      <c r="AI28" s="48">
        <f t="shared" si="3"/>
        <v>8.1999999999999993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/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22.2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3.5</v>
      </c>
      <c r="C30" s="45">
        <v>3.5</v>
      </c>
      <c r="D30" s="45">
        <v>3.5</v>
      </c>
      <c r="E30" s="45">
        <v>3.6</v>
      </c>
      <c r="F30" s="45">
        <v>3.6</v>
      </c>
      <c r="G30" s="45">
        <v>3.6</v>
      </c>
      <c r="H30" s="45">
        <v>3.6</v>
      </c>
      <c r="I30" s="45">
        <v>3.6</v>
      </c>
      <c r="J30" s="45">
        <v>3.6</v>
      </c>
      <c r="K30" s="45">
        <v>3.6</v>
      </c>
      <c r="L30" s="45">
        <v>3.6</v>
      </c>
      <c r="M30" s="45">
        <v>3.6</v>
      </c>
      <c r="N30" s="45">
        <v>3.6</v>
      </c>
      <c r="O30" s="45">
        <v>3.6</v>
      </c>
      <c r="P30" s="45">
        <v>3.6</v>
      </c>
      <c r="Q30" s="45">
        <v>3.6</v>
      </c>
      <c r="R30" s="45">
        <v>3.6</v>
      </c>
      <c r="S30" s="45">
        <v>3.6</v>
      </c>
      <c r="T30" s="45">
        <v>3.6</v>
      </c>
      <c r="U30" s="45"/>
      <c r="V30" s="45">
        <v>3.6</v>
      </c>
      <c r="W30" s="45">
        <v>3.6</v>
      </c>
      <c r="X30" s="45">
        <v>3.6</v>
      </c>
      <c r="Y30" s="45">
        <v>3.6</v>
      </c>
      <c r="Z30" s="45">
        <v>3.6</v>
      </c>
      <c r="AA30" s="45">
        <v>3.6</v>
      </c>
      <c r="AB30" s="45">
        <v>3.6</v>
      </c>
      <c r="AC30" s="45">
        <v>3.6</v>
      </c>
      <c r="AD30" s="45">
        <v>3.6</v>
      </c>
      <c r="AE30" s="45">
        <v>3.6</v>
      </c>
      <c r="AF30" s="45">
        <v>3.6</v>
      </c>
      <c r="AG30" s="50">
        <v>22.1</v>
      </c>
      <c r="AH30" s="47">
        <f t="shared" si="2"/>
        <v>3.6</v>
      </c>
      <c r="AI30" s="48">
        <f t="shared" si="3"/>
        <v>3.5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6</v>
      </c>
      <c r="T31" s="45">
        <v>6</v>
      </c>
      <c r="U31" s="45" t="s">
        <v>284</v>
      </c>
      <c r="V31" s="45">
        <v>6</v>
      </c>
      <c r="W31" s="45">
        <v>6</v>
      </c>
      <c r="X31" s="45">
        <v>6</v>
      </c>
      <c r="Y31" s="45">
        <v>6</v>
      </c>
      <c r="Z31" s="45">
        <v>6</v>
      </c>
      <c r="AA31" s="45">
        <v>6</v>
      </c>
      <c r="AB31" s="45">
        <v>6</v>
      </c>
      <c r="AC31" s="45">
        <v>6</v>
      </c>
      <c r="AD31" s="45">
        <v>6</v>
      </c>
      <c r="AE31" s="45">
        <v>6</v>
      </c>
      <c r="AF31" s="45">
        <v>6</v>
      </c>
      <c r="AG31" s="50">
        <v>22</v>
      </c>
      <c r="AH31" s="47">
        <f t="shared" si="2"/>
        <v>6</v>
      </c>
      <c r="AI31" s="48">
        <f t="shared" si="3"/>
        <v>6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20</v>
      </c>
      <c r="C32" s="45">
        <v>20</v>
      </c>
      <c r="D32" s="45">
        <v>20</v>
      </c>
      <c r="E32" s="45">
        <v>10.7</v>
      </c>
      <c r="F32" s="45">
        <v>10.7</v>
      </c>
      <c r="G32" s="45">
        <v>10.7</v>
      </c>
      <c r="H32" s="45">
        <v>10.7</v>
      </c>
      <c r="I32" s="45">
        <v>10.7</v>
      </c>
      <c r="J32" s="45">
        <v>10.7</v>
      </c>
      <c r="K32" s="45">
        <v>10.7</v>
      </c>
      <c r="L32" s="45">
        <v>10.7</v>
      </c>
      <c r="M32" s="45">
        <v>10.7</v>
      </c>
      <c r="N32" s="45">
        <v>10</v>
      </c>
      <c r="O32" s="45">
        <v>10</v>
      </c>
      <c r="P32" s="45">
        <v>10</v>
      </c>
      <c r="Q32" s="45">
        <v>10</v>
      </c>
      <c r="R32" s="45">
        <v>9</v>
      </c>
      <c r="S32" s="45">
        <v>9</v>
      </c>
      <c r="T32" s="45">
        <v>9</v>
      </c>
      <c r="U32" s="45" t="s">
        <v>285</v>
      </c>
      <c r="V32" s="45">
        <v>9</v>
      </c>
      <c r="W32" s="45">
        <v>9</v>
      </c>
      <c r="X32" s="45">
        <v>9</v>
      </c>
      <c r="Y32" s="45">
        <v>9</v>
      </c>
      <c r="Z32" s="45">
        <v>9</v>
      </c>
      <c r="AA32" s="45">
        <v>9</v>
      </c>
      <c r="AB32" s="45">
        <v>9</v>
      </c>
      <c r="AC32" s="45">
        <v>9</v>
      </c>
      <c r="AD32" s="45">
        <v>9</v>
      </c>
      <c r="AE32" s="45">
        <v>9</v>
      </c>
      <c r="AF32" s="45">
        <v>9</v>
      </c>
      <c r="AG32" s="50">
        <v>22</v>
      </c>
      <c r="AH32" s="47">
        <f t="shared" si="2"/>
        <v>20</v>
      </c>
      <c r="AI32" s="48">
        <f t="shared" si="3"/>
        <v>9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9</v>
      </c>
      <c r="C33" s="45">
        <v>9</v>
      </c>
      <c r="D33" s="45">
        <v>9</v>
      </c>
      <c r="E33" s="45">
        <v>9</v>
      </c>
      <c r="F33" s="45">
        <v>9</v>
      </c>
      <c r="G33" s="45">
        <v>9</v>
      </c>
      <c r="H33" s="45">
        <v>9</v>
      </c>
      <c r="I33" s="45">
        <v>9</v>
      </c>
      <c r="J33" s="45">
        <v>9</v>
      </c>
      <c r="K33" s="45">
        <v>9</v>
      </c>
      <c r="L33" s="45">
        <v>9</v>
      </c>
      <c r="M33" s="45">
        <v>9</v>
      </c>
      <c r="N33" s="45">
        <v>9</v>
      </c>
      <c r="O33" s="45">
        <v>9</v>
      </c>
      <c r="P33" s="45">
        <v>9</v>
      </c>
      <c r="Q33" s="45">
        <v>9</v>
      </c>
      <c r="R33" s="45">
        <v>9</v>
      </c>
      <c r="S33" s="45">
        <v>9</v>
      </c>
      <c r="T33" s="45">
        <v>9</v>
      </c>
      <c r="U33" s="45" t="s">
        <v>284</v>
      </c>
      <c r="V33" s="45">
        <v>9</v>
      </c>
      <c r="W33" s="45">
        <v>9</v>
      </c>
      <c r="X33" s="45">
        <v>9</v>
      </c>
      <c r="Y33" s="45">
        <v>9</v>
      </c>
      <c r="Z33" s="45">
        <v>9</v>
      </c>
      <c r="AA33" s="45">
        <v>9</v>
      </c>
      <c r="AB33" s="45">
        <v>9</v>
      </c>
      <c r="AC33" s="45">
        <v>9</v>
      </c>
      <c r="AD33" s="45">
        <v>9</v>
      </c>
      <c r="AE33" s="45">
        <v>9</v>
      </c>
      <c r="AF33" s="45">
        <v>9</v>
      </c>
      <c r="AG33" s="50">
        <v>20</v>
      </c>
      <c r="AH33" s="47">
        <f t="shared" si="2"/>
        <v>9</v>
      </c>
      <c r="AI33" s="48">
        <f t="shared" si="3"/>
        <v>9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 t="s">
        <v>281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50">
        <v>18</v>
      </c>
      <c r="AH34" s="47">
        <f t="shared" si="2"/>
        <v>8</v>
      </c>
      <c r="AI34" s="48">
        <f t="shared" si="3"/>
        <v>8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</v>
      </c>
      <c r="C35" s="45">
        <v>6</v>
      </c>
      <c r="D35" s="45">
        <v>6</v>
      </c>
      <c r="E35" s="45">
        <v>6</v>
      </c>
      <c r="F35" s="45">
        <v>6</v>
      </c>
      <c r="G35" s="45">
        <v>6</v>
      </c>
      <c r="H35" s="45">
        <v>6</v>
      </c>
      <c r="I35" s="45">
        <v>6</v>
      </c>
      <c r="J35" s="45">
        <v>6</v>
      </c>
      <c r="K35" s="45">
        <v>6</v>
      </c>
      <c r="L35" s="45">
        <v>6</v>
      </c>
      <c r="M35" s="45">
        <v>6</v>
      </c>
      <c r="N35" s="45">
        <v>6</v>
      </c>
      <c r="O35" s="45">
        <v>6</v>
      </c>
      <c r="P35" s="45">
        <v>6</v>
      </c>
      <c r="Q35" s="45">
        <v>6</v>
      </c>
      <c r="R35" s="45">
        <v>6</v>
      </c>
      <c r="S35" s="45">
        <v>6</v>
      </c>
      <c r="T35" s="45">
        <v>6</v>
      </c>
      <c r="U35" s="45" t="s">
        <v>286</v>
      </c>
      <c r="V35" s="45">
        <v>6</v>
      </c>
      <c r="W35" s="45">
        <v>6</v>
      </c>
      <c r="X35" s="45">
        <v>6</v>
      </c>
      <c r="Y35" s="45">
        <v>6</v>
      </c>
      <c r="Z35" s="45">
        <v>6</v>
      </c>
      <c r="AA35" s="45">
        <v>6</v>
      </c>
      <c r="AB35" s="45">
        <v>6</v>
      </c>
      <c r="AC35" s="45">
        <v>6</v>
      </c>
      <c r="AD35" s="45">
        <v>6</v>
      </c>
      <c r="AE35" s="45">
        <v>6</v>
      </c>
      <c r="AF35" s="45">
        <v>6</v>
      </c>
      <c r="AG35" s="50">
        <v>14.9</v>
      </c>
      <c r="AH35" s="47">
        <f t="shared" si="2"/>
        <v>6</v>
      </c>
      <c r="AI35" s="48">
        <f t="shared" si="3"/>
        <v>6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6.2</v>
      </c>
      <c r="C36" s="45">
        <v>6.2</v>
      </c>
      <c r="D36" s="45">
        <v>6.2</v>
      </c>
      <c r="E36" s="45">
        <v>6.2</v>
      </c>
      <c r="F36" s="45">
        <v>6.2</v>
      </c>
      <c r="G36" s="45">
        <v>6.2</v>
      </c>
      <c r="H36" s="45">
        <v>6.2</v>
      </c>
      <c r="I36" s="45">
        <v>6.2</v>
      </c>
      <c r="J36" s="45">
        <v>6.2</v>
      </c>
      <c r="K36" s="45">
        <v>6.2</v>
      </c>
      <c r="L36" s="45">
        <v>6.2</v>
      </c>
      <c r="M36" s="45">
        <v>6.2</v>
      </c>
      <c r="N36" s="45">
        <v>6.2</v>
      </c>
      <c r="O36" s="45">
        <v>6.2</v>
      </c>
      <c r="P36" s="45">
        <v>6.2</v>
      </c>
      <c r="Q36" s="45">
        <v>6.2</v>
      </c>
      <c r="R36" s="45">
        <v>6.2</v>
      </c>
      <c r="S36" s="45">
        <v>6.2</v>
      </c>
      <c r="T36" s="45">
        <v>6.2</v>
      </c>
      <c r="U36" s="45" t="s">
        <v>287</v>
      </c>
      <c r="V36" s="45">
        <v>6.2</v>
      </c>
      <c r="W36" s="45">
        <v>6.2</v>
      </c>
      <c r="X36" s="45">
        <v>6.2</v>
      </c>
      <c r="Y36" s="45">
        <v>6.2</v>
      </c>
      <c r="Z36" s="45">
        <v>6.2</v>
      </c>
      <c r="AA36" s="45">
        <v>6.2</v>
      </c>
      <c r="AB36" s="45">
        <v>6.2</v>
      </c>
      <c r="AC36" s="45">
        <v>6.2</v>
      </c>
      <c r="AD36" s="45">
        <v>6.2</v>
      </c>
      <c r="AE36" s="45">
        <v>6.2</v>
      </c>
      <c r="AF36" s="45">
        <v>6.2</v>
      </c>
      <c r="AG36" s="50">
        <v>14.9</v>
      </c>
      <c r="AH36" s="47">
        <f t="shared" si="2"/>
        <v>6.2</v>
      </c>
      <c r="AI36" s="48">
        <f t="shared" si="3"/>
        <v>6.2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/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13.6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3</v>
      </c>
      <c r="C38" s="45">
        <v>3</v>
      </c>
      <c r="D38" s="45">
        <v>3</v>
      </c>
      <c r="E38" s="45">
        <v>3</v>
      </c>
      <c r="F38" s="45">
        <v>3</v>
      </c>
      <c r="G38" s="45">
        <v>3</v>
      </c>
      <c r="H38" s="45">
        <v>3</v>
      </c>
      <c r="I38" s="45">
        <v>3</v>
      </c>
      <c r="J38" s="45">
        <v>3</v>
      </c>
      <c r="K38" s="45">
        <v>3</v>
      </c>
      <c r="L38" s="45">
        <v>3</v>
      </c>
      <c r="M38" s="45">
        <v>3</v>
      </c>
      <c r="N38" s="45">
        <v>3</v>
      </c>
      <c r="O38" s="45">
        <v>3</v>
      </c>
      <c r="P38" s="45">
        <v>3</v>
      </c>
      <c r="Q38" s="45">
        <v>3</v>
      </c>
      <c r="R38" s="45">
        <v>3</v>
      </c>
      <c r="S38" s="45">
        <v>3</v>
      </c>
      <c r="T38" s="45">
        <v>3</v>
      </c>
      <c r="U38" s="45"/>
      <c r="V38" s="45">
        <v>3</v>
      </c>
      <c r="W38" s="45">
        <v>3</v>
      </c>
      <c r="X38" s="45">
        <v>3</v>
      </c>
      <c r="Y38" s="45">
        <v>3</v>
      </c>
      <c r="Z38" s="45">
        <v>3</v>
      </c>
      <c r="AA38" s="45">
        <v>3</v>
      </c>
      <c r="AB38" s="45">
        <v>3</v>
      </c>
      <c r="AC38" s="45">
        <v>3</v>
      </c>
      <c r="AD38" s="45">
        <v>3</v>
      </c>
      <c r="AE38" s="45">
        <v>3</v>
      </c>
      <c r="AF38" s="45">
        <v>3</v>
      </c>
      <c r="AG38" s="50">
        <v>13</v>
      </c>
      <c r="AH38" s="47">
        <f t="shared" si="2"/>
        <v>3</v>
      </c>
      <c r="AI38" s="48">
        <f t="shared" si="3"/>
        <v>3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8</v>
      </c>
      <c r="C39" s="45">
        <v>8</v>
      </c>
      <c r="D39" s="45">
        <v>8</v>
      </c>
      <c r="E39" s="45">
        <v>8</v>
      </c>
      <c r="F39" s="45">
        <v>8</v>
      </c>
      <c r="G39" s="45">
        <v>8</v>
      </c>
      <c r="H39" s="45">
        <v>8</v>
      </c>
      <c r="I39" s="45">
        <v>8</v>
      </c>
      <c r="J39" s="45">
        <v>8</v>
      </c>
      <c r="K39" s="45">
        <v>8</v>
      </c>
      <c r="L39" s="45">
        <v>8</v>
      </c>
      <c r="M39" s="45">
        <v>8</v>
      </c>
      <c r="N39" s="45">
        <v>8</v>
      </c>
      <c r="O39" s="45">
        <v>8</v>
      </c>
      <c r="P39" s="45">
        <v>8</v>
      </c>
      <c r="Q39" s="45">
        <v>8</v>
      </c>
      <c r="R39" s="45">
        <v>8</v>
      </c>
      <c r="S39" s="45">
        <v>8</v>
      </c>
      <c r="T39" s="45">
        <v>8</v>
      </c>
      <c r="U39" s="45" t="s">
        <v>288</v>
      </c>
      <c r="V39" s="45">
        <v>8</v>
      </c>
      <c r="W39" s="45">
        <v>8</v>
      </c>
      <c r="X39" s="45">
        <v>8</v>
      </c>
      <c r="Y39" s="45">
        <v>8</v>
      </c>
      <c r="Z39" s="45">
        <v>8</v>
      </c>
      <c r="AA39" s="45">
        <v>8</v>
      </c>
      <c r="AB39" s="45">
        <v>8</v>
      </c>
      <c r="AC39" s="45">
        <v>8</v>
      </c>
      <c r="AD39" s="45">
        <v>8</v>
      </c>
      <c r="AE39" s="45">
        <v>8</v>
      </c>
      <c r="AF39" s="45">
        <v>8</v>
      </c>
      <c r="AG39" s="50">
        <v>12</v>
      </c>
      <c r="AH39" s="47">
        <f t="shared" si="2"/>
        <v>8</v>
      </c>
      <c r="AI39" s="48">
        <f t="shared" si="3"/>
        <v>8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 t="s">
        <v>289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0">
        <v>12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11</v>
      </c>
      <c r="C41" s="45">
        <v>11</v>
      </c>
      <c r="D41" s="45">
        <v>11</v>
      </c>
      <c r="E41" s="45">
        <v>11</v>
      </c>
      <c r="F41" s="45">
        <v>11</v>
      </c>
      <c r="G41" s="45">
        <v>11</v>
      </c>
      <c r="H41" s="45">
        <v>11</v>
      </c>
      <c r="I41" s="45">
        <v>11</v>
      </c>
      <c r="J41" s="45">
        <v>11</v>
      </c>
      <c r="K41" s="45">
        <v>11</v>
      </c>
      <c r="L41" s="45">
        <v>11</v>
      </c>
      <c r="M41" s="45">
        <v>11</v>
      </c>
      <c r="N41" s="45">
        <v>11</v>
      </c>
      <c r="O41" s="45">
        <v>11</v>
      </c>
      <c r="P41" s="45">
        <v>11</v>
      </c>
      <c r="Q41" s="45">
        <v>11</v>
      </c>
      <c r="R41" s="45">
        <v>11</v>
      </c>
      <c r="S41" s="45">
        <v>11</v>
      </c>
      <c r="T41" s="45">
        <v>11</v>
      </c>
      <c r="U41" s="45" t="s">
        <v>283</v>
      </c>
      <c r="V41" s="45">
        <v>11</v>
      </c>
      <c r="W41" s="45">
        <v>11</v>
      </c>
      <c r="X41" s="45">
        <v>11</v>
      </c>
      <c r="Y41" s="45">
        <v>11</v>
      </c>
      <c r="Z41" s="45">
        <v>11</v>
      </c>
      <c r="AA41" s="45">
        <v>11</v>
      </c>
      <c r="AB41" s="45">
        <v>11</v>
      </c>
      <c r="AC41" s="45">
        <v>11</v>
      </c>
      <c r="AD41" s="45">
        <v>11</v>
      </c>
      <c r="AE41" s="45">
        <v>11</v>
      </c>
      <c r="AF41" s="45">
        <v>11</v>
      </c>
      <c r="AG41" s="50">
        <v>12</v>
      </c>
      <c r="AH41" s="47">
        <f t="shared" si="2"/>
        <v>11</v>
      </c>
      <c r="AI41" s="48">
        <f t="shared" si="3"/>
        <v>11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7</v>
      </c>
      <c r="C42" s="45">
        <v>7</v>
      </c>
      <c r="D42" s="45">
        <v>7</v>
      </c>
      <c r="E42" s="45">
        <v>7</v>
      </c>
      <c r="F42" s="45">
        <v>7</v>
      </c>
      <c r="G42" s="45">
        <v>7</v>
      </c>
      <c r="H42" s="45">
        <v>7</v>
      </c>
      <c r="I42" s="45">
        <v>7</v>
      </c>
      <c r="J42" s="45">
        <v>7</v>
      </c>
      <c r="K42" s="45">
        <v>7</v>
      </c>
      <c r="L42" s="45">
        <v>7</v>
      </c>
      <c r="M42" s="45">
        <v>7</v>
      </c>
      <c r="N42" s="45">
        <v>7</v>
      </c>
      <c r="O42" s="45">
        <v>7</v>
      </c>
      <c r="P42" s="45">
        <v>7</v>
      </c>
      <c r="Q42" s="45">
        <v>7</v>
      </c>
      <c r="R42" s="45">
        <v>7</v>
      </c>
      <c r="S42" s="45">
        <v>7</v>
      </c>
      <c r="T42" s="45">
        <v>7</v>
      </c>
      <c r="U42" s="45" t="s">
        <v>283</v>
      </c>
      <c r="V42" s="45">
        <v>7</v>
      </c>
      <c r="W42" s="45">
        <v>7</v>
      </c>
      <c r="X42" s="45">
        <v>7</v>
      </c>
      <c r="Y42" s="45">
        <v>7</v>
      </c>
      <c r="Z42" s="45">
        <v>7</v>
      </c>
      <c r="AA42" s="45">
        <v>7</v>
      </c>
      <c r="AB42" s="45">
        <v>7</v>
      </c>
      <c r="AC42" s="45">
        <v>7</v>
      </c>
      <c r="AD42" s="45">
        <v>7</v>
      </c>
      <c r="AE42" s="45">
        <v>7</v>
      </c>
      <c r="AF42" s="45">
        <v>7</v>
      </c>
      <c r="AG42" s="52">
        <v>22</v>
      </c>
      <c r="AH42" s="47">
        <f t="shared" si="2"/>
        <v>7</v>
      </c>
      <c r="AI42" s="48">
        <f t="shared" si="3"/>
        <v>7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3.6</v>
      </c>
      <c r="C43" s="45">
        <v>3.6</v>
      </c>
      <c r="D43" s="45">
        <v>3.6</v>
      </c>
      <c r="E43" s="45">
        <v>3.6</v>
      </c>
      <c r="F43" s="45">
        <v>3.6</v>
      </c>
      <c r="G43" s="45">
        <v>3.6</v>
      </c>
      <c r="H43" s="45">
        <v>3.6</v>
      </c>
      <c r="I43" s="45">
        <v>3.6</v>
      </c>
      <c r="J43" s="45">
        <v>3.6</v>
      </c>
      <c r="K43" s="45">
        <v>3.6</v>
      </c>
      <c r="L43" s="45">
        <v>3.6</v>
      </c>
      <c r="M43" s="45">
        <v>3.6</v>
      </c>
      <c r="N43" s="45">
        <v>3.6</v>
      </c>
      <c r="O43" s="45">
        <v>3.6</v>
      </c>
      <c r="P43" s="45">
        <v>3.6</v>
      </c>
      <c r="Q43" s="45">
        <v>3.6</v>
      </c>
      <c r="R43" s="45">
        <v>3.6</v>
      </c>
      <c r="S43" s="45">
        <v>3.6</v>
      </c>
      <c r="T43" s="45">
        <v>3.6</v>
      </c>
      <c r="U43" s="45" t="s">
        <v>279</v>
      </c>
      <c r="V43" s="45">
        <v>3.6</v>
      </c>
      <c r="W43" s="45">
        <v>3.6</v>
      </c>
      <c r="X43" s="45">
        <v>3.6</v>
      </c>
      <c r="Y43" s="45">
        <v>3.6</v>
      </c>
      <c r="Z43" s="45">
        <v>3.6</v>
      </c>
      <c r="AA43" s="45">
        <v>3.6</v>
      </c>
      <c r="AB43" s="45">
        <v>3.6</v>
      </c>
      <c r="AC43" s="45">
        <v>3.6</v>
      </c>
      <c r="AD43" s="45">
        <v>3.6</v>
      </c>
      <c r="AE43" s="45">
        <v>3.6</v>
      </c>
      <c r="AF43" s="45">
        <v>3.6</v>
      </c>
      <c r="AG43" s="51">
        <v>11.88</v>
      </c>
      <c r="AH43" s="47">
        <f t="shared" si="2"/>
        <v>3.6</v>
      </c>
      <c r="AI43" s="48">
        <f t="shared" si="3"/>
        <v>3.6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 t="s">
        <v>278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4">
        <v>11</v>
      </c>
      <c r="AH44" s="47">
        <f t="shared" si="2"/>
        <v>5</v>
      </c>
      <c r="AI44" s="48">
        <f t="shared" si="3"/>
        <v>5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 t="s">
        <v>284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 t="s">
        <v>286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/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233</v>
      </c>
      <c r="C48" s="56">
        <v>233</v>
      </c>
      <c r="D48" s="56">
        <v>233</v>
      </c>
      <c r="E48" s="56">
        <v>233</v>
      </c>
      <c r="F48" s="56">
        <v>233</v>
      </c>
      <c r="G48" s="56">
        <v>233</v>
      </c>
      <c r="H48" s="56">
        <v>233</v>
      </c>
      <c r="I48" s="56">
        <v>233</v>
      </c>
      <c r="J48" s="56">
        <v>233</v>
      </c>
      <c r="K48" s="56">
        <v>233</v>
      </c>
      <c r="L48" s="56">
        <v>233</v>
      </c>
      <c r="M48" s="56">
        <v>233</v>
      </c>
      <c r="N48" s="56">
        <v>233</v>
      </c>
      <c r="O48" s="56">
        <v>233</v>
      </c>
      <c r="P48" s="56">
        <v>233</v>
      </c>
      <c r="Q48" s="56">
        <v>233</v>
      </c>
      <c r="R48" s="56">
        <v>233</v>
      </c>
      <c r="S48" s="56">
        <v>233</v>
      </c>
      <c r="T48" s="56">
        <v>233</v>
      </c>
      <c r="U48" s="56"/>
      <c r="V48" s="56">
        <v>233</v>
      </c>
      <c r="W48" s="56">
        <v>233</v>
      </c>
      <c r="X48" s="56">
        <v>233</v>
      </c>
      <c r="Y48" s="56">
        <v>233</v>
      </c>
      <c r="Z48" s="56">
        <v>233</v>
      </c>
      <c r="AA48" s="56">
        <v>233</v>
      </c>
      <c r="AB48" s="56">
        <v>233</v>
      </c>
      <c r="AC48" s="56">
        <v>233</v>
      </c>
      <c r="AD48" s="56">
        <v>233</v>
      </c>
      <c r="AE48" s="56">
        <v>233</v>
      </c>
      <c r="AF48" s="56">
        <v>233</v>
      </c>
      <c r="AG48" s="54">
        <v>85</v>
      </c>
      <c r="AH48" s="47">
        <f t="shared" si="2"/>
        <v>233</v>
      </c>
      <c r="AI48" s="48">
        <f t="shared" si="3"/>
        <v>233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 t="shared" ref="B50:AF50" si="4">SUM(B11:B48)</f>
        <v>729.2</v>
      </c>
      <c r="C50" s="60">
        <f t="shared" si="4"/>
        <v>729.2</v>
      </c>
      <c r="D50" s="60">
        <f t="shared" si="4"/>
        <v>729.2</v>
      </c>
      <c r="E50" s="60">
        <f t="shared" si="4"/>
        <v>718.7</v>
      </c>
      <c r="F50" s="60">
        <f t="shared" si="4"/>
        <v>718.7</v>
      </c>
      <c r="G50" s="60">
        <f t="shared" si="4"/>
        <v>717.5</v>
      </c>
      <c r="H50" s="60">
        <f t="shared" si="4"/>
        <v>717.5</v>
      </c>
      <c r="I50" s="60">
        <f t="shared" si="4"/>
        <v>715.5</v>
      </c>
      <c r="J50" s="60">
        <f t="shared" si="4"/>
        <v>707.6</v>
      </c>
      <c r="K50" s="60">
        <f t="shared" si="4"/>
        <v>707.6</v>
      </c>
      <c r="L50" s="60">
        <f t="shared" si="4"/>
        <v>707.6</v>
      </c>
      <c r="M50" s="60">
        <f t="shared" si="4"/>
        <v>704</v>
      </c>
      <c r="N50" s="60">
        <f t="shared" si="4"/>
        <v>706.30000000000007</v>
      </c>
      <c r="O50" s="60">
        <f t="shared" si="4"/>
        <v>706.30000000000007</v>
      </c>
      <c r="P50" s="60">
        <f t="shared" si="4"/>
        <v>706.30000000000007</v>
      </c>
      <c r="Q50" s="60">
        <f t="shared" si="4"/>
        <v>706.30000000000007</v>
      </c>
      <c r="R50" s="60">
        <f>SUM(R11:R48)</f>
        <v>695.30000000000007</v>
      </c>
      <c r="S50" s="60">
        <f t="shared" si="4"/>
        <v>695.30000000000007</v>
      </c>
      <c r="T50" s="60">
        <f t="shared" si="4"/>
        <v>695.30000000000007</v>
      </c>
      <c r="U50" s="60">
        <f t="shared" si="4"/>
        <v>0</v>
      </c>
      <c r="V50" s="60">
        <f t="shared" si="4"/>
        <v>706.30000000000007</v>
      </c>
      <c r="W50" s="60">
        <f t="shared" si="4"/>
        <v>706.30000000000007</v>
      </c>
      <c r="X50" s="60">
        <f t="shared" si="4"/>
        <v>706.30000000000007</v>
      </c>
      <c r="Y50" s="60">
        <f t="shared" si="4"/>
        <v>706.30000000000007</v>
      </c>
      <c r="Z50" s="60">
        <f t="shared" si="4"/>
        <v>706.30000000000007</v>
      </c>
      <c r="AA50" s="60">
        <f t="shared" si="4"/>
        <v>706.30000000000007</v>
      </c>
      <c r="AB50" s="60">
        <f t="shared" si="4"/>
        <v>706.30000000000007</v>
      </c>
      <c r="AC50" s="60">
        <f t="shared" si="4"/>
        <v>706.30000000000007</v>
      </c>
      <c r="AD50" s="60">
        <f t="shared" si="4"/>
        <v>706.30000000000007</v>
      </c>
      <c r="AE50" s="60">
        <f t="shared" si="4"/>
        <v>706.30000000000007</v>
      </c>
      <c r="AF50" s="60">
        <f t="shared" si="4"/>
        <v>706.30000000000007</v>
      </c>
      <c r="AG50" s="61">
        <f>SUM(AG13:AG48)</f>
        <v>922.14</v>
      </c>
      <c r="AH50" s="47">
        <f t="shared" si="2"/>
        <v>729.2</v>
      </c>
      <c r="AI50" s="48">
        <f t="shared" si="3"/>
        <v>0</v>
      </c>
      <c r="AK50" s="49"/>
    </row>
    <row r="51" spans="1:41" x14ac:dyDescent="0.25">
      <c r="A51" s="62" t="s">
        <v>57</v>
      </c>
      <c r="B51" s="45">
        <v>136</v>
      </c>
      <c r="C51" s="45">
        <v>95</v>
      </c>
      <c r="D51" s="45">
        <v>95</v>
      </c>
      <c r="E51" s="45">
        <v>95</v>
      </c>
      <c r="F51" s="45">
        <v>85</v>
      </c>
      <c r="G51" s="45">
        <v>85</v>
      </c>
      <c r="H51" s="45">
        <v>85</v>
      </c>
      <c r="I51" s="45">
        <v>85</v>
      </c>
      <c r="J51" s="45">
        <v>85</v>
      </c>
      <c r="K51" s="45">
        <v>85</v>
      </c>
      <c r="L51" s="45">
        <v>85</v>
      </c>
      <c r="M51" s="45">
        <v>85</v>
      </c>
      <c r="N51" s="63">
        <v>110</v>
      </c>
      <c r="O51" s="63">
        <v>110</v>
      </c>
      <c r="P51" s="63">
        <v>70</v>
      </c>
      <c r="Q51" s="63">
        <v>50</v>
      </c>
      <c r="R51" s="63">
        <v>0</v>
      </c>
      <c r="S51" s="63">
        <v>0</v>
      </c>
      <c r="T51" s="63">
        <v>20</v>
      </c>
      <c r="U51" s="45"/>
      <c r="V51" s="45">
        <v>60</v>
      </c>
      <c r="W51" s="45">
        <v>152</v>
      </c>
      <c r="X51" s="45">
        <v>150</v>
      </c>
      <c r="Y51" s="45">
        <v>100</v>
      </c>
      <c r="Z51" s="45">
        <v>140</v>
      </c>
      <c r="AA51" s="45">
        <v>220</v>
      </c>
      <c r="AB51" s="45">
        <v>190</v>
      </c>
      <c r="AC51" s="45">
        <v>230</v>
      </c>
      <c r="AD51" s="45">
        <v>230</v>
      </c>
      <c r="AE51" s="45">
        <v>260</v>
      </c>
      <c r="AF51" s="45">
        <v>300</v>
      </c>
      <c r="AG51" s="51">
        <v>456</v>
      </c>
      <c r="AH51" s="47">
        <f t="shared" si="2"/>
        <v>300</v>
      </c>
      <c r="AI51" s="48">
        <f t="shared" si="3"/>
        <v>0</v>
      </c>
      <c r="AK51" s="49"/>
    </row>
    <row r="52" spans="1:41" x14ac:dyDescent="0.25">
      <c r="A52" s="64" t="s">
        <v>58</v>
      </c>
      <c r="B52" s="65">
        <v>43</v>
      </c>
      <c r="C52" s="65">
        <v>43</v>
      </c>
      <c r="D52" s="65">
        <v>43</v>
      </c>
      <c r="E52" s="65">
        <v>43</v>
      </c>
      <c r="F52" s="65">
        <v>43</v>
      </c>
      <c r="G52" s="65">
        <v>43</v>
      </c>
      <c r="H52" s="65">
        <v>43</v>
      </c>
      <c r="I52" s="65">
        <v>43</v>
      </c>
      <c r="J52" s="65">
        <v>43</v>
      </c>
      <c r="K52" s="65">
        <v>43</v>
      </c>
      <c r="L52" s="65">
        <v>43</v>
      </c>
      <c r="M52" s="65">
        <v>43</v>
      </c>
      <c r="N52" s="65">
        <v>43</v>
      </c>
      <c r="O52" s="65">
        <v>43</v>
      </c>
      <c r="P52" s="65">
        <v>43</v>
      </c>
      <c r="Q52" s="65">
        <v>43</v>
      </c>
      <c r="R52" s="65">
        <v>43</v>
      </c>
      <c r="S52" s="65">
        <v>43</v>
      </c>
      <c r="T52" s="65">
        <v>43</v>
      </c>
      <c r="U52" s="65"/>
      <c r="V52" s="65">
        <v>45</v>
      </c>
      <c r="W52" s="65">
        <v>45</v>
      </c>
      <c r="X52" s="65">
        <v>45</v>
      </c>
      <c r="Y52" s="65">
        <v>45</v>
      </c>
      <c r="Z52" s="65">
        <v>45</v>
      </c>
      <c r="AA52" s="65">
        <v>45</v>
      </c>
      <c r="AB52" s="65">
        <v>45</v>
      </c>
      <c r="AC52" s="65">
        <v>45</v>
      </c>
      <c r="AD52" s="65">
        <v>45</v>
      </c>
      <c r="AE52" s="65">
        <v>45</v>
      </c>
      <c r="AF52" s="65">
        <v>55</v>
      </c>
      <c r="AG52" s="54">
        <v>60</v>
      </c>
      <c r="AH52" s="47">
        <f t="shared" si="2"/>
        <v>55</v>
      </c>
      <c r="AI52" s="48">
        <f t="shared" si="3"/>
        <v>43</v>
      </c>
      <c r="AK52" s="49"/>
    </row>
    <row r="53" spans="1:41" ht="15.75" thickBot="1" x14ac:dyDescent="0.3">
      <c r="A53" s="66" t="s">
        <v>59</v>
      </c>
      <c r="B53" s="67">
        <v>20.7</v>
      </c>
      <c r="C53" s="67">
        <v>20.7</v>
      </c>
      <c r="D53" s="67">
        <v>20.7</v>
      </c>
      <c r="E53" s="67">
        <v>22</v>
      </c>
      <c r="F53" s="67">
        <v>22.4</v>
      </c>
      <c r="G53" s="67">
        <v>22.4</v>
      </c>
      <c r="H53" s="67">
        <v>22.4</v>
      </c>
      <c r="I53" s="67">
        <v>22.2</v>
      </c>
      <c r="J53" s="67">
        <v>22.2</v>
      </c>
      <c r="K53" s="67">
        <v>22.2</v>
      </c>
      <c r="L53" s="67">
        <v>22.2</v>
      </c>
      <c r="M53" s="67">
        <v>22.2</v>
      </c>
      <c r="N53" s="67">
        <v>21.3</v>
      </c>
      <c r="O53" s="67">
        <v>21.3</v>
      </c>
      <c r="P53" s="67">
        <v>21.3</v>
      </c>
      <c r="Q53" s="67">
        <v>21.3</v>
      </c>
      <c r="R53" s="67">
        <v>21.3</v>
      </c>
      <c r="S53" s="67">
        <v>21.3</v>
      </c>
      <c r="T53" s="67">
        <v>21.3</v>
      </c>
      <c r="U53" s="67"/>
      <c r="V53" s="67">
        <v>20.3</v>
      </c>
      <c r="W53" s="67">
        <v>20.3</v>
      </c>
      <c r="X53" s="67">
        <v>21</v>
      </c>
      <c r="Y53" s="67">
        <v>21</v>
      </c>
      <c r="Z53" s="67">
        <v>22</v>
      </c>
      <c r="AA53" s="67">
        <v>22</v>
      </c>
      <c r="AB53" s="67">
        <v>22</v>
      </c>
      <c r="AC53" s="67">
        <v>22</v>
      </c>
      <c r="AD53" s="67">
        <v>22</v>
      </c>
      <c r="AE53" s="67">
        <v>22</v>
      </c>
      <c r="AF53" s="67">
        <v>22</v>
      </c>
      <c r="AG53" s="68">
        <v>22.1</v>
      </c>
      <c r="AH53" s="47">
        <f t="shared" si="2"/>
        <v>22.4</v>
      </c>
      <c r="AI53" s="48">
        <f t="shared" si="3"/>
        <v>20.3</v>
      </c>
      <c r="AK53" s="49"/>
    </row>
    <row r="54" spans="1:41" ht="15.75" thickBot="1" x14ac:dyDescent="0.3">
      <c r="A54" s="69" t="s">
        <v>60</v>
      </c>
      <c r="B54" s="60">
        <f t="shared" ref="B54:AG54" si="5">SUM(B51:B53)</f>
        <v>199.7</v>
      </c>
      <c r="C54" s="60">
        <f t="shared" si="5"/>
        <v>158.69999999999999</v>
      </c>
      <c r="D54" s="60">
        <f t="shared" si="5"/>
        <v>158.69999999999999</v>
      </c>
      <c r="E54" s="60">
        <f t="shared" si="5"/>
        <v>160</v>
      </c>
      <c r="F54" s="60">
        <f t="shared" si="5"/>
        <v>150.4</v>
      </c>
      <c r="G54" s="60">
        <f t="shared" si="5"/>
        <v>150.4</v>
      </c>
      <c r="H54" s="60">
        <f t="shared" si="5"/>
        <v>150.4</v>
      </c>
      <c r="I54" s="60">
        <f t="shared" si="5"/>
        <v>150.19999999999999</v>
      </c>
      <c r="J54" s="60">
        <f t="shared" si="5"/>
        <v>150.19999999999999</v>
      </c>
      <c r="K54" s="60">
        <f t="shared" si="5"/>
        <v>150.19999999999999</v>
      </c>
      <c r="L54" s="60">
        <f t="shared" si="5"/>
        <v>150.19999999999999</v>
      </c>
      <c r="M54" s="60">
        <f t="shared" si="5"/>
        <v>150.19999999999999</v>
      </c>
      <c r="N54" s="60">
        <f t="shared" si="5"/>
        <v>174.3</v>
      </c>
      <c r="O54" s="60">
        <f t="shared" si="5"/>
        <v>174.3</v>
      </c>
      <c r="P54" s="60">
        <f t="shared" si="5"/>
        <v>134.30000000000001</v>
      </c>
      <c r="Q54" s="60">
        <f t="shared" si="5"/>
        <v>114.3</v>
      </c>
      <c r="R54" s="60">
        <f>SUM(R51:R53)</f>
        <v>64.3</v>
      </c>
      <c r="S54" s="60">
        <f t="shared" si="5"/>
        <v>64.3</v>
      </c>
      <c r="T54" s="60">
        <f t="shared" si="5"/>
        <v>84.3</v>
      </c>
      <c r="U54" s="60">
        <f t="shared" si="5"/>
        <v>0</v>
      </c>
      <c r="V54" s="60">
        <f t="shared" si="5"/>
        <v>125.3</v>
      </c>
      <c r="W54" s="60">
        <f t="shared" si="5"/>
        <v>217.3</v>
      </c>
      <c r="X54" s="60">
        <f t="shared" si="5"/>
        <v>216</v>
      </c>
      <c r="Y54" s="60">
        <f t="shared" si="5"/>
        <v>166</v>
      </c>
      <c r="Z54" s="60">
        <f t="shared" si="5"/>
        <v>207</v>
      </c>
      <c r="AA54" s="60">
        <f t="shared" si="5"/>
        <v>287</v>
      </c>
      <c r="AB54" s="60">
        <f t="shared" si="5"/>
        <v>257</v>
      </c>
      <c r="AC54" s="60">
        <f t="shared" si="5"/>
        <v>297</v>
      </c>
      <c r="AD54" s="60">
        <f t="shared" si="5"/>
        <v>297</v>
      </c>
      <c r="AE54" s="60">
        <f t="shared" si="5"/>
        <v>327</v>
      </c>
      <c r="AF54" s="60">
        <f t="shared" si="5"/>
        <v>377</v>
      </c>
      <c r="AG54" s="61">
        <f t="shared" si="5"/>
        <v>538.1</v>
      </c>
      <c r="AH54" s="47">
        <f t="shared" si="2"/>
        <v>377</v>
      </c>
      <c r="AI54" s="48">
        <f t="shared" si="3"/>
        <v>0</v>
      </c>
      <c r="AK54" s="49"/>
    </row>
    <row r="55" spans="1:41" x14ac:dyDescent="0.25">
      <c r="A55" s="44" t="s">
        <v>61</v>
      </c>
      <c r="B55" s="45">
        <v>112</v>
      </c>
      <c r="C55" s="45">
        <v>110</v>
      </c>
      <c r="D55" s="45">
        <v>110</v>
      </c>
      <c r="E55" s="45">
        <v>111.1</v>
      </c>
      <c r="F55" s="45">
        <v>91.3</v>
      </c>
      <c r="G55" s="45">
        <v>97.7</v>
      </c>
      <c r="H55" s="45">
        <v>97.7</v>
      </c>
      <c r="I55" s="45">
        <v>113</v>
      </c>
      <c r="J55" s="45">
        <v>113.8</v>
      </c>
      <c r="K55" s="45">
        <v>113.5</v>
      </c>
      <c r="L55" s="45">
        <v>130</v>
      </c>
      <c r="M55" s="45">
        <v>120</v>
      </c>
      <c r="N55" s="45">
        <v>101.7</v>
      </c>
      <c r="O55" s="45">
        <v>101.7</v>
      </c>
      <c r="P55" s="45">
        <v>101.7</v>
      </c>
      <c r="Q55" s="45">
        <v>60</v>
      </c>
      <c r="R55" s="45">
        <v>61.3</v>
      </c>
      <c r="S55" s="45">
        <v>61.3</v>
      </c>
      <c r="T55" s="45">
        <v>91.4</v>
      </c>
      <c r="U55" s="45"/>
      <c r="V55" s="45">
        <v>91.5</v>
      </c>
      <c r="W55" s="45">
        <v>91.5</v>
      </c>
      <c r="X55" s="45">
        <v>70.5</v>
      </c>
      <c r="Y55" s="45">
        <v>90</v>
      </c>
      <c r="Z55" s="45">
        <v>97.3</v>
      </c>
      <c r="AA55" s="45">
        <v>145.19999999999999</v>
      </c>
      <c r="AB55" s="45">
        <v>145.19999999999999</v>
      </c>
      <c r="AC55" s="45">
        <v>130</v>
      </c>
      <c r="AD55" s="45">
        <v>110</v>
      </c>
      <c r="AE55" s="45">
        <v>110</v>
      </c>
      <c r="AF55" s="45">
        <v>100</v>
      </c>
      <c r="AG55" s="51">
        <v>144</v>
      </c>
      <c r="AH55" s="47">
        <f t="shared" si="2"/>
        <v>145.19999999999999</v>
      </c>
      <c r="AI55" s="48">
        <f t="shared" si="3"/>
        <v>60</v>
      </c>
      <c r="AK55" s="49"/>
    </row>
    <row r="56" spans="1:41" x14ac:dyDescent="0.25">
      <c r="A56" s="53" t="s">
        <v>62</v>
      </c>
      <c r="B56" s="65">
        <v>38</v>
      </c>
      <c r="C56" s="65">
        <v>32</v>
      </c>
      <c r="D56" s="65">
        <v>32</v>
      </c>
      <c r="E56" s="65">
        <v>32</v>
      </c>
      <c r="F56" s="65">
        <v>32.4</v>
      </c>
      <c r="G56" s="65">
        <v>32.5</v>
      </c>
      <c r="H56" s="65">
        <v>65</v>
      </c>
      <c r="I56" s="65">
        <v>70</v>
      </c>
      <c r="J56" s="65">
        <v>65</v>
      </c>
      <c r="K56" s="65">
        <v>65</v>
      </c>
      <c r="L56" s="65">
        <v>70</v>
      </c>
      <c r="M56" s="65">
        <v>69</v>
      </c>
      <c r="N56" s="65">
        <v>70.3</v>
      </c>
      <c r="O56" s="65">
        <v>70.3</v>
      </c>
      <c r="P56" s="65">
        <v>70.3</v>
      </c>
      <c r="Q56" s="65">
        <v>61</v>
      </c>
      <c r="R56" s="65">
        <v>61.5</v>
      </c>
      <c r="S56" s="65">
        <v>61.5</v>
      </c>
      <c r="T56" s="65">
        <v>61.5</v>
      </c>
      <c r="U56" s="45"/>
      <c r="V56" s="45">
        <v>51.2</v>
      </c>
      <c r="W56" s="45">
        <v>51.2</v>
      </c>
      <c r="X56" s="45">
        <v>46.5</v>
      </c>
      <c r="Y56" s="45">
        <v>46.5</v>
      </c>
      <c r="Z56" s="45">
        <v>45.3</v>
      </c>
      <c r="AA56" s="45">
        <v>69.2</v>
      </c>
      <c r="AB56" s="45">
        <v>69.2</v>
      </c>
      <c r="AC56" s="45">
        <v>69.2</v>
      </c>
      <c r="AD56" s="65">
        <v>60</v>
      </c>
      <c r="AE56" s="65">
        <v>60</v>
      </c>
      <c r="AF56" s="45">
        <v>51.7</v>
      </c>
      <c r="AG56" s="54">
        <v>70</v>
      </c>
      <c r="AH56" s="47">
        <f t="shared" si="2"/>
        <v>70.3</v>
      </c>
      <c r="AI56" s="48">
        <f t="shared" si="3"/>
        <v>32</v>
      </c>
      <c r="AK56" s="49"/>
    </row>
    <row r="57" spans="1:41" x14ac:dyDescent="0.25">
      <c r="A57" s="53" t="s">
        <v>63</v>
      </c>
      <c r="B57" s="65">
        <v>50</v>
      </c>
      <c r="C57" s="65">
        <v>50</v>
      </c>
      <c r="D57" s="65">
        <v>50</v>
      </c>
      <c r="E57" s="65">
        <v>50.7</v>
      </c>
      <c r="F57" s="65">
        <v>50.3</v>
      </c>
      <c r="G57" s="65">
        <v>50.8</v>
      </c>
      <c r="H57" s="65">
        <v>50.8</v>
      </c>
      <c r="I57" s="65">
        <v>50.6</v>
      </c>
      <c r="J57" s="65">
        <v>51</v>
      </c>
      <c r="K57" s="65">
        <v>70.400000000000006</v>
      </c>
      <c r="L57" s="65">
        <v>69</v>
      </c>
      <c r="M57" s="65">
        <v>69</v>
      </c>
      <c r="N57" s="65">
        <v>69.400000000000006</v>
      </c>
      <c r="O57" s="65">
        <v>69.400000000000006</v>
      </c>
      <c r="P57" s="65">
        <v>69.400000000000006</v>
      </c>
      <c r="Q57" s="65">
        <v>50</v>
      </c>
      <c r="R57" s="65">
        <v>50</v>
      </c>
      <c r="S57" s="65">
        <v>50</v>
      </c>
      <c r="T57" s="65">
        <v>50</v>
      </c>
      <c r="U57" s="45"/>
      <c r="V57" s="45">
        <v>58.4</v>
      </c>
      <c r="W57" s="45">
        <v>58.4</v>
      </c>
      <c r="X57" s="45">
        <v>58.3</v>
      </c>
      <c r="Y57" s="45">
        <v>58.3</v>
      </c>
      <c r="Z57" s="45">
        <v>70.099999999999994</v>
      </c>
      <c r="AA57" s="45">
        <v>69.599999999999994</v>
      </c>
      <c r="AB57" s="45">
        <v>68.5</v>
      </c>
      <c r="AC57" s="45">
        <v>68.5</v>
      </c>
      <c r="AD57" s="65">
        <v>69.3</v>
      </c>
      <c r="AE57" s="65">
        <v>69.3</v>
      </c>
      <c r="AF57" s="45">
        <v>60</v>
      </c>
      <c r="AG57" s="54">
        <v>69</v>
      </c>
      <c r="AH57" s="47">
        <f t="shared" si="2"/>
        <v>70.400000000000006</v>
      </c>
      <c r="AI57" s="48">
        <f t="shared" si="3"/>
        <v>50</v>
      </c>
      <c r="AK57" s="49"/>
    </row>
    <row r="58" spans="1:41" x14ac:dyDescent="0.25">
      <c r="A58" s="53" t="s">
        <v>64</v>
      </c>
      <c r="B58" s="65">
        <v>60.4</v>
      </c>
      <c r="C58" s="65">
        <v>60.4</v>
      </c>
      <c r="D58" s="65">
        <v>60.4</v>
      </c>
      <c r="E58" s="56">
        <v>60</v>
      </c>
      <c r="F58" s="56">
        <v>60</v>
      </c>
      <c r="G58" s="56">
        <v>60</v>
      </c>
      <c r="H58" s="56">
        <v>60</v>
      </c>
      <c r="I58" s="56">
        <v>60.9</v>
      </c>
      <c r="J58" s="56">
        <v>60.8</v>
      </c>
      <c r="K58" s="56">
        <v>60.4</v>
      </c>
      <c r="L58" s="56">
        <v>60.4</v>
      </c>
      <c r="M58" s="65">
        <v>60</v>
      </c>
      <c r="N58" s="65">
        <v>60.4</v>
      </c>
      <c r="O58" s="65">
        <v>60.4</v>
      </c>
      <c r="P58" s="65">
        <v>60.4</v>
      </c>
      <c r="Q58" s="65">
        <v>60.4</v>
      </c>
      <c r="R58" s="65">
        <v>60.4</v>
      </c>
      <c r="S58" s="65">
        <v>60.4</v>
      </c>
      <c r="T58" s="65">
        <v>60.4</v>
      </c>
      <c r="U58" s="45"/>
      <c r="V58" s="45">
        <v>61.5</v>
      </c>
      <c r="W58" s="45">
        <v>61.5</v>
      </c>
      <c r="X58" s="45">
        <v>61.5</v>
      </c>
      <c r="Y58" s="45">
        <v>61.5</v>
      </c>
      <c r="Z58" s="45">
        <v>61.7</v>
      </c>
      <c r="AA58" s="45">
        <v>61.7</v>
      </c>
      <c r="AB58" s="45">
        <v>61.7</v>
      </c>
      <c r="AC58" s="45">
        <v>61.7</v>
      </c>
      <c r="AD58" s="65">
        <v>61.7</v>
      </c>
      <c r="AE58" s="65">
        <v>61.7</v>
      </c>
      <c r="AF58" s="65">
        <v>61.7</v>
      </c>
      <c r="AG58" s="54">
        <v>60</v>
      </c>
      <c r="AH58" s="47">
        <f t="shared" si="2"/>
        <v>61.7</v>
      </c>
      <c r="AI58" s="48">
        <f t="shared" si="3"/>
        <v>60</v>
      </c>
      <c r="AK58" s="49"/>
    </row>
    <row r="59" spans="1:41" x14ac:dyDescent="0.25">
      <c r="A59" s="53" t="s">
        <v>65</v>
      </c>
      <c r="B59" s="65">
        <v>15</v>
      </c>
      <c r="C59" s="65">
        <v>0</v>
      </c>
      <c r="D59" s="65">
        <v>0</v>
      </c>
      <c r="E59" s="56">
        <v>0</v>
      </c>
      <c r="F59" s="56">
        <v>0</v>
      </c>
      <c r="G59" s="56">
        <v>0</v>
      </c>
      <c r="H59" s="56">
        <v>0</v>
      </c>
      <c r="I59" s="56">
        <v>15</v>
      </c>
      <c r="J59" s="56">
        <v>15</v>
      </c>
      <c r="K59" s="56">
        <v>22</v>
      </c>
      <c r="L59" s="56">
        <v>22</v>
      </c>
      <c r="M59" s="65">
        <v>22</v>
      </c>
      <c r="N59" s="65">
        <v>22</v>
      </c>
      <c r="O59" s="65">
        <v>22</v>
      </c>
      <c r="P59" s="65">
        <v>22</v>
      </c>
      <c r="Q59" s="65">
        <v>22</v>
      </c>
      <c r="R59" s="65">
        <v>22</v>
      </c>
      <c r="S59" s="65">
        <v>22</v>
      </c>
      <c r="T59" s="65">
        <v>22</v>
      </c>
      <c r="U59" s="65"/>
      <c r="V59" s="65">
        <v>0</v>
      </c>
      <c r="W59" s="65">
        <v>0</v>
      </c>
      <c r="X59" s="65">
        <v>0</v>
      </c>
      <c r="Y59" s="65">
        <v>0</v>
      </c>
      <c r="Z59" s="45">
        <v>0</v>
      </c>
      <c r="AA59" s="45">
        <v>12</v>
      </c>
      <c r="AB59" s="45">
        <v>12</v>
      </c>
      <c r="AC59" s="45">
        <v>12</v>
      </c>
      <c r="AD59" s="65">
        <v>13</v>
      </c>
      <c r="AE59" s="65">
        <v>13</v>
      </c>
      <c r="AF59" s="65">
        <v>13</v>
      </c>
      <c r="AG59" s="54">
        <v>30</v>
      </c>
      <c r="AH59" s="47">
        <f t="shared" si="2"/>
        <v>22</v>
      </c>
      <c r="AI59" s="48">
        <f t="shared" si="3"/>
        <v>0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6.4</v>
      </c>
      <c r="M60" s="65">
        <v>6.4</v>
      </c>
      <c r="N60" s="65">
        <v>13.8</v>
      </c>
      <c r="O60" s="65">
        <v>13.8</v>
      </c>
      <c r="P60" s="65">
        <v>13.8</v>
      </c>
      <c r="Q60" s="65">
        <v>13.8</v>
      </c>
      <c r="R60" s="65">
        <v>17.399999999999999</v>
      </c>
      <c r="S60" s="65">
        <v>17.399999999999999</v>
      </c>
      <c r="T60" s="65">
        <v>15</v>
      </c>
      <c r="U60" s="65"/>
      <c r="V60" s="65">
        <v>10</v>
      </c>
      <c r="W60" s="65">
        <v>1</v>
      </c>
      <c r="X60" s="65">
        <v>0</v>
      </c>
      <c r="Y60" s="65">
        <v>0</v>
      </c>
      <c r="Z60" s="45">
        <v>0</v>
      </c>
      <c r="AA60" s="45">
        <v>0</v>
      </c>
      <c r="AB60" s="45">
        <v>0</v>
      </c>
      <c r="AC60" s="45">
        <v>0</v>
      </c>
      <c r="AD60" s="65">
        <v>0</v>
      </c>
      <c r="AE60" s="65">
        <v>0</v>
      </c>
      <c r="AF60" s="65">
        <v>0</v>
      </c>
      <c r="AG60" s="54">
        <v>25</v>
      </c>
      <c r="AH60" s="47">
        <f t="shared" si="2"/>
        <v>17.399999999999999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17</v>
      </c>
      <c r="N61" s="65">
        <v>17</v>
      </c>
      <c r="O61" s="65">
        <v>17</v>
      </c>
      <c r="P61" s="65">
        <v>17</v>
      </c>
      <c r="Q61" s="65">
        <v>17</v>
      </c>
      <c r="R61" s="65">
        <v>17</v>
      </c>
      <c r="S61" s="65">
        <v>17</v>
      </c>
      <c r="T61" s="65">
        <v>17</v>
      </c>
      <c r="U61" s="65"/>
      <c r="V61" s="65">
        <v>17</v>
      </c>
      <c r="W61" s="65">
        <v>17</v>
      </c>
      <c r="X61" s="65">
        <v>17</v>
      </c>
      <c r="Y61" s="65">
        <v>17</v>
      </c>
      <c r="Z61" s="65">
        <v>17</v>
      </c>
      <c r="AA61" s="65">
        <v>17</v>
      </c>
      <c r="AB61" s="65">
        <v>17</v>
      </c>
      <c r="AC61" s="65">
        <v>17</v>
      </c>
      <c r="AD61" s="65">
        <v>17</v>
      </c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17</v>
      </c>
      <c r="AK61" s="49"/>
    </row>
    <row r="62" spans="1:41" x14ac:dyDescent="0.25">
      <c r="A62" s="53" t="s">
        <v>68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/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4">
        <v>15</v>
      </c>
      <c r="AH62" s="47">
        <f t="shared" si="2"/>
        <v>0</v>
      </c>
      <c r="AI62" s="48">
        <f t="shared" si="3"/>
        <v>0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12.8</v>
      </c>
      <c r="C63" s="65">
        <v>12.8</v>
      </c>
      <c r="D63" s="65">
        <v>12.8</v>
      </c>
      <c r="E63" s="65">
        <v>13.3</v>
      </c>
      <c r="F63" s="65">
        <v>13.1</v>
      </c>
      <c r="G63" s="65">
        <v>13.1</v>
      </c>
      <c r="H63" s="65">
        <v>13.1</v>
      </c>
      <c r="I63" s="65">
        <v>13.1</v>
      </c>
      <c r="J63" s="65">
        <v>13.1</v>
      </c>
      <c r="K63" s="65">
        <v>13.1</v>
      </c>
      <c r="L63" s="65">
        <v>12.8</v>
      </c>
      <c r="M63" s="65">
        <v>12.8</v>
      </c>
      <c r="N63" s="65">
        <v>12.7</v>
      </c>
      <c r="O63" s="65">
        <v>12.7</v>
      </c>
      <c r="P63" s="65">
        <v>12.7</v>
      </c>
      <c r="Q63" s="65">
        <v>12.7</v>
      </c>
      <c r="R63" s="65">
        <v>12.7</v>
      </c>
      <c r="S63" s="65">
        <v>12.7</v>
      </c>
      <c r="T63" s="65">
        <v>12.7</v>
      </c>
      <c r="U63" s="65"/>
      <c r="V63" s="65">
        <v>12.7</v>
      </c>
      <c r="W63" s="65">
        <v>12.7</v>
      </c>
      <c r="X63" s="65">
        <v>12.7</v>
      </c>
      <c r="Y63" s="65">
        <v>12.7</v>
      </c>
      <c r="Z63" s="65">
        <v>12.7</v>
      </c>
      <c r="AA63" s="65">
        <v>12.7</v>
      </c>
      <c r="AB63" s="65">
        <v>12.7</v>
      </c>
      <c r="AC63" s="65">
        <v>12.7</v>
      </c>
      <c r="AD63" s="65">
        <v>12.7</v>
      </c>
      <c r="AE63" s="65">
        <v>12.7</v>
      </c>
      <c r="AF63" s="65">
        <v>12.7</v>
      </c>
      <c r="AG63" s="54">
        <v>14.1</v>
      </c>
      <c r="AH63" s="47">
        <f t="shared" si="2"/>
        <v>13.3</v>
      </c>
      <c r="AI63" s="48">
        <f t="shared" si="3"/>
        <v>12.7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7.3</v>
      </c>
      <c r="C64" s="65">
        <v>7.3</v>
      </c>
      <c r="D64" s="65">
        <v>7.3</v>
      </c>
      <c r="E64" s="65">
        <v>7.3</v>
      </c>
      <c r="F64" s="65">
        <v>7.3</v>
      </c>
      <c r="G64" s="65">
        <v>7.3</v>
      </c>
      <c r="H64" s="65">
        <v>7.3</v>
      </c>
      <c r="I64" s="65">
        <v>7.3</v>
      </c>
      <c r="J64" s="65">
        <v>7.3</v>
      </c>
      <c r="K64" s="65">
        <v>7.3</v>
      </c>
      <c r="L64" s="65">
        <v>7.3</v>
      </c>
      <c r="M64" s="65">
        <v>7.3</v>
      </c>
      <c r="N64" s="65">
        <v>7.3</v>
      </c>
      <c r="O64" s="65">
        <v>7.3</v>
      </c>
      <c r="P64" s="65">
        <v>7.3</v>
      </c>
      <c r="Q64" s="65">
        <v>7.3</v>
      </c>
      <c r="R64" s="65">
        <v>7.3</v>
      </c>
      <c r="S64" s="65">
        <v>7.3</v>
      </c>
      <c r="T64" s="65">
        <v>7.3</v>
      </c>
      <c r="U64" s="65"/>
      <c r="V64" s="65">
        <v>7.3</v>
      </c>
      <c r="W64" s="65">
        <v>7.3</v>
      </c>
      <c r="X64" s="65">
        <v>7.3</v>
      </c>
      <c r="Y64" s="65">
        <v>7.3</v>
      </c>
      <c r="Z64" s="65">
        <v>7.3</v>
      </c>
      <c r="AA64" s="65">
        <v>7.3</v>
      </c>
      <c r="AB64" s="65">
        <v>7.3</v>
      </c>
      <c r="AC64" s="65">
        <v>7.3</v>
      </c>
      <c r="AD64" s="65">
        <v>7.3</v>
      </c>
      <c r="AE64" s="65">
        <v>7.3</v>
      </c>
      <c r="AF64" s="65">
        <v>7.3</v>
      </c>
      <c r="AG64" s="54">
        <v>14</v>
      </c>
      <c r="AH64" s="47">
        <f t="shared" si="2"/>
        <v>7.3</v>
      </c>
      <c r="AI64" s="48">
        <f t="shared" si="3"/>
        <v>7.3</v>
      </c>
      <c r="AK64" s="49"/>
    </row>
    <row r="65" spans="1:40" x14ac:dyDescent="0.25">
      <c r="A65" s="53" t="s">
        <v>71</v>
      </c>
      <c r="B65" s="65">
        <v>5</v>
      </c>
      <c r="C65" s="65">
        <v>5</v>
      </c>
      <c r="D65" s="65">
        <v>5</v>
      </c>
      <c r="E65" s="65">
        <v>5</v>
      </c>
      <c r="F65" s="65">
        <v>5</v>
      </c>
      <c r="G65" s="65">
        <v>5</v>
      </c>
      <c r="H65" s="65">
        <v>5</v>
      </c>
      <c r="I65" s="65">
        <v>5</v>
      </c>
      <c r="J65" s="65">
        <v>5</v>
      </c>
      <c r="K65" s="65">
        <v>5</v>
      </c>
      <c r="L65" s="65">
        <v>5</v>
      </c>
      <c r="M65" s="65">
        <v>5</v>
      </c>
      <c r="N65" s="65">
        <v>4.5</v>
      </c>
      <c r="O65" s="65">
        <v>4.5</v>
      </c>
      <c r="P65" s="65">
        <v>4.5</v>
      </c>
      <c r="Q65" s="65">
        <v>4.5</v>
      </c>
      <c r="R65" s="65">
        <v>4.5</v>
      </c>
      <c r="S65" s="65">
        <v>4.5</v>
      </c>
      <c r="T65" s="65">
        <v>4.5</v>
      </c>
      <c r="U65" s="65"/>
      <c r="V65" s="65">
        <v>4.5</v>
      </c>
      <c r="W65" s="65">
        <v>4.5</v>
      </c>
      <c r="X65" s="65">
        <v>4.5</v>
      </c>
      <c r="Y65" s="65">
        <v>4.5</v>
      </c>
      <c r="Z65" s="65">
        <v>4.5</v>
      </c>
      <c r="AA65" s="65">
        <v>4.5</v>
      </c>
      <c r="AB65" s="65">
        <v>4.5</v>
      </c>
      <c r="AC65" s="65">
        <v>4.5</v>
      </c>
      <c r="AD65" s="65">
        <v>4.5</v>
      </c>
      <c r="AE65" s="65">
        <v>4.5</v>
      </c>
      <c r="AF65" s="65">
        <v>4.5</v>
      </c>
      <c r="AG65" s="54">
        <v>10.050000000000001</v>
      </c>
      <c r="AH65" s="47">
        <f t="shared" si="2"/>
        <v>5</v>
      </c>
      <c r="AI65" s="48">
        <f t="shared" si="3"/>
        <v>4.5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/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/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6">SUM(B55:B67)</f>
        <v>323.04000000000002</v>
      </c>
      <c r="C68" s="60">
        <f t="shared" si="6"/>
        <v>300.04000000000002</v>
      </c>
      <c r="D68" s="60">
        <f t="shared" si="6"/>
        <v>300.04000000000002</v>
      </c>
      <c r="E68" s="60">
        <f t="shared" si="6"/>
        <v>301.94000000000005</v>
      </c>
      <c r="F68" s="60">
        <f t="shared" si="6"/>
        <v>281.94000000000005</v>
      </c>
      <c r="G68" s="60">
        <f t="shared" si="6"/>
        <v>288.94000000000005</v>
      </c>
      <c r="H68" s="60">
        <f t="shared" si="6"/>
        <v>321.44000000000005</v>
      </c>
      <c r="I68" s="60">
        <f>SUM(I55:I67)</f>
        <v>357.44000000000005</v>
      </c>
      <c r="J68" s="60">
        <f t="shared" si="6"/>
        <v>353.54000000000008</v>
      </c>
      <c r="K68" s="60">
        <f t="shared" si="6"/>
        <v>379.24000000000007</v>
      </c>
      <c r="L68" s="60">
        <f t="shared" si="6"/>
        <v>405.44</v>
      </c>
      <c r="M68" s="60">
        <f t="shared" si="6"/>
        <v>394.04</v>
      </c>
      <c r="N68" s="60">
        <f t="shared" si="6"/>
        <v>384.64000000000004</v>
      </c>
      <c r="O68" s="60">
        <f t="shared" si="6"/>
        <v>384.64000000000004</v>
      </c>
      <c r="P68" s="60">
        <f t="shared" si="6"/>
        <v>384.64000000000004</v>
      </c>
      <c r="Q68" s="60">
        <f t="shared" si="6"/>
        <v>314.24</v>
      </c>
      <c r="R68" s="60">
        <f>SUM(R55:R67)</f>
        <v>319.64000000000004</v>
      </c>
      <c r="S68" s="60">
        <f t="shared" si="6"/>
        <v>319.64000000000004</v>
      </c>
      <c r="T68" s="60">
        <f t="shared" si="6"/>
        <v>347.34000000000003</v>
      </c>
      <c r="U68" s="60">
        <f t="shared" si="6"/>
        <v>0</v>
      </c>
      <c r="V68" s="60">
        <f t="shared" si="6"/>
        <v>319.64000000000004</v>
      </c>
      <c r="W68" s="60">
        <f t="shared" si="6"/>
        <v>310.64000000000004</v>
      </c>
      <c r="X68" s="60">
        <f t="shared" si="6"/>
        <v>283.84000000000003</v>
      </c>
      <c r="Y68" s="60">
        <f t="shared" si="6"/>
        <v>303.34000000000003</v>
      </c>
      <c r="Z68" s="60">
        <f t="shared" si="6"/>
        <v>321.44</v>
      </c>
      <c r="AA68" s="60">
        <f t="shared" si="6"/>
        <v>404.74</v>
      </c>
      <c r="AB68" s="60">
        <f t="shared" si="6"/>
        <v>403.64</v>
      </c>
      <c r="AC68" s="60">
        <f t="shared" si="6"/>
        <v>388.44</v>
      </c>
      <c r="AD68" s="60">
        <f t="shared" si="6"/>
        <v>361.04</v>
      </c>
      <c r="AE68" s="60">
        <f t="shared" si="6"/>
        <v>361.04</v>
      </c>
      <c r="AF68" s="60">
        <f t="shared" si="6"/>
        <v>333.44</v>
      </c>
      <c r="AG68" s="61">
        <f t="shared" si="6"/>
        <v>489.91</v>
      </c>
      <c r="AH68" s="47">
        <f t="shared" si="2"/>
        <v>405.44</v>
      </c>
      <c r="AI68" s="48">
        <f t="shared" si="3"/>
        <v>0</v>
      </c>
      <c r="AK68" s="49"/>
    </row>
    <row r="69" spans="1:40" x14ac:dyDescent="0.25">
      <c r="A69" s="44" t="s">
        <v>75</v>
      </c>
      <c r="B69" s="45">
        <v>0</v>
      </c>
      <c r="C69" s="45">
        <v>0</v>
      </c>
      <c r="D69" s="45">
        <v>0</v>
      </c>
      <c r="E69" s="45">
        <v>0</v>
      </c>
      <c r="F69" s="45">
        <v>14</v>
      </c>
      <c r="G69" s="45">
        <v>30</v>
      </c>
      <c r="H69" s="45">
        <v>30</v>
      </c>
      <c r="I69" s="45">
        <v>30</v>
      </c>
      <c r="J69" s="45">
        <v>30</v>
      </c>
      <c r="K69" s="45">
        <v>40</v>
      </c>
      <c r="L69" s="45">
        <v>50</v>
      </c>
      <c r="M69" s="45">
        <v>60</v>
      </c>
      <c r="N69" s="45">
        <v>60</v>
      </c>
      <c r="O69" s="45">
        <v>55</v>
      </c>
      <c r="P69" s="45">
        <v>55</v>
      </c>
      <c r="Q69" s="45">
        <v>60</v>
      </c>
      <c r="R69" s="45">
        <v>60</v>
      </c>
      <c r="S69" s="45">
        <v>60</v>
      </c>
      <c r="T69" s="45">
        <v>60</v>
      </c>
      <c r="U69" s="45">
        <v>30</v>
      </c>
      <c r="V69" s="45">
        <v>40</v>
      </c>
      <c r="W69" s="45">
        <v>40</v>
      </c>
      <c r="X69" s="45">
        <v>40</v>
      </c>
      <c r="Y69" s="45">
        <v>40</v>
      </c>
      <c r="Z69" s="45">
        <v>50</v>
      </c>
      <c r="AA69" s="45">
        <v>50</v>
      </c>
      <c r="AB69" s="45">
        <v>50</v>
      </c>
      <c r="AC69" s="45">
        <v>40</v>
      </c>
      <c r="AD69" s="45">
        <v>40</v>
      </c>
      <c r="AE69" s="45">
        <v>40</v>
      </c>
      <c r="AF69" s="45">
        <v>30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0</v>
      </c>
      <c r="C70" s="45">
        <v>0</v>
      </c>
      <c r="D70" s="45">
        <v>0</v>
      </c>
      <c r="E70" s="45">
        <v>0</v>
      </c>
      <c r="F70" s="65">
        <v>5.7</v>
      </c>
      <c r="G70" s="65">
        <v>14.8</v>
      </c>
      <c r="H70" s="65">
        <v>13.2</v>
      </c>
      <c r="I70" s="65">
        <v>15</v>
      </c>
      <c r="J70" s="65">
        <v>15</v>
      </c>
      <c r="K70" s="65">
        <v>18.2</v>
      </c>
      <c r="L70" s="65">
        <v>18.100000000000001</v>
      </c>
      <c r="M70" s="65">
        <v>30</v>
      </c>
      <c r="N70" s="65">
        <v>27.3</v>
      </c>
      <c r="O70" s="65">
        <v>20</v>
      </c>
      <c r="P70" s="65">
        <v>20</v>
      </c>
      <c r="Q70" s="65">
        <v>30</v>
      </c>
      <c r="R70" s="65">
        <v>29.5</v>
      </c>
      <c r="S70" s="65">
        <v>29.5</v>
      </c>
      <c r="T70" s="65">
        <v>29.5</v>
      </c>
      <c r="U70" s="65">
        <v>13.9</v>
      </c>
      <c r="V70" s="65">
        <v>17.2</v>
      </c>
      <c r="W70" s="65">
        <v>17.2</v>
      </c>
      <c r="X70" s="65">
        <v>18.8</v>
      </c>
      <c r="Y70" s="65">
        <v>18.8</v>
      </c>
      <c r="Z70" s="65">
        <v>22.1</v>
      </c>
      <c r="AA70" s="65">
        <v>29.5</v>
      </c>
      <c r="AB70" s="65">
        <v>29</v>
      </c>
      <c r="AC70" s="65">
        <v>18</v>
      </c>
      <c r="AD70" s="65">
        <v>18</v>
      </c>
      <c r="AE70" s="65">
        <v>15</v>
      </c>
      <c r="AF70" s="65">
        <v>10</v>
      </c>
      <c r="AG70" s="54">
        <v>32</v>
      </c>
      <c r="AH70" s="47">
        <f t="shared" si="2"/>
        <v>30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0</v>
      </c>
      <c r="C71" s="45">
        <v>0</v>
      </c>
      <c r="D71" s="45">
        <v>0</v>
      </c>
      <c r="E71" s="45">
        <v>0</v>
      </c>
      <c r="F71" s="67">
        <v>0</v>
      </c>
      <c r="G71" s="67">
        <v>5.4</v>
      </c>
      <c r="H71" s="67">
        <v>4.8</v>
      </c>
      <c r="I71" s="67">
        <v>5.5</v>
      </c>
      <c r="J71" s="67">
        <v>5.5</v>
      </c>
      <c r="K71" s="67">
        <v>6.6</v>
      </c>
      <c r="L71" s="67">
        <v>6.6</v>
      </c>
      <c r="M71" s="67">
        <v>11</v>
      </c>
      <c r="N71" s="67">
        <v>10</v>
      </c>
      <c r="O71" s="67">
        <v>7.4</v>
      </c>
      <c r="P71" s="67">
        <v>7.4</v>
      </c>
      <c r="Q71" s="67">
        <v>10</v>
      </c>
      <c r="R71" s="67">
        <v>10.8</v>
      </c>
      <c r="S71" s="67">
        <v>10.8</v>
      </c>
      <c r="T71" s="67">
        <v>10.8</v>
      </c>
      <c r="U71" s="67">
        <v>5.0999999999999996</v>
      </c>
      <c r="V71" s="67">
        <v>6.3</v>
      </c>
      <c r="W71" s="67">
        <v>6.3</v>
      </c>
      <c r="X71" s="67">
        <v>6.8</v>
      </c>
      <c r="Y71" s="67">
        <v>6.8</v>
      </c>
      <c r="Z71" s="67">
        <v>8.1</v>
      </c>
      <c r="AA71" s="67">
        <v>10.8</v>
      </c>
      <c r="AB71" s="67">
        <v>10.8</v>
      </c>
      <c r="AC71" s="67">
        <v>6.6</v>
      </c>
      <c r="AD71" s="67">
        <v>6.6</v>
      </c>
      <c r="AE71" s="67">
        <v>5.6</v>
      </c>
      <c r="AF71" s="67">
        <v>3</v>
      </c>
      <c r="AG71" s="68">
        <v>14</v>
      </c>
      <c r="AH71" s="47">
        <f t="shared" si="2"/>
        <v>11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74.699999999999989</v>
      </c>
      <c r="M72" s="60">
        <f t="shared" ref="M72:AF72" si="7">M69+M70+M71</f>
        <v>101</v>
      </c>
      <c r="N72" s="60">
        <f t="shared" si="7"/>
        <v>97.3</v>
      </c>
      <c r="O72" s="60">
        <f t="shared" si="7"/>
        <v>82.4</v>
      </c>
      <c r="P72" s="60">
        <f t="shared" si="7"/>
        <v>82.4</v>
      </c>
      <c r="Q72" s="60">
        <f t="shared" si="7"/>
        <v>100</v>
      </c>
      <c r="R72" s="60">
        <f>R69+R70+R71</f>
        <v>100.3</v>
      </c>
      <c r="S72" s="60">
        <f t="shared" si="7"/>
        <v>100.3</v>
      </c>
      <c r="T72" s="60">
        <f t="shared" si="7"/>
        <v>100.3</v>
      </c>
      <c r="U72" s="60">
        <f t="shared" si="7"/>
        <v>49</v>
      </c>
      <c r="V72" s="60">
        <f t="shared" si="7"/>
        <v>63.5</v>
      </c>
      <c r="W72" s="60">
        <f t="shared" si="7"/>
        <v>63.5</v>
      </c>
      <c r="X72" s="60">
        <f t="shared" si="7"/>
        <v>65.599999999999994</v>
      </c>
      <c r="Y72" s="60">
        <f t="shared" si="7"/>
        <v>65.599999999999994</v>
      </c>
      <c r="Z72" s="60">
        <f t="shared" si="7"/>
        <v>80.199999999999989</v>
      </c>
      <c r="AA72" s="60">
        <f t="shared" si="7"/>
        <v>90.3</v>
      </c>
      <c r="AB72" s="60">
        <f t="shared" si="7"/>
        <v>89.8</v>
      </c>
      <c r="AC72" s="60">
        <f t="shared" si="7"/>
        <v>64.599999999999994</v>
      </c>
      <c r="AD72" s="60">
        <f t="shared" si="7"/>
        <v>64.599999999999994</v>
      </c>
      <c r="AE72" s="60">
        <f t="shared" si="7"/>
        <v>60.6</v>
      </c>
      <c r="AF72" s="60">
        <f t="shared" si="7"/>
        <v>43</v>
      </c>
      <c r="AG72" s="61">
        <f>SUM(AG69:AG71)</f>
        <v>106</v>
      </c>
      <c r="AH72" s="47">
        <f t="shared" si="2"/>
        <v>101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52</v>
      </c>
      <c r="C73" s="45">
        <v>64.3</v>
      </c>
      <c r="D73" s="45">
        <v>63.7</v>
      </c>
      <c r="E73" s="45">
        <v>59</v>
      </c>
      <c r="F73" s="45">
        <v>54.6</v>
      </c>
      <c r="G73" s="45">
        <v>46</v>
      </c>
      <c r="H73" s="45">
        <v>43</v>
      </c>
      <c r="I73" s="45">
        <v>42</v>
      </c>
      <c r="J73" s="45">
        <v>62</v>
      </c>
      <c r="K73" s="45">
        <v>50.2</v>
      </c>
      <c r="L73" s="45">
        <v>54</v>
      </c>
      <c r="M73" s="45">
        <v>57</v>
      </c>
      <c r="N73" s="45">
        <v>58.4</v>
      </c>
      <c r="O73" s="45">
        <v>63</v>
      </c>
      <c r="P73" s="45">
        <v>69</v>
      </c>
      <c r="Q73" s="45">
        <v>65</v>
      </c>
      <c r="R73" s="45">
        <v>68</v>
      </c>
      <c r="S73" s="45">
        <v>70</v>
      </c>
      <c r="T73" s="45">
        <v>74</v>
      </c>
      <c r="U73" s="45"/>
      <c r="V73" s="45">
        <v>54</v>
      </c>
      <c r="W73" s="45">
        <v>54</v>
      </c>
      <c r="X73" s="45"/>
      <c r="Y73" s="45">
        <v>54</v>
      </c>
      <c r="Z73" s="45">
        <v>57</v>
      </c>
      <c r="AA73" s="45">
        <v>51</v>
      </c>
      <c r="AB73" s="45">
        <v>60</v>
      </c>
      <c r="AC73" s="45">
        <v>62</v>
      </c>
      <c r="AD73" s="45">
        <v>71</v>
      </c>
      <c r="AE73" s="45">
        <v>52</v>
      </c>
      <c r="AF73" s="45">
        <v>52</v>
      </c>
      <c r="AG73" s="51"/>
      <c r="AH73" s="47">
        <f t="shared" si="2"/>
        <v>74</v>
      </c>
      <c r="AI73" s="48">
        <f t="shared" si="3"/>
        <v>42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/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247</v>
      </c>
      <c r="C75" s="65">
        <v>233</v>
      </c>
      <c r="D75" s="65">
        <v>246</v>
      </c>
      <c r="E75" s="65">
        <v>202</v>
      </c>
      <c r="F75" s="65">
        <v>172</v>
      </c>
      <c r="G75" s="65">
        <v>130</v>
      </c>
      <c r="H75" s="65">
        <v>119.8</v>
      </c>
      <c r="I75" s="65">
        <v>161</v>
      </c>
      <c r="J75" s="65">
        <v>160.1</v>
      </c>
      <c r="K75" s="65">
        <v>120.2</v>
      </c>
      <c r="L75" s="65">
        <v>102.8</v>
      </c>
      <c r="M75" s="65">
        <v>105</v>
      </c>
      <c r="N75" s="65">
        <v>150</v>
      </c>
      <c r="O75" s="65">
        <v>160</v>
      </c>
      <c r="P75" s="65">
        <v>180</v>
      </c>
      <c r="Q75" s="65">
        <v>190</v>
      </c>
      <c r="R75" s="65">
        <v>281</v>
      </c>
      <c r="S75" s="65">
        <v>275</v>
      </c>
      <c r="T75" s="65">
        <v>297</v>
      </c>
      <c r="U75" s="65"/>
      <c r="V75" s="65">
        <v>295</v>
      </c>
      <c r="W75" s="65">
        <v>100</v>
      </c>
      <c r="X75" s="65">
        <v>68.8</v>
      </c>
      <c r="Y75" s="65">
        <v>80</v>
      </c>
      <c r="Z75" s="65">
        <v>98</v>
      </c>
      <c r="AA75" s="65">
        <v>32.6</v>
      </c>
      <c r="AB75" s="65">
        <v>45</v>
      </c>
      <c r="AC75" s="65">
        <v>33</v>
      </c>
      <c r="AD75" s="65">
        <v>30</v>
      </c>
      <c r="AE75" s="65">
        <v>10</v>
      </c>
      <c r="AF75" s="65">
        <v>0</v>
      </c>
      <c r="AG75" s="75"/>
      <c r="AH75" s="47">
        <f t="shared" si="2"/>
        <v>297</v>
      </c>
      <c r="AI75" s="48">
        <f t="shared" si="3"/>
        <v>0</v>
      </c>
      <c r="AK75" s="49"/>
    </row>
    <row r="76" spans="1:40" x14ac:dyDescent="0.25">
      <c r="A76" s="53" t="s">
        <v>82</v>
      </c>
      <c r="B76" s="65">
        <v>0</v>
      </c>
      <c r="C76" s="65">
        <v>0</v>
      </c>
      <c r="D76" s="65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40</v>
      </c>
      <c r="R76" s="76">
        <v>40</v>
      </c>
      <c r="S76" s="76">
        <v>40</v>
      </c>
      <c r="T76" s="76">
        <v>0</v>
      </c>
      <c r="U76" s="76"/>
      <c r="V76" s="76">
        <v>0</v>
      </c>
      <c r="W76" s="76">
        <v>0</v>
      </c>
      <c r="X76" s="76">
        <v>12</v>
      </c>
      <c r="Y76" s="76">
        <v>12</v>
      </c>
      <c r="Z76" s="76">
        <v>12</v>
      </c>
      <c r="AA76" s="76">
        <v>12</v>
      </c>
      <c r="AB76" s="76">
        <v>12</v>
      </c>
      <c r="AC76" s="76">
        <v>12</v>
      </c>
      <c r="AD76" s="76">
        <v>12</v>
      </c>
      <c r="AE76" s="76">
        <v>12</v>
      </c>
      <c r="AF76" s="76">
        <v>12</v>
      </c>
      <c r="AG76" s="75"/>
      <c r="AH76" s="47">
        <f t="shared" si="2"/>
        <v>40</v>
      </c>
      <c r="AI76" s="48">
        <f t="shared" si="3"/>
        <v>0</v>
      </c>
      <c r="AK76" s="49"/>
    </row>
    <row r="77" spans="1:40" x14ac:dyDescent="0.25">
      <c r="A77" s="53" t="s">
        <v>83</v>
      </c>
      <c r="B77" s="45">
        <v>28</v>
      </c>
      <c r="C77" s="45">
        <v>28.4</v>
      </c>
      <c r="D77" s="45">
        <v>28.4</v>
      </c>
      <c r="E77" s="45">
        <v>28</v>
      </c>
      <c r="F77" s="45">
        <v>26</v>
      </c>
      <c r="G77" s="45">
        <v>25.9</v>
      </c>
      <c r="H77" s="45">
        <v>25.4</v>
      </c>
      <c r="I77" s="45">
        <v>27.3</v>
      </c>
      <c r="J77" s="45">
        <v>27.1</v>
      </c>
      <c r="K77" s="45">
        <v>29.5</v>
      </c>
      <c r="L77" s="45">
        <v>32.9</v>
      </c>
      <c r="M77" s="45">
        <v>33.4</v>
      </c>
      <c r="N77" s="45">
        <v>36.4</v>
      </c>
      <c r="O77" s="45">
        <v>41</v>
      </c>
      <c r="P77" s="45">
        <v>40</v>
      </c>
      <c r="Q77" s="45">
        <v>40</v>
      </c>
      <c r="R77" s="45">
        <v>40</v>
      </c>
      <c r="S77" s="45">
        <v>36.5</v>
      </c>
      <c r="T77" s="45">
        <v>37</v>
      </c>
      <c r="U77" s="45"/>
      <c r="V77" s="45">
        <v>36</v>
      </c>
      <c r="W77" s="45">
        <v>36</v>
      </c>
      <c r="X77" s="45">
        <v>29.3</v>
      </c>
      <c r="Y77" s="45">
        <v>30.3</v>
      </c>
      <c r="Z77" s="45">
        <v>23.3</v>
      </c>
      <c r="AA77" s="45">
        <v>25.8</v>
      </c>
      <c r="AB77" s="45">
        <v>27.1</v>
      </c>
      <c r="AC77" s="45">
        <v>28.6</v>
      </c>
      <c r="AD77" s="45">
        <v>28</v>
      </c>
      <c r="AE77" s="45">
        <v>29</v>
      </c>
      <c r="AF77" s="45">
        <v>29</v>
      </c>
      <c r="AG77" s="75"/>
      <c r="AH77" s="47">
        <f t="shared" ref="AH77:AH120" si="8">MAX(B77:AF77)</f>
        <v>41</v>
      </c>
      <c r="AI77" s="48">
        <f t="shared" ref="AI77:AI120" si="9">MIN(B77:AF77)</f>
        <v>23.3</v>
      </c>
      <c r="AK77" s="49"/>
    </row>
    <row r="78" spans="1:40" x14ac:dyDescent="0.25">
      <c r="A78" s="53" t="s">
        <v>84</v>
      </c>
      <c r="B78" s="45">
        <v>0</v>
      </c>
      <c r="C78" s="45">
        <v>0</v>
      </c>
      <c r="D78" s="45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8</v>
      </c>
      <c r="U78" s="77"/>
      <c r="V78" s="77">
        <v>8</v>
      </c>
      <c r="W78" s="77">
        <v>8</v>
      </c>
      <c r="X78" s="77">
        <v>8</v>
      </c>
      <c r="Y78" s="77">
        <v>8</v>
      </c>
      <c r="Z78" s="77">
        <v>8</v>
      </c>
      <c r="AA78" s="77">
        <v>8</v>
      </c>
      <c r="AB78" s="77">
        <v>8</v>
      </c>
      <c r="AC78" s="77">
        <v>8</v>
      </c>
      <c r="AD78" s="77">
        <v>8</v>
      </c>
      <c r="AE78" s="77">
        <v>8</v>
      </c>
      <c r="AF78" s="77">
        <v>8</v>
      </c>
      <c r="AG78" s="75"/>
      <c r="AH78" s="47">
        <f t="shared" si="8"/>
        <v>8</v>
      </c>
      <c r="AI78" s="48">
        <f t="shared" si="9"/>
        <v>0</v>
      </c>
      <c r="AK78" s="49"/>
    </row>
    <row r="79" spans="1:40" ht="15.75" thickBot="1" x14ac:dyDescent="0.3">
      <c r="A79" s="53" t="s">
        <v>85</v>
      </c>
      <c r="B79" s="45">
        <v>0</v>
      </c>
      <c r="C79" s="45">
        <v>0</v>
      </c>
      <c r="D79" s="45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/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0</v>
      </c>
      <c r="C80" s="45">
        <v>0</v>
      </c>
      <c r="D80" s="45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/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0</v>
      </c>
      <c r="C81" s="45">
        <v>0</v>
      </c>
      <c r="D81" s="45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/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0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>
        <v>0</v>
      </c>
      <c r="C82" s="45">
        <v>0</v>
      </c>
      <c r="D82" s="45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/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>
        <v>0</v>
      </c>
      <c r="C83" s="45">
        <v>0</v>
      </c>
      <c r="D83" s="45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/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 t="shared" ref="B84:AF84" si="10">SUMIF(B73:B83,"&gt;0")</f>
        <v>327</v>
      </c>
      <c r="C84" s="60">
        <f t="shared" si="10"/>
        <v>325.7</v>
      </c>
      <c r="D84" s="60">
        <f t="shared" si="10"/>
        <v>338.09999999999997</v>
      </c>
      <c r="E84" s="60">
        <f t="shared" si="10"/>
        <v>289</v>
      </c>
      <c r="F84" s="60">
        <f t="shared" si="10"/>
        <v>252.6</v>
      </c>
      <c r="G84" s="60">
        <f t="shared" si="10"/>
        <v>201.9</v>
      </c>
      <c r="H84" s="60">
        <f t="shared" si="10"/>
        <v>188.20000000000002</v>
      </c>
      <c r="I84" s="60">
        <f t="shared" si="10"/>
        <v>230.3</v>
      </c>
      <c r="J84" s="60">
        <f t="shared" si="10"/>
        <v>249.2</v>
      </c>
      <c r="K84" s="60">
        <f t="shared" si="10"/>
        <v>199.9</v>
      </c>
      <c r="L84" s="60">
        <f t="shared" si="10"/>
        <v>189.70000000000002</v>
      </c>
      <c r="M84" s="60">
        <f t="shared" si="10"/>
        <v>195.4</v>
      </c>
      <c r="N84" s="60">
        <f t="shared" si="10"/>
        <v>244.8</v>
      </c>
      <c r="O84" s="60">
        <f t="shared" si="10"/>
        <v>264</v>
      </c>
      <c r="P84" s="60">
        <f t="shared" si="10"/>
        <v>289</v>
      </c>
      <c r="Q84" s="60">
        <f t="shared" si="10"/>
        <v>335</v>
      </c>
      <c r="R84" s="60">
        <f t="shared" si="10"/>
        <v>429</v>
      </c>
      <c r="S84" s="60">
        <f t="shared" si="10"/>
        <v>421.5</v>
      </c>
      <c r="T84" s="60">
        <f t="shared" si="10"/>
        <v>416</v>
      </c>
      <c r="U84" s="60">
        <f t="shared" si="10"/>
        <v>0</v>
      </c>
      <c r="V84" s="60">
        <f t="shared" si="10"/>
        <v>393</v>
      </c>
      <c r="W84" s="60">
        <f t="shared" si="10"/>
        <v>198</v>
      </c>
      <c r="X84" s="60">
        <f t="shared" si="10"/>
        <v>118.1</v>
      </c>
      <c r="Y84" s="60">
        <f t="shared" si="10"/>
        <v>184.3</v>
      </c>
      <c r="Z84" s="60">
        <f t="shared" si="10"/>
        <v>198.3</v>
      </c>
      <c r="AA84" s="60">
        <f t="shared" si="10"/>
        <v>129.39999999999998</v>
      </c>
      <c r="AB84" s="60">
        <f t="shared" si="10"/>
        <v>152.1</v>
      </c>
      <c r="AC84" s="60">
        <f t="shared" si="10"/>
        <v>143.6</v>
      </c>
      <c r="AD84" s="60">
        <f t="shared" si="10"/>
        <v>149</v>
      </c>
      <c r="AE84" s="60">
        <f t="shared" si="10"/>
        <v>111</v>
      </c>
      <c r="AF84" s="60">
        <f t="shared" si="10"/>
        <v>101</v>
      </c>
      <c r="AG84" s="88">
        <f>SUM(AG73:AG83)</f>
        <v>0</v>
      </c>
      <c r="AH84" s="47">
        <f t="shared" si="8"/>
        <v>429</v>
      </c>
      <c r="AI84" s="48">
        <f t="shared" si="9"/>
        <v>0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 t="shared" ref="B89:AG89" si="11">B50+B54+B72+B68+B84+B88</f>
        <v>1578.94</v>
      </c>
      <c r="C89" s="95">
        <f t="shared" si="11"/>
        <v>1513.64</v>
      </c>
      <c r="D89" s="95">
        <f t="shared" si="11"/>
        <v>1526.04</v>
      </c>
      <c r="E89" s="95">
        <f t="shared" si="11"/>
        <v>1469.64</v>
      </c>
      <c r="F89" s="95">
        <f t="shared" si="11"/>
        <v>1403.6399999999999</v>
      </c>
      <c r="G89" s="95">
        <f t="shared" si="11"/>
        <v>1358.7400000000002</v>
      </c>
      <c r="H89" s="95">
        <f t="shared" si="11"/>
        <v>1377.5400000000002</v>
      </c>
      <c r="I89" s="95">
        <f t="shared" si="11"/>
        <v>1453.44</v>
      </c>
      <c r="J89" s="95">
        <f t="shared" si="11"/>
        <v>1460.5400000000002</v>
      </c>
      <c r="K89" s="95">
        <f t="shared" si="11"/>
        <v>1436.94</v>
      </c>
      <c r="L89" s="95">
        <f t="shared" si="11"/>
        <v>1527.64</v>
      </c>
      <c r="M89" s="95">
        <f t="shared" si="11"/>
        <v>1544.64</v>
      </c>
      <c r="N89" s="95">
        <f t="shared" si="11"/>
        <v>1607.3400000000001</v>
      </c>
      <c r="O89" s="95">
        <f t="shared" si="11"/>
        <v>1611.64</v>
      </c>
      <c r="P89" s="95">
        <f t="shared" si="11"/>
        <v>1596.64</v>
      </c>
      <c r="Q89" s="95">
        <f t="shared" si="11"/>
        <v>1569.8400000000001</v>
      </c>
      <c r="R89" s="95">
        <f t="shared" si="11"/>
        <v>1608.54</v>
      </c>
      <c r="S89" s="95">
        <f t="shared" si="11"/>
        <v>1601.04</v>
      </c>
      <c r="T89" s="95">
        <f t="shared" si="11"/>
        <v>1643.24</v>
      </c>
      <c r="U89" s="95">
        <f t="shared" si="11"/>
        <v>49</v>
      </c>
      <c r="V89" s="95">
        <f t="shared" si="11"/>
        <v>1607.74</v>
      </c>
      <c r="W89" s="95">
        <f t="shared" si="11"/>
        <v>1495.7400000000002</v>
      </c>
      <c r="X89" s="95">
        <f t="shared" si="11"/>
        <v>1389.8400000000001</v>
      </c>
      <c r="Y89" s="95">
        <f t="shared" si="11"/>
        <v>1425.5400000000002</v>
      </c>
      <c r="Z89" s="95">
        <f t="shared" si="11"/>
        <v>1513.24</v>
      </c>
      <c r="AA89" s="95">
        <f t="shared" si="11"/>
        <v>1617.7400000000002</v>
      </c>
      <c r="AB89" s="95">
        <f t="shared" si="11"/>
        <v>1608.8400000000001</v>
      </c>
      <c r="AC89" s="95">
        <f t="shared" si="11"/>
        <v>1599.94</v>
      </c>
      <c r="AD89" s="95">
        <f t="shared" si="11"/>
        <v>1577.94</v>
      </c>
      <c r="AE89" s="95">
        <f t="shared" si="11"/>
        <v>1565.94</v>
      </c>
      <c r="AF89" s="95">
        <f t="shared" si="11"/>
        <v>1560.7400000000002</v>
      </c>
      <c r="AG89" s="61">
        <f t="shared" si="11"/>
        <v>2111.5500000000002</v>
      </c>
      <c r="AH89" s="47">
        <f t="shared" si="8"/>
        <v>1643.24</v>
      </c>
      <c r="AI89" s="48">
        <f t="shared" si="9"/>
        <v>49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>
        <v>150</v>
      </c>
      <c r="Z90" s="97">
        <v>150</v>
      </c>
      <c r="AA90" s="97">
        <v>150</v>
      </c>
      <c r="AB90" s="97">
        <v>150</v>
      </c>
      <c r="AC90" s="97">
        <v>150</v>
      </c>
      <c r="AD90" s="97">
        <v>150</v>
      </c>
      <c r="AE90" s="97">
        <v>100</v>
      </c>
      <c r="AF90" s="97">
        <v>0</v>
      </c>
      <c r="AG90" s="88"/>
      <c r="AH90" s="47">
        <f t="shared" si="8"/>
        <v>150</v>
      </c>
      <c r="AI90" s="48">
        <f t="shared" si="9"/>
        <v>0</v>
      </c>
    </row>
    <row r="91" spans="1:40" ht="15.75" thickBot="1" x14ac:dyDescent="0.3">
      <c r="A91" s="74" t="s">
        <v>100</v>
      </c>
      <c r="B91" s="95">
        <f t="shared" ref="B91:AF91" si="12">B89+B90</f>
        <v>1578.94</v>
      </c>
      <c r="C91" s="95">
        <f t="shared" si="12"/>
        <v>1513.64</v>
      </c>
      <c r="D91" s="95">
        <f t="shared" si="12"/>
        <v>1526.04</v>
      </c>
      <c r="E91" s="95">
        <f t="shared" si="12"/>
        <v>1469.64</v>
      </c>
      <c r="F91" s="95">
        <f t="shared" si="12"/>
        <v>1403.6399999999999</v>
      </c>
      <c r="G91" s="95">
        <f t="shared" si="12"/>
        <v>1358.7400000000002</v>
      </c>
      <c r="H91" s="95">
        <f t="shared" si="12"/>
        <v>1377.5400000000002</v>
      </c>
      <c r="I91" s="95">
        <f t="shared" si="12"/>
        <v>1453.44</v>
      </c>
      <c r="J91" s="95">
        <f t="shared" si="12"/>
        <v>1460.5400000000002</v>
      </c>
      <c r="K91" s="95">
        <f t="shared" si="12"/>
        <v>1436.94</v>
      </c>
      <c r="L91" s="95">
        <f t="shared" si="12"/>
        <v>1527.64</v>
      </c>
      <c r="M91" s="95">
        <f t="shared" si="12"/>
        <v>1544.64</v>
      </c>
      <c r="N91" s="95">
        <f t="shared" si="12"/>
        <v>1607.3400000000001</v>
      </c>
      <c r="O91" s="95">
        <f t="shared" si="12"/>
        <v>1611.64</v>
      </c>
      <c r="P91" s="95">
        <f t="shared" si="12"/>
        <v>1596.64</v>
      </c>
      <c r="Q91" s="95">
        <f t="shared" si="12"/>
        <v>1569.8400000000001</v>
      </c>
      <c r="R91" s="95">
        <f t="shared" si="12"/>
        <v>1608.54</v>
      </c>
      <c r="S91" s="95">
        <f t="shared" si="12"/>
        <v>1601.04</v>
      </c>
      <c r="T91" s="95">
        <f t="shared" si="12"/>
        <v>1643.24</v>
      </c>
      <c r="U91" s="95">
        <f t="shared" si="12"/>
        <v>49</v>
      </c>
      <c r="V91" s="95">
        <f t="shared" si="12"/>
        <v>1607.74</v>
      </c>
      <c r="W91" s="95">
        <f t="shared" si="12"/>
        <v>1495.7400000000002</v>
      </c>
      <c r="X91" s="95">
        <f t="shared" si="12"/>
        <v>1389.8400000000001</v>
      </c>
      <c r="Y91" s="95">
        <f t="shared" si="12"/>
        <v>1575.5400000000002</v>
      </c>
      <c r="Z91" s="95">
        <f t="shared" si="12"/>
        <v>1663.24</v>
      </c>
      <c r="AA91" s="95">
        <f t="shared" si="12"/>
        <v>1767.7400000000002</v>
      </c>
      <c r="AB91" s="95">
        <f t="shared" si="12"/>
        <v>1758.8400000000001</v>
      </c>
      <c r="AC91" s="95">
        <f t="shared" si="12"/>
        <v>1749.94</v>
      </c>
      <c r="AD91" s="95">
        <f t="shared" si="12"/>
        <v>1727.94</v>
      </c>
      <c r="AE91" s="95">
        <f t="shared" si="12"/>
        <v>1665.94</v>
      </c>
      <c r="AF91" s="95">
        <f t="shared" si="12"/>
        <v>1560.7400000000002</v>
      </c>
      <c r="AG91" s="88">
        <f>AG88+AG84+AG72+AG68+AG50+AG90</f>
        <v>1573.45</v>
      </c>
      <c r="AH91" s="47">
        <f t="shared" si="8"/>
        <v>1767.7400000000002</v>
      </c>
      <c r="AI91" s="48">
        <f t="shared" si="9"/>
        <v>49</v>
      </c>
    </row>
    <row r="92" spans="1:40" ht="15.75" thickBot="1" x14ac:dyDescent="0.3">
      <c r="A92" s="74" t="s">
        <v>101</v>
      </c>
      <c r="B92" s="95">
        <f t="shared" ref="B92:AF92" si="13">B91-B99</f>
        <v>1578.94</v>
      </c>
      <c r="C92" s="95">
        <f t="shared" si="13"/>
        <v>1513.64</v>
      </c>
      <c r="D92" s="95">
        <f t="shared" si="13"/>
        <v>1526.04</v>
      </c>
      <c r="E92" s="95">
        <f t="shared" si="13"/>
        <v>1469.64</v>
      </c>
      <c r="F92" s="95">
        <f t="shared" si="13"/>
        <v>1403.6399999999999</v>
      </c>
      <c r="G92" s="95">
        <f t="shared" si="13"/>
        <v>1358.7400000000002</v>
      </c>
      <c r="H92" s="95">
        <f t="shared" si="13"/>
        <v>1377.5400000000002</v>
      </c>
      <c r="I92" s="95">
        <f t="shared" si="13"/>
        <v>1453.44</v>
      </c>
      <c r="J92" s="95">
        <f t="shared" si="13"/>
        <v>1460.5400000000002</v>
      </c>
      <c r="K92" s="95">
        <f t="shared" si="13"/>
        <v>1436.94</v>
      </c>
      <c r="L92" s="95">
        <f t="shared" si="13"/>
        <v>1527.64</v>
      </c>
      <c r="M92" s="95">
        <f t="shared" si="13"/>
        <v>1544.64</v>
      </c>
      <c r="N92" s="95">
        <f t="shared" si="13"/>
        <v>1607.3400000000001</v>
      </c>
      <c r="O92" s="95">
        <f t="shared" si="13"/>
        <v>1611.64</v>
      </c>
      <c r="P92" s="95">
        <f t="shared" si="13"/>
        <v>1596.64</v>
      </c>
      <c r="Q92" s="95">
        <f t="shared" si="13"/>
        <v>1569.8400000000001</v>
      </c>
      <c r="R92" s="95">
        <f t="shared" si="13"/>
        <v>1608.54</v>
      </c>
      <c r="S92" s="95">
        <f t="shared" si="13"/>
        <v>1601.04</v>
      </c>
      <c r="T92" s="95">
        <f t="shared" si="13"/>
        <v>1643.24</v>
      </c>
      <c r="U92" s="95">
        <f t="shared" si="13"/>
        <v>49</v>
      </c>
      <c r="V92" s="95">
        <f t="shared" si="13"/>
        <v>1607.74</v>
      </c>
      <c r="W92" s="95">
        <f t="shared" si="13"/>
        <v>1495.7400000000002</v>
      </c>
      <c r="X92" s="95">
        <f t="shared" si="13"/>
        <v>1389.8400000000001</v>
      </c>
      <c r="Y92" s="95">
        <f t="shared" si="13"/>
        <v>1575.5400000000002</v>
      </c>
      <c r="Z92" s="95">
        <f t="shared" si="13"/>
        <v>1663.24</v>
      </c>
      <c r="AA92" s="95">
        <f t="shared" si="13"/>
        <v>1767.7400000000002</v>
      </c>
      <c r="AB92" s="95">
        <f t="shared" si="13"/>
        <v>1758.8400000000001</v>
      </c>
      <c r="AC92" s="95">
        <f t="shared" si="13"/>
        <v>1749.94</v>
      </c>
      <c r="AD92" s="95">
        <f t="shared" si="13"/>
        <v>1727.94</v>
      </c>
      <c r="AE92" s="95">
        <f t="shared" si="13"/>
        <v>1665.94</v>
      </c>
      <c r="AF92" s="95">
        <f t="shared" si="13"/>
        <v>1560.7400000000002</v>
      </c>
      <c r="AG92" s="88"/>
      <c r="AH92" s="47">
        <f t="shared" si="8"/>
        <v>1767.7400000000002</v>
      </c>
      <c r="AI92" s="48">
        <f t="shared" si="9"/>
        <v>49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 t="shared" ref="B100:AF100" si="14">B84-B99</f>
        <v>327</v>
      </c>
      <c r="C100" s="60">
        <f t="shared" si="14"/>
        <v>325.7</v>
      </c>
      <c r="D100" s="60">
        <f t="shared" si="14"/>
        <v>338.09999999999997</v>
      </c>
      <c r="E100" s="60">
        <f t="shared" si="14"/>
        <v>289</v>
      </c>
      <c r="F100" s="60">
        <f t="shared" si="14"/>
        <v>252.6</v>
      </c>
      <c r="G100" s="60">
        <f t="shared" si="14"/>
        <v>201.9</v>
      </c>
      <c r="H100" s="60">
        <f t="shared" si="14"/>
        <v>188.20000000000002</v>
      </c>
      <c r="I100" s="60">
        <f t="shared" si="14"/>
        <v>230.3</v>
      </c>
      <c r="J100" s="60">
        <f t="shared" si="14"/>
        <v>249.2</v>
      </c>
      <c r="K100" s="60">
        <f t="shared" si="14"/>
        <v>199.9</v>
      </c>
      <c r="L100" s="60">
        <f t="shared" si="14"/>
        <v>189.70000000000002</v>
      </c>
      <c r="M100" s="60">
        <f t="shared" si="14"/>
        <v>195.4</v>
      </c>
      <c r="N100" s="60">
        <f t="shared" si="14"/>
        <v>244.8</v>
      </c>
      <c r="O100" s="60">
        <f t="shared" si="14"/>
        <v>264</v>
      </c>
      <c r="P100" s="60">
        <f t="shared" si="14"/>
        <v>289</v>
      </c>
      <c r="Q100" s="60">
        <f t="shared" si="14"/>
        <v>335</v>
      </c>
      <c r="R100" s="60">
        <f t="shared" si="14"/>
        <v>429</v>
      </c>
      <c r="S100" s="60">
        <f t="shared" si="14"/>
        <v>421.5</v>
      </c>
      <c r="T100" s="60">
        <f t="shared" si="14"/>
        <v>416</v>
      </c>
      <c r="U100" s="60">
        <f t="shared" si="14"/>
        <v>0</v>
      </c>
      <c r="V100" s="60">
        <f t="shared" si="14"/>
        <v>393</v>
      </c>
      <c r="W100" s="60">
        <f t="shared" si="14"/>
        <v>198</v>
      </c>
      <c r="X100" s="60">
        <f t="shared" si="14"/>
        <v>118.1</v>
      </c>
      <c r="Y100" s="60">
        <f t="shared" si="14"/>
        <v>184.3</v>
      </c>
      <c r="Z100" s="60">
        <f t="shared" si="14"/>
        <v>198.3</v>
      </c>
      <c r="AA100" s="60">
        <f t="shared" si="14"/>
        <v>129.39999999999998</v>
      </c>
      <c r="AB100" s="60">
        <f t="shared" si="14"/>
        <v>152.1</v>
      </c>
      <c r="AC100" s="60">
        <f t="shared" si="14"/>
        <v>143.6</v>
      </c>
      <c r="AD100" s="60">
        <f t="shared" si="14"/>
        <v>149</v>
      </c>
      <c r="AE100" s="60">
        <f t="shared" si="14"/>
        <v>111</v>
      </c>
      <c r="AF100" s="60">
        <f t="shared" si="14"/>
        <v>101</v>
      </c>
      <c r="AG100" s="88"/>
      <c r="AH100" s="47">
        <f t="shared" si="8"/>
        <v>429</v>
      </c>
      <c r="AI100" s="48">
        <f t="shared" si="9"/>
        <v>0</v>
      </c>
    </row>
    <row r="101" spans="1:37" x14ac:dyDescent="0.25">
      <c r="A101" s="100" t="s">
        <v>107</v>
      </c>
      <c r="B101" s="101">
        <v>49.804000000000002</v>
      </c>
      <c r="C101" s="101">
        <v>50.011000000000003</v>
      </c>
      <c r="D101" s="101">
        <v>49.994</v>
      </c>
      <c r="E101" s="101">
        <v>50.061999999999998</v>
      </c>
      <c r="F101" s="101">
        <v>49.948999999999998</v>
      </c>
      <c r="G101" s="101">
        <v>50.057000000000002</v>
      </c>
      <c r="H101" s="101">
        <v>49.966000000000001</v>
      </c>
      <c r="I101" s="101">
        <v>50.143999999999998</v>
      </c>
      <c r="J101" s="101">
        <v>49.965000000000003</v>
      </c>
      <c r="K101" s="101">
        <v>50.045999999999999</v>
      </c>
      <c r="L101" s="101">
        <v>49.954999999999998</v>
      </c>
      <c r="M101" s="101">
        <v>50</v>
      </c>
      <c r="N101" s="101">
        <v>49.92</v>
      </c>
      <c r="O101" s="101">
        <v>49.97</v>
      </c>
      <c r="P101" s="101">
        <v>50.05</v>
      </c>
      <c r="Q101" s="101">
        <v>50</v>
      </c>
      <c r="R101" s="101">
        <v>50.01</v>
      </c>
      <c r="S101" s="101">
        <v>49.991</v>
      </c>
      <c r="T101" s="101">
        <v>49.814</v>
      </c>
      <c r="U101" s="101">
        <v>49.948</v>
      </c>
      <c r="V101" s="101">
        <v>49.957999999999998</v>
      </c>
      <c r="W101" s="101">
        <v>49.869</v>
      </c>
      <c r="X101" s="101">
        <v>49.984999999999999</v>
      </c>
      <c r="Y101" s="101">
        <v>49.862000000000002</v>
      </c>
      <c r="Z101" s="101">
        <v>50.014000000000003</v>
      </c>
      <c r="AA101" s="101">
        <v>49.908999999999999</v>
      </c>
      <c r="AB101" s="101">
        <v>49.93</v>
      </c>
      <c r="AC101" s="101">
        <v>49.866</v>
      </c>
      <c r="AD101" s="101">
        <v>49.86</v>
      </c>
      <c r="AE101" s="101">
        <v>49.96</v>
      </c>
      <c r="AF101" s="101">
        <v>49.863</v>
      </c>
      <c r="AG101" s="102"/>
      <c r="AH101" s="47">
        <f t="shared" si="8"/>
        <v>50.143999999999998</v>
      </c>
      <c r="AI101" s="48">
        <f t="shared" si="9"/>
        <v>49.804000000000002</v>
      </c>
    </row>
    <row r="102" spans="1:37" x14ac:dyDescent="0.25">
      <c r="A102" s="103" t="s">
        <v>108</v>
      </c>
      <c r="B102" s="65">
        <v>123.6</v>
      </c>
      <c r="C102" s="65">
        <v>125.2</v>
      </c>
      <c r="D102" s="65">
        <v>125.3</v>
      </c>
      <c r="E102" s="65">
        <v>126.6</v>
      </c>
      <c r="F102" s="65">
        <v>125.5</v>
      </c>
      <c r="G102" s="65">
        <v>127.22</v>
      </c>
      <c r="H102" s="65">
        <v>126.1</v>
      </c>
      <c r="I102" s="65">
        <v>126.1</v>
      </c>
      <c r="J102" s="65">
        <v>125.9</v>
      </c>
      <c r="K102" s="65">
        <v>125</v>
      </c>
      <c r="L102" s="65">
        <v>125.1</v>
      </c>
      <c r="M102" s="65">
        <v>125</v>
      </c>
      <c r="N102" s="65">
        <v>124.2</v>
      </c>
      <c r="O102" s="65">
        <v>123</v>
      </c>
      <c r="P102" s="65">
        <v>123</v>
      </c>
      <c r="Q102" s="65">
        <v>126</v>
      </c>
      <c r="R102" s="65">
        <v>124.7</v>
      </c>
      <c r="S102" s="65">
        <v>124.1</v>
      </c>
      <c r="T102" s="65">
        <v>123.8</v>
      </c>
      <c r="U102" s="65">
        <v>122.6</v>
      </c>
      <c r="V102" s="65">
        <v>125.1</v>
      </c>
      <c r="W102" s="65">
        <v>124.7</v>
      </c>
      <c r="X102" s="65">
        <v>125.9</v>
      </c>
      <c r="Y102" s="65">
        <v>128.19999999999999</v>
      </c>
      <c r="Z102" s="65">
        <v>127.9</v>
      </c>
      <c r="AA102" s="65">
        <v>128</v>
      </c>
      <c r="AB102" s="65">
        <v>128.1</v>
      </c>
      <c r="AC102" s="65">
        <v>127</v>
      </c>
      <c r="AD102" s="65">
        <v>127</v>
      </c>
      <c r="AE102" s="65">
        <v>127</v>
      </c>
      <c r="AF102" s="65">
        <v>126</v>
      </c>
      <c r="AG102" s="104"/>
      <c r="AH102" s="47">
        <f t="shared" si="8"/>
        <v>128.19999999999999</v>
      </c>
      <c r="AI102" s="48">
        <f t="shared" si="9"/>
        <v>122.6</v>
      </c>
    </row>
    <row r="103" spans="1:37" x14ac:dyDescent="0.25">
      <c r="A103" s="103" t="s">
        <v>109</v>
      </c>
      <c r="B103" s="65">
        <v>129.1</v>
      </c>
      <c r="C103" s="65">
        <v>130.4</v>
      </c>
      <c r="D103" s="65">
        <v>130.19999999999999</v>
      </c>
      <c r="E103" s="65">
        <v>131.5</v>
      </c>
      <c r="F103" s="65">
        <v>130.4</v>
      </c>
      <c r="G103" s="65">
        <v>131</v>
      </c>
      <c r="H103" s="65">
        <v>130</v>
      </c>
      <c r="I103" s="65">
        <v>129.5</v>
      </c>
      <c r="J103" s="65">
        <v>129.4</v>
      </c>
      <c r="K103" s="65">
        <v>128.19999999999999</v>
      </c>
      <c r="L103" s="65">
        <v>128.19999999999999</v>
      </c>
      <c r="M103" s="65">
        <v>128</v>
      </c>
      <c r="N103" s="65">
        <v>127.4</v>
      </c>
      <c r="O103" s="65">
        <v>127</v>
      </c>
      <c r="P103" s="65">
        <v>127</v>
      </c>
      <c r="Q103" s="65">
        <v>129</v>
      </c>
      <c r="R103" s="65">
        <v>128.1</v>
      </c>
      <c r="S103" s="65">
        <v>127.6</v>
      </c>
      <c r="T103" s="65">
        <v>127.5</v>
      </c>
      <c r="U103" s="65">
        <v>127.6</v>
      </c>
      <c r="V103" s="65">
        <v>129</v>
      </c>
      <c r="W103" s="65">
        <v>128.1</v>
      </c>
      <c r="X103" s="65">
        <v>129</v>
      </c>
      <c r="Y103" s="65">
        <v>130.5</v>
      </c>
      <c r="Z103" s="65">
        <v>130.19999999999999</v>
      </c>
      <c r="AA103" s="65">
        <v>130.4</v>
      </c>
      <c r="AB103" s="65">
        <v>130.5</v>
      </c>
      <c r="AC103" s="65">
        <v>130</v>
      </c>
      <c r="AD103" s="65">
        <v>130</v>
      </c>
      <c r="AE103" s="65">
        <v>130</v>
      </c>
      <c r="AF103" s="65">
        <v>130</v>
      </c>
      <c r="AG103" s="104"/>
      <c r="AH103" s="47">
        <f t="shared" si="8"/>
        <v>131.5</v>
      </c>
      <c r="AI103" s="48">
        <f t="shared" si="9"/>
        <v>127</v>
      </c>
    </row>
    <row r="104" spans="1:37" x14ac:dyDescent="0.25">
      <c r="A104" s="103" t="s">
        <v>110</v>
      </c>
      <c r="B104" s="65">
        <v>127.5</v>
      </c>
      <c r="C104" s="65">
        <v>130.30000000000001</v>
      </c>
      <c r="D104" s="65">
        <v>130</v>
      </c>
      <c r="E104" s="65">
        <v>130.69999999999999</v>
      </c>
      <c r="F104" s="65">
        <v>128.1</v>
      </c>
      <c r="G104" s="65">
        <v>130.1</v>
      </c>
      <c r="H104" s="65">
        <v>128.6</v>
      </c>
      <c r="I104" s="65">
        <v>129</v>
      </c>
      <c r="J104" s="65">
        <v>127.1</v>
      </c>
      <c r="K104" s="65">
        <v>126.2</v>
      </c>
      <c r="L104" s="65">
        <v>127.4</v>
      </c>
      <c r="M104" s="65">
        <v>127</v>
      </c>
      <c r="N104" s="65">
        <v>129</v>
      </c>
      <c r="O104" s="65">
        <v>126.5</v>
      </c>
      <c r="P104" s="65">
        <v>126.5</v>
      </c>
      <c r="Q104" s="65">
        <v>129</v>
      </c>
      <c r="R104" s="65">
        <v>127.2</v>
      </c>
      <c r="S104" s="65">
        <v>125.6</v>
      </c>
      <c r="T104" s="65">
        <v>126.1</v>
      </c>
      <c r="U104" s="65">
        <v>127.8</v>
      </c>
      <c r="V104" s="65">
        <v>140</v>
      </c>
      <c r="W104" s="65">
        <v>130.5</v>
      </c>
      <c r="X104" s="65">
        <v>130.9</v>
      </c>
      <c r="Y104" s="65">
        <v>131.1</v>
      </c>
      <c r="Z104" s="65">
        <v>128.1</v>
      </c>
      <c r="AA104" s="65">
        <v>127.7</v>
      </c>
      <c r="AB104" s="65">
        <v>126.2</v>
      </c>
      <c r="AC104" s="65">
        <v>126</v>
      </c>
      <c r="AD104" s="65">
        <v>126</v>
      </c>
      <c r="AE104" s="65">
        <v>126</v>
      </c>
      <c r="AF104" s="65">
        <v>128</v>
      </c>
      <c r="AG104" s="104"/>
      <c r="AH104" s="47">
        <f t="shared" si="8"/>
        <v>140</v>
      </c>
      <c r="AI104" s="48">
        <f t="shared" si="9"/>
        <v>125.6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132.4</v>
      </c>
      <c r="C106" s="106">
        <v>133.69999999999999</v>
      </c>
      <c r="D106" s="106">
        <v>132.19999999999999</v>
      </c>
      <c r="E106" s="106">
        <v>133.80000000000001</v>
      </c>
      <c r="F106" s="106">
        <v>131.80000000000001</v>
      </c>
      <c r="G106" s="106">
        <v>131.9</v>
      </c>
      <c r="H106" s="106">
        <v>130.6</v>
      </c>
      <c r="I106" s="106">
        <v>133.1</v>
      </c>
      <c r="J106" s="106">
        <v>134.80000000000001</v>
      </c>
      <c r="K106" s="106">
        <v>134</v>
      </c>
      <c r="L106" s="106">
        <v>130.69999999999999</v>
      </c>
      <c r="M106" s="106">
        <v>131</v>
      </c>
      <c r="N106" s="106">
        <v>129.19999999999999</v>
      </c>
      <c r="O106" s="106">
        <v>132</v>
      </c>
      <c r="P106" s="106">
        <v>132</v>
      </c>
      <c r="Q106" s="106">
        <v>134</v>
      </c>
      <c r="R106" s="106">
        <v>132</v>
      </c>
      <c r="S106" s="106">
        <v>130</v>
      </c>
      <c r="T106" s="106">
        <v>129.69999999999999</v>
      </c>
      <c r="U106" s="106">
        <v>131.30000000000001</v>
      </c>
      <c r="V106" s="106">
        <v>130</v>
      </c>
      <c r="W106" s="106">
        <v>132.1</v>
      </c>
      <c r="X106" s="106">
        <v>128.19999999999999</v>
      </c>
      <c r="Y106" s="106">
        <v>135.1</v>
      </c>
      <c r="Z106" s="106">
        <v>134.30000000000001</v>
      </c>
      <c r="AA106" s="106">
        <v>133.69999999999999</v>
      </c>
      <c r="AB106" s="106">
        <v>135.69999999999999</v>
      </c>
      <c r="AC106" s="106">
        <v>132</v>
      </c>
      <c r="AD106" s="106">
        <v>132</v>
      </c>
      <c r="AE106" s="106">
        <v>132</v>
      </c>
      <c r="AF106" s="106">
        <v>130</v>
      </c>
      <c r="AG106" s="107"/>
      <c r="AH106" s="47">
        <f t="shared" si="8"/>
        <v>135.69999999999999</v>
      </c>
      <c r="AI106" s="48">
        <f t="shared" si="9"/>
        <v>128.19999999999999</v>
      </c>
    </row>
    <row r="107" spans="1:37" x14ac:dyDescent="0.25">
      <c r="A107" s="103" t="s">
        <v>113</v>
      </c>
      <c r="B107" s="65">
        <v>125.6</v>
      </c>
      <c r="C107" s="65">
        <v>132</v>
      </c>
      <c r="D107" s="65">
        <v>127.8</v>
      </c>
      <c r="E107" s="65">
        <v>137</v>
      </c>
      <c r="F107" s="65">
        <v>137.80000000000001</v>
      </c>
      <c r="G107" s="65">
        <v>139.19999999999999</v>
      </c>
      <c r="H107" s="65">
        <v>136.69999999999999</v>
      </c>
      <c r="I107" s="65">
        <v>129.5</v>
      </c>
      <c r="J107" s="65">
        <v>132</v>
      </c>
      <c r="K107" s="65">
        <v>129.19999999999999</v>
      </c>
      <c r="L107" s="65">
        <v>128.30000000000001</v>
      </c>
      <c r="M107" s="65">
        <v>128</v>
      </c>
      <c r="N107" s="65">
        <v>130.19999999999999</v>
      </c>
      <c r="O107" s="65">
        <v>128</v>
      </c>
      <c r="P107" s="65">
        <v>128</v>
      </c>
      <c r="Q107" s="65">
        <v>128</v>
      </c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>
        <v>133</v>
      </c>
      <c r="AD107" s="65">
        <v>133</v>
      </c>
      <c r="AE107" s="65">
        <v>133</v>
      </c>
      <c r="AF107" s="65">
        <v>130</v>
      </c>
      <c r="AG107" s="104"/>
      <c r="AH107" s="47">
        <f t="shared" si="8"/>
        <v>139.19999999999999</v>
      </c>
      <c r="AI107" s="48">
        <f t="shared" si="9"/>
        <v>125.6</v>
      </c>
    </row>
    <row r="108" spans="1:37" ht="15.75" thickBot="1" x14ac:dyDescent="0.3">
      <c r="A108" s="103" t="s">
        <v>114</v>
      </c>
      <c r="B108" s="92">
        <v>65.099999999999994</v>
      </c>
      <c r="C108" s="92">
        <v>65.2</v>
      </c>
      <c r="D108" s="92">
        <v>65.3</v>
      </c>
      <c r="E108" s="92">
        <v>65.8</v>
      </c>
      <c r="F108" s="92">
        <v>65.400000000000006</v>
      </c>
      <c r="G108" s="92">
        <v>65.599999999999994</v>
      </c>
      <c r="H108" s="92">
        <v>65</v>
      </c>
      <c r="I108" s="92">
        <v>65</v>
      </c>
      <c r="J108" s="92">
        <v>64.7</v>
      </c>
      <c r="K108" s="92">
        <v>64.2</v>
      </c>
      <c r="L108" s="92">
        <v>64.099999999999994</v>
      </c>
      <c r="M108" s="92">
        <v>64.3</v>
      </c>
      <c r="N108" s="92">
        <v>63.9</v>
      </c>
      <c r="O108" s="92">
        <v>63.8</v>
      </c>
      <c r="P108" s="92">
        <v>63.8</v>
      </c>
      <c r="Q108" s="92">
        <v>64.3</v>
      </c>
      <c r="R108" s="92">
        <v>63.8</v>
      </c>
      <c r="S108" s="92">
        <v>63.8</v>
      </c>
      <c r="T108" s="92">
        <v>63.9</v>
      </c>
      <c r="U108" s="92">
        <v>63.7</v>
      </c>
      <c r="V108" s="92">
        <v>64.3</v>
      </c>
      <c r="W108" s="92">
        <v>64.3</v>
      </c>
      <c r="X108" s="92">
        <v>64.7</v>
      </c>
      <c r="Y108" s="92">
        <v>65.3</v>
      </c>
      <c r="Z108" s="92">
        <v>65.2</v>
      </c>
      <c r="AA108" s="92">
        <v>65.099999999999994</v>
      </c>
      <c r="AB108" s="92">
        <v>65.2</v>
      </c>
      <c r="AC108" s="92">
        <v>65.3</v>
      </c>
      <c r="AD108" s="92">
        <v>65.3</v>
      </c>
      <c r="AE108" s="92">
        <v>65.3</v>
      </c>
      <c r="AF108" s="92">
        <v>65.3</v>
      </c>
      <c r="AG108" s="108"/>
      <c r="AH108" s="47">
        <f t="shared" si="8"/>
        <v>65.8</v>
      </c>
      <c r="AI108" s="48">
        <f t="shared" si="9"/>
        <v>63.7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 t="shared" ref="B110:O110" si="15">SUM(B20,B26,B29:B30,B58,B60:B61,B63,B65,B111:B115,B138,B144,B150,B159,B161,B173,B180,B183:B184,B191,B193,B195,B199:B201,B203:B205,B210,B216:B217,B219:B221,B229,B234)</f>
        <v>88.699999999999989</v>
      </c>
      <c r="C110" s="111">
        <f t="shared" si="15"/>
        <v>79.239999999999995</v>
      </c>
      <c r="D110" s="111">
        <f t="shared" si="15"/>
        <v>78.44</v>
      </c>
      <c r="E110" s="111">
        <f t="shared" si="15"/>
        <v>79.339999999999975</v>
      </c>
      <c r="F110" s="111">
        <f t="shared" si="15"/>
        <v>70.34</v>
      </c>
      <c r="G110" s="111">
        <f t="shared" si="15"/>
        <v>86.339999999999975</v>
      </c>
      <c r="H110" s="111">
        <f t="shared" si="15"/>
        <v>96.539999999999978</v>
      </c>
      <c r="I110" s="111">
        <f t="shared" si="15"/>
        <v>147.14000000000001</v>
      </c>
      <c r="J110" s="111">
        <f t="shared" si="15"/>
        <v>155.83999999999997</v>
      </c>
      <c r="K110" s="111">
        <f t="shared" si="15"/>
        <v>187.73999999999998</v>
      </c>
      <c r="L110" s="111">
        <f t="shared" si="15"/>
        <v>206.24000000000004</v>
      </c>
      <c r="M110" s="111">
        <f t="shared" si="15"/>
        <v>242.94</v>
      </c>
      <c r="N110" s="111">
        <f t="shared" si="15"/>
        <v>240.43999999999997</v>
      </c>
      <c r="O110" s="111">
        <f t="shared" si="15"/>
        <v>241.23999999999995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215.29999999999998</v>
      </c>
      <c r="R110" s="111">
        <f t="shared" si="16"/>
        <v>227.69999999999996</v>
      </c>
      <c r="S110" s="111">
        <f t="shared" si="16"/>
        <v>232</v>
      </c>
      <c r="T110" s="111">
        <f t="shared" si="16"/>
        <v>234.09999999999997</v>
      </c>
      <c r="U110" s="111">
        <f t="shared" si="16"/>
        <v>79.8</v>
      </c>
      <c r="V110" s="111">
        <f t="shared" si="16"/>
        <v>241.29999999999998</v>
      </c>
      <c r="W110" s="111">
        <f t="shared" si="16"/>
        <v>222.50000000000003</v>
      </c>
      <c r="X110" s="111">
        <f t="shared" si="16"/>
        <v>197.70000000000002</v>
      </c>
      <c r="Y110" s="111">
        <f t="shared" si="16"/>
        <v>235</v>
      </c>
      <c r="Z110" s="111">
        <f t="shared" si="16"/>
        <v>238.40000000000003</v>
      </c>
      <c r="AA110" s="111">
        <f t="shared" si="16"/>
        <v>265</v>
      </c>
      <c r="AB110" s="111">
        <f t="shared" si="16"/>
        <v>239.40000000000003</v>
      </c>
      <c r="AC110" s="111">
        <f t="shared" si="16"/>
        <v>241.10000000000002</v>
      </c>
      <c r="AD110" s="111"/>
      <c r="AE110" s="111">
        <f t="shared" si="16"/>
        <v>146.10000000000002</v>
      </c>
      <c r="AF110" s="111">
        <f t="shared" si="16"/>
        <v>103.10000000000002</v>
      </c>
      <c r="AG110" s="112"/>
      <c r="AH110" s="47">
        <f t="shared" si="8"/>
        <v>265</v>
      </c>
      <c r="AI110" s="48">
        <f t="shared" si="9"/>
        <v>42</v>
      </c>
    </row>
    <row r="111" spans="1:37" x14ac:dyDescent="0.25">
      <c r="A111" s="100" t="s">
        <v>117</v>
      </c>
      <c r="B111" s="113">
        <v>4.2</v>
      </c>
      <c r="C111" s="113">
        <v>8.9</v>
      </c>
      <c r="D111" s="113">
        <v>9.6</v>
      </c>
      <c r="E111" s="113">
        <v>19</v>
      </c>
      <c r="F111" s="113">
        <v>14.4</v>
      </c>
      <c r="G111" s="113">
        <v>17.7</v>
      </c>
      <c r="H111" s="113">
        <v>21.5</v>
      </c>
      <c r="I111" s="113">
        <v>26.3</v>
      </c>
      <c r="J111" s="113">
        <v>31.1</v>
      </c>
      <c r="K111" s="113">
        <v>42.7</v>
      </c>
      <c r="L111" s="113">
        <v>45.2</v>
      </c>
      <c r="M111" s="113">
        <v>61</v>
      </c>
      <c r="N111" s="113">
        <v>40.1</v>
      </c>
      <c r="O111" s="113">
        <v>70</v>
      </c>
      <c r="P111" s="113">
        <v>52</v>
      </c>
      <c r="Q111" s="113">
        <v>53</v>
      </c>
      <c r="R111" s="113">
        <v>33.1</v>
      </c>
      <c r="S111" s="113">
        <v>35.1</v>
      </c>
      <c r="T111" s="113">
        <v>29.1</v>
      </c>
      <c r="U111" s="113">
        <v>22.7</v>
      </c>
      <c r="V111" s="113">
        <v>29</v>
      </c>
      <c r="W111" s="113">
        <v>42.2</v>
      </c>
      <c r="X111" s="113">
        <v>36.700000000000003</v>
      </c>
      <c r="Y111" s="113">
        <v>41.1</v>
      </c>
      <c r="Z111" s="113">
        <v>43.1</v>
      </c>
      <c r="AA111" s="113">
        <v>49.1</v>
      </c>
      <c r="AB111" s="113">
        <v>46.4</v>
      </c>
      <c r="AC111" s="113">
        <v>67</v>
      </c>
      <c r="AD111" s="113">
        <v>56</v>
      </c>
      <c r="AE111" s="113">
        <v>44</v>
      </c>
      <c r="AF111" s="113">
        <v>38</v>
      </c>
      <c r="AG111" s="114">
        <v>75</v>
      </c>
      <c r="AH111" s="47">
        <f t="shared" si="8"/>
        <v>70</v>
      </c>
      <c r="AI111" s="48">
        <f t="shared" si="9"/>
        <v>4.2</v>
      </c>
    </row>
    <row r="112" spans="1:37" x14ac:dyDescent="0.25">
      <c r="A112" s="103" t="s">
        <v>118</v>
      </c>
      <c r="B112" s="115">
        <v>16.7</v>
      </c>
      <c r="C112" s="115">
        <v>22.3</v>
      </c>
      <c r="D112" s="115">
        <v>22</v>
      </c>
      <c r="E112" s="115">
        <v>39</v>
      </c>
      <c r="F112" s="115">
        <v>28.8</v>
      </c>
      <c r="G112" s="115">
        <v>34.1</v>
      </c>
      <c r="H112" s="115">
        <v>40</v>
      </c>
      <c r="I112" s="115">
        <v>46.2</v>
      </c>
      <c r="J112" s="115">
        <v>50.6</v>
      </c>
      <c r="K112" s="115">
        <v>65.7</v>
      </c>
      <c r="L112" s="115">
        <v>65.8</v>
      </c>
      <c r="M112" s="115">
        <v>42</v>
      </c>
      <c r="N112" s="115">
        <v>57.9</v>
      </c>
      <c r="O112" s="115">
        <v>49</v>
      </c>
      <c r="P112" s="115">
        <v>36</v>
      </c>
      <c r="Q112" s="115">
        <v>37</v>
      </c>
      <c r="R112" s="115">
        <v>50.6</v>
      </c>
      <c r="S112" s="115">
        <v>53.7</v>
      </c>
      <c r="T112" s="115">
        <v>44.2</v>
      </c>
      <c r="U112" s="115">
        <v>34.299999999999997</v>
      </c>
      <c r="V112" s="115">
        <v>42.3</v>
      </c>
      <c r="W112" s="115">
        <v>61.4</v>
      </c>
      <c r="X112" s="115">
        <v>53</v>
      </c>
      <c r="Y112" s="115">
        <v>59</v>
      </c>
      <c r="Z112" s="115">
        <v>60.4</v>
      </c>
      <c r="AA112" s="115">
        <v>71.7</v>
      </c>
      <c r="AB112" s="115">
        <v>69.400000000000006</v>
      </c>
      <c r="AC112" s="115">
        <v>46</v>
      </c>
      <c r="AD112" s="115">
        <v>38</v>
      </c>
      <c r="AE112" s="115">
        <v>29</v>
      </c>
      <c r="AF112" s="115">
        <v>20</v>
      </c>
      <c r="AG112" s="114">
        <v>240</v>
      </c>
      <c r="AH112" s="47">
        <f t="shared" si="8"/>
        <v>71.7</v>
      </c>
      <c r="AI112" s="48">
        <f t="shared" si="9"/>
        <v>16.7</v>
      </c>
    </row>
    <row r="113" spans="1:37" x14ac:dyDescent="0.25">
      <c r="A113" s="103" t="s">
        <v>119</v>
      </c>
      <c r="B113" s="115">
        <v>-100</v>
      </c>
      <c r="C113" s="115">
        <v>-105</v>
      </c>
      <c r="D113" s="115">
        <v>-104</v>
      </c>
      <c r="E113" s="115">
        <v>-90</v>
      </c>
      <c r="F113" s="115">
        <v>-92</v>
      </c>
      <c r="G113" s="115">
        <v>-97</v>
      </c>
      <c r="H113" s="115">
        <v>-99.9</v>
      </c>
      <c r="I113" s="115">
        <v>-67.5</v>
      </c>
      <c r="J113" s="115">
        <v>-69.8</v>
      </c>
      <c r="K113" s="115">
        <v>-70.5</v>
      </c>
      <c r="L113" s="115">
        <v>-68.900000000000006</v>
      </c>
      <c r="M113" s="115">
        <v>-32</v>
      </c>
      <c r="N113" s="115">
        <f>-13.3-22.9</f>
        <v>-36.200000000000003</v>
      </c>
      <c r="O113" s="115">
        <v>-50</v>
      </c>
      <c r="P113" s="115">
        <v>-42</v>
      </c>
      <c r="Q113" s="115">
        <v>-49</v>
      </c>
      <c r="R113" s="115">
        <f>-11-20.8</f>
        <v>-31.8</v>
      </c>
      <c r="S113" s="115">
        <v>-31</v>
      </c>
      <c r="T113" s="115">
        <v>-18</v>
      </c>
      <c r="U113" s="115">
        <v>-79</v>
      </c>
      <c r="V113" s="115">
        <v>-55</v>
      </c>
      <c r="W113" s="115">
        <v>-44</v>
      </c>
      <c r="X113" s="115">
        <v>-47</v>
      </c>
      <c r="Y113" s="115">
        <v>-22</v>
      </c>
      <c r="Z113" s="115">
        <v>-34</v>
      </c>
      <c r="AA113" s="115">
        <v>-67.3</v>
      </c>
      <c r="AB113" s="115">
        <f>-52.8-22.5</f>
        <v>-75.3</v>
      </c>
      <c r="AC113" s="115">
        <v>-57</v>
      </c>
      <c r="AD113" s="115">
        <v>-53</v>
      </c>
      <c r="AE113" s="115">
        <v>-67</v>
      </c>
      <c r="AF113" s="115">
        <v>-80</v>
      </c>
      <c r="AG113" s="114">
        <v>240</v>
      </c>
      <c r="AH113" s="47">
        <f t="shared" si="8"/>
        <v>-18</v>
      </c>
      <c r="AI113" s="48">
        <f t="shared" si="9"/>
        <v>-105</v>
      </c>
    </row>
    <row r="114" spans="1:37" x14ac:dyDescent="0.25">
      <c r="A114" s="103" t="s">
        <v>120</v>
      </c>
      <c r="B114" s="115">
        <v>-12.2</v>
      </c>
      <c r="C114" s="115">
        <v>-14.5</v>
      </c>
      <c r="D114" s="115">
        <v>-18</v>
      </c>
      <c r="E114" s="115">
        <v>-16</v>
      </c>
      <c r="F114" s="115">
        <v>-8</v>
      </c>
      <c r="G114" s="115">
        <v>4.4000000000000004</v>
      </c>
      <c r="H114" s="115">
        <v>7.8</v>
      </c>
      <c r="I114" s="115">
        <v>14.1</v>
      </c>
      <c r="J114" s="115">
        <v>16.3</v>
      </c>
      <c r="K114" s="115">
        <v>22.6</v>
      </c>
      <c r="L114" s="115">
        <v>30.8</v>
      </c>
      <c r="M114" s="115">
        <v>39</v>
      </c>
      <c r="N114" s="115">
        <v>38.4</v>
      </c>
      <c r="O114" s="115">
        <v>32</v>
      </c>
      <c r="P114" s="115">
        <v>36</v>
      </c>
      <c r="Q114" s="115">
        <v>35</v>
      </c>
      <c r="R114" s="115">
        <v>34.6</v>
      </c>
      <c r="S114" s="115">
        <v>33</v>
      </c>
      <c r="T114" s="115">
        <v>40</v>
      </c>
      <c r="U114" s="115">
        <v>23.8</v>
      </c>
      <c r="V114" s="115">
        <v>24</v>
      </c>
      <c r="W114" s="115">
        <v>37</v>
      </c>
      <c r="X114" s="115">
        <v>30.1</v>
      </c>
      <c r="Y114" s="115">
        <v>32</v>
      </c>
      <c r="Z114" s="115">
        <v>43.8</v>
      </c>
      <c r="AA114" s="115">
        <v>49</v>
      </c>
      <c r="AB114" s="115">
        <v>40.5</v>
      </c>
      <c r="AC114" s="115">
        <v>32</v>
      </c>
      <c r="AD114" s="115">
        <v>31</v>
      </c>
      <c r="AE114" s="115">
        <v>15</v>
      </c>
      <c r="AF114" s="115">
        <v>0</v>
      </c>
      <c r="AG114" s="114">
        <v>60</v>
      </c>
      <c r="AH114" s="47">
        <f t="shared" si="8"/>
        <v>49</v>
      </c>
      <c r="AI114" s="48">
        <f t="shared" si="9"/>
        <v>-18</v>
      </c>
    </row>
    <row r="115" spans="1:37" x14ac:dyDescent="0.25">
      <c r="A115" s="116" t="s">
        <v>121</v>
      </c>
      <c r="B115" s="117">
        <v>54.6</v>
      </c>
      <c r="C115" s="117">
        <v>41.2</v>
      </c>
      <c r="D115" s="117">
        <v>42.5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  <c r="O115" s="117">
        <v>0</v>
      </c>
      <c r="P115" s="117">
        <v>0</v>
      </c>
      <c r="Q115" s="117">
        <v>0</v>
      </c>
      <c r="R115" s="117">
        <v>0</v>
      </c>
      <c r="S115" s="117">
        <v>0</v>
      </c>
      <c r="T115" s="117">
        <v>0</v>
      </c>
      <c r="U115" s="117">
        <v>78</v>
      </c>
      <c r="V115" s="117">
        <v>66.099999999999994</v>
      </c>
      <c r="W115" s="117">
        <v>0</v>
      </c>
      <c r="X115" s="117">
        <v>0</v>
      </c>
      <c r="Y115" s="117">
        <v>0</v>
      </c>
      <c r="Z115" s="117">
        <v>0</v>
      </c>
      <c r="AA115" s="117">
        <v>37.4</v>
      </c>
      <c r="AB115" s="117">
        <v>33.299999999999997</v>
      </c>
      <c r="AC115" s="117">
        <v>28</v>
      </c>
      <c r="AD115" s="117">
        <v>0</v>
      </c>
      <c r="AE115" s="117">
        <v>0</v>
      </c>
      <c r="AF115" s="117">
        <v>0</v>
      </c>
      <c r="AG115" s="118">
        <v>120</v>
      </c>
      <c r="AH115" s="47">
        <f t="shared" si="8"/>
        <v>78</v>
      </c>
      <c r="AI115" s="48">
        <f t="shared" si="9"/>
        <v>0</v>
      </c>
    </row>
    <row r="116" spans="1:37" x14ac:dyDescent="0.25">
      <c r="A116" s="116" t="s">
        <v>122</v>
      </c>
      <c r="B116" s="117">
        <v>79.8</v>
      </c>
      <c r="C116" s="117">
        <v>73.099999999999994</v>
      </c>
      <c r="D116" s="117">
        <v>73</v>
      </c>
      <c r="E116" s="117">
        <v>58</v>
      </c>
      <c r="F116" s="117">
        <v>71</v>
      </c>
      <c r="G116" s="117">
        <v>54.3</v>
      </c>
      <c r="H116" s="117">
        <v>68</v>
      </c>
      <c r="I116" s="117">
        <v>85.5</v>
      </c>
      <c r="J116" s="117">
        <v>77</v>
      </c>
      <c r="K116" s="117">
        <v>65.3</v>
      </c>
      <c r="L116" s="117">
        <v>44</v>
      </c>
      <c r="M116" s="117">
        <v>50</v>
      </c>
      <c r="N116" s="117">
        <v>78.599999999999994</v>
      </c>
      <c r="O116" s="117">
        <v>70</v>
      </c>
      <c r="P116" s="117">
        <v>66</v>
      </c>
      <c r="Q116" s="117">
        <v>59</v>
      </c>
      <c r="R116" s="117">
        <v>77.400000000000006</v>
      </c>
      <c r="S116" s="117">
        <v>78</v>
      </c>
      <c r="T116" s="117">
        <v>91</v>
      </c>
      <c r="U116" s="117">
        <v>92.2</v>
      </c>
      <c r="V116" s="117">
        <v>81</v>
      </c>
      <c r="W116" s="117">
        <v>60</v>
      </c>
      <c r="X116" s="117">
        <v>65.8</v>
      </c>
      <c r="Y116" s="117">
        <v>43.1</v>
      </c>
      <c r="Z116" s="117">
        <v>56</v>
      </c>
      <c r="AA116" s="117">
        <v>20.6</v>
      </c>
      <c r="AB116" s="117">
        <v>21.3</v>
      </c>
      <c r="AC116" s="117">
        <v>26</v>
      </c>
      <c r="AD116" s="117">
        <v>37</v>
      </c>
      <c r="AE116" s="117">
        <v>60</v>
      </c>
      <c r="AF116" s="117">
        <v>70</v>
      </c>
      <c r="AG116" s="118"/>
      <c r="AH116" s="47">
        <f t="shared" si="8"/>
        <v>92.2</v>
      </c>
      <c r="AI116" s="48">
        <f t="shared" si="9"/>
        <v>20.6</v>
      </c>
    </row>
    <row r="117" spans="1:37" x14ac:dyDescent="0.25">
      <c r="A117" s="116" t="s">
        <v>123</v>
      </c>
      <c r="B117" s="117"/>
      <c r="C117" s="117"/>
      <c r="D117" s="117"/>
      <c r="E117" s="117"/>
      <c r="F117" s="117">
        <v>46.4</v>
      </c>
      <c r="G117" s="117"/>
      <c r="H117" s="117">
        <v>57</v>
      </c>
      <c r="I117" s="117">
        <v>47.4</v>
      </c>
      <c r="J117" s="117">
        <v>30.5</v>
      </c>
      <c r="K117" s="117">
        <v>26.4</v>
      </c>
      <c r="L117" s="117">
        <v>18.7</v>
      </c>
      <c r="M117" s="117">
        <v>38</v>
      </c>
      <c r="N117" s="117">
        <v>39</v>
      </c>
      <c r="O117" s="117">
        <v>26</v>
      </c>
      <c r="P117" s="117"/>
      <c r="Q117" s="117">
        <v>20</v>
      </c>
      <c r="R117" s="117"/>
      <c r="S117" s="117"/>
      <c r="T117" s="117">
        <v>41</v>
      </c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>
        <v>52</v>
      </c>
      <c r="AF117" s="117"/>
      <c r="AG117" s="119"/>
      <c r="AH117" s="47">
        <f t="shared" si="8"/>
        <v>57</v>
      </c>
      <c r="AI117" s="48">
        <f t="shared" si="9"/>
        <v>18.7</v>
      </c>
    </row>
    <row r="118" spans="1:37" x14ac:dyDescent="0.25">
      <c r="A118" s="120" t="s">
        <v>124</v>
      </c>
      <c r="B118" s="106">
        <v>2.6</v>
      </c>
      <c r="C118" s="106">
        <v>6.8</v>
      </c>
      <c r="D118" s="106">
        <v>11.4</v>
      </c>
      <c r="E118" s="106">
        <v>15.8</v>
      </c>
      <c r="F118" s="106">
        <v>16</v>
      </c>
      <c r="G118" s="106">
        <v>20</v>
      </c>
      <c r="H118" s="106">
        <v>18.010000000000002</v>
      </c>
      <c r="I118" s="106">
        <v>13.3</v>
      </c>
      <c r="J118" s="106">
        <v>13.7</v>
      </c>
      <c r="K118" s="106">
        <v>8.9</v>
      </c>
      <c r="L118" s="106">
        <v>7.6</v>
      </c>
      <c r="M118" s="106">
        <v>0.4</v>
      </c>
      <c r="N118" s="106">
        <v>0</v>
      </c>
      <c r="O118" s="106">
        <v>-1</v>
      </c>
      <c r="P118" s="106">
        <v>-4</v>
      </c>
      <c r="Q118" s="106">
        <v>1</v>
      </c>
      <c r="R118" s="106">
        <v>0.5</v>
      </c>
      <c r="S118" s="106">
        <v>-3</v>
      </c>
      <c r="T118" s="106">
        <v>-4</v>
      </c>
      <c r="U118" s="106">
        <v>-2.5</v>
      </c>
      <c r="V118" s="106">
        <v>-4</v>
      </c>
      <c r="W118" s="106">
        <v>-5</v>
      </c>
      <c r="X118" s="106">
        <v>-9.1999999999999993</v>
      </c>
      <c r="Y118" s="106">
        <v>-4</v>
      </c>
      <c r="Z118" s="106">
        <v>-18.399999999999999</v>
      </c>
      <c r="AA118" s="106">
        <v>-29.8</v>
      </c>
      <c r="AB118" s="106">
        <v>-26.1</v>
      </c>
      <c r="AC118" s="106">
        <v>-21</v>
      </c>
      <c r="AD118" s="106">
        <v>-20</v>
      </c>
      <c r="AE118" s="106">
        <v>-18</v>
      </c>
      <c r="AF118" s="106">
        <v>-13</v>
      </c>
      <c r="AG118" s="119"/>
      <c r="AH118" s="47">
        <f t="shared" si="8"/>
        <v>20</v>
      </c>
      <c r="AI118" s="48">
        <f t="shared" si="9"/>
        <v>-29.8</v>
      </c>
    </row>
    <row r="119" spans="1:37" x14ac:dyDescent="0.25">
      <c r="A119" s="175" t="s">
        <v>265</v>
      </c>
      <c r="B119" s="106">
        <v>74.3</v>
      </c>
      <c r="C119" s="106">
        <v>94</v>
      </c>
      <c r="D119" s="106">
        <v>89</v>
      </c>
      <c r="E119" s="106">
        <v>99.3</v>
      </c>
      <c r="F119" s="106">
        <v>92</v>
      </c>
      <c r="G119" s="106">
        <v>98.8</v>
      </c>
      <c r="H119" s="106">
        <v>88</v>
      </c>
      <c r="I119" s="106">
        <v>56</v>
      </c>
      <c r="J119" s="106">
        <v>73.2</v>
      </c>
      <c r="K119" s="106">
        <v>76.900000000000006</v>
      </c>
      <c r="L119" s="106">
        <v>96</v>
      </c>
      <c r="M119" s="106">
        <v>80</v>
      </c>
      <c r="N119" s="106">
        <v>90</v>
      </c>
      <c r="O119" s="106">
        <v>100</v>
      </c>
      <c r="P119" s="106">
        <v>95</v>
      </c>
      <c r="Q119" s="106">
        <v>100</v>
      </c>
      <c r="R119" s="106">
        <v>79.8</v>
      </c>
      <c r="S119" s="106">
        <v>72</v>
      </c>
      <c r="T119" s="106">
        <v>45</v>
      </c>
      <c r="U119" s="106">
        <v>53.9</v>
      </c>
      <c r="V119" s="106">
        <v>66</v>
      </c>
      <c r="W119" s="106">
        <v>77</v>
      </c>
      <c r="X119" s="106">
        <v>35</v>
      </c>
      <c r="Y119" s="106">
        <v>49</v>
      </c>
      <c r="Z119" s="106">
        <v>32.799999999999997</v>
      </c>
      <c r="AA119" s="106">
        <v>80.3</v>
      </c>
      <c r="AB119" s="106">
        <v>90</v>
      </c>
      <c r="AC119" s="106">
        <v>97</v>
      </c>
      <c r="AD119" s="106">
        <v>92</v>
      </c>
      <c r="AE119" s="106">
        <v>95</v>
      </c>
      <c r="AF119" s="106">
        <v>90</v>
      </c>
      <c r="AG119" s="119"/>
      <c r="AH119" s="47">
        <f t="shared" si="8"/>
        <v>100</v>
      </c>
      <c r="AI119" s="48">
        <f t="shared" si="9"/>
        <v>32.799999999999997</v>
      </c>
    </row>
    <row r="120" spans="1:37" ht="15.75" thickBot="1" x14ac:dyDescent="0.3">
      <c r="A120" s="120" t="s">
        <v>125</v>
      </c>
      <c r="B120" s="106">
        <v>88</v>
      </c>
      <c r="C120" s="106">
        <v>83.1</v>
      </c>
      <c r="D120" s="106">
        <v>83.4</v>
      </c>
      <c r="E120" s="106">
        <v>69.5</v>
      </c>
      <c r="F120" s="106">
        <v>65.5</v>
      </c>
      <c r="G120" s="106">
        <v>57.6</v>
      </c>
      <c r="H120" s="106">
        <v>57.8</v>
      </c>
      <c r="I120" s="106">
        <v>65</v>
      </c>
      <c r="J120" s="106">
        <v>66.2</v>
      </c>
      <c r="K120" s="106">
        <v>71.599999999999994</v>
      </c>
      <c r="L120" s="106">
        <v>73.2</v>
      </c>
      <c r="M120" s="106">
        <v>77.599999999999994</v>
      </c>
      <c r="N120" s="106">
        <v>83</v>
      </c>
      <c r="O120" s="106">
        <v>82</v>
      </c>
      <c r="P120" s="106">
        <v>85</v>
      </c>
      <c r="Q120" s="106">
        <v>86</v>
      </c>
      <c r="R120" s="106">
        <v>85.9</v>
      </c>
      <c r="S120" s="106">
        <v>91</v>
      </c>
      <c r="T120" s="106">
        <v>86</v>
      </c>
      <c r="U120" s="106">
        <v>78.599999999999994</v>
      </c>
      <c r="V120" s="106">
        <v>80</v>
      </c>
      <c r="W120" s="106">
        <v>72</v>
      </c>
      <c r="X120" s="106">
        <v>70.7</v>
      </c>
      <c r="Y120" s="106">
        <v>70</v>
      </c>
      <c r="Z120" s="106">
        <v>90.1</v>
      </c>
      <c r="AA120" s="106">
        <v>98.1</v>
      </c>
      <c r="AB120" s="106">
        <v>104.9</v>
      </c>
      <c r="AC120" s="106">
        <v>101</v>
      </c>
      <c r="AD120" s="106">
        <v>35</v>
      </c>
      <c r="AE120" s="106">
        <v>104</v>
      </c>
      <c r="AF120" s="106">
        <v>101</v>
      </c>
      <c r="AG120" s="119"/>
      <c r="AH120" s="47">
        <f t="shared" si="8"/>
        <v>104.9</v>
      </c>
      <c r="AI120" s="48">
        <f t="shared" si="9"/>
        <v>35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123.21900000000009</v>
      </c>
      <c r="N231" s="128">
        <f t="shared" ca="1" si="19"/>
        <v>123.21900000000009</v>
      </c>
      <c r="O231" s="128">
        <f t="shared" ca="1" si="19"/>
        <v>123.21900000000009</v>
      </c>
      <c r="P231" s="128">
        <f t="shared" ca="1" si="19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121.23900000000009</v>
      </c>
      <c r="M235" s="136">
        <f t="shared" ca="1" si="20"/>
        <v>121.23900000000009</v>
      </c>
      <c r="N235" s="136">
        <f t="shared" ca="1" si="20"/>
        <v>121.23900000000009</v>
      </c>
      <c r="O235" s="136">
        <f t="shared" ca="1" si="20"/>
        <v>125.2590000000001</v>
      </c>
      <c r="P235" s="136">
        <f t="shared" ca="1" si="20"/>
        <v>113.19900000000007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1607.3400000000001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15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2080/02/15)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2080/02/15)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1578.94</v>
      </c>
      <c r="U249" s="170">
        <f t="shared" si="21"/>
        <v>1513.64</v>
      </c>
      <c r="V249" s="170">
        <f t="shared" si="21"/>
        <v>1526.04</v>
      </c>
      <c r="W249" s="170">
        <f t="shared" si="21"/>
        <v>1469.64</v>
      </c>
      <c r="X249" s="170">
        <f t="shared" si="21"/>
        <v>1403.6399999999999</v>
      </c>
      <c r="Y249" s="170">
        <f t="shared" si="21"/>
        <v>1358.7400000000002</v>
      </c>
      <c r="Z249" s="170">
        <f t="shared" si="21"/>
        <v>1377.5400000000002</v>
      </c>
      <c r="AA249" s="170">
        <f t="shared" si="21"/>
        <v>1453.44</v>
      </c>
      <c r="AB249" s="170">
        <f t="shared" si="21"/>
        <v>1460.5400000000002</v>
      </c>
      <c r="AC249" s="170">
        <f t="shared" si="21"/>
        <v>1436.94</v>
      </c>
      <c r="AD249" s="170">
        <f t="shared" si="21"/>
        <v>1527.64</v>
      </c>
      <c r="AE249" s="170">
        <f t="shared" si="21"/>
        <v>1544.64</v>
      </c>
      <c r="AF249" s="170">
        <f t="shared" si="21"/>
        <v>1607.3400000000001</v>
      </c>
      <c r="AG249" s="170">
        <f t="shared" si="21"/>
        <v>1611.64</v>
      </c>
      <c r="AH249" s="170">
        <f t="shared" si="21"/>
        <v>1596.64</v>
      </c>
      <c r="AI249" s="170">
        <f t="shared" si="21"/>
        <v>1569.8400000000001</v>
      </c>
      <c r="AJ249" s="170">
        <f t="shared" si="21"/>
        <v>1608.54</v>
      </c>
      <c r="AK249" s="170">
        <f t="shared" si="21"/>
        <v>1601.04</v>
      </c>
      <c r="AL249" s="170">
        <f t="shared" si="21"/>
        <v>1643.24</v>
      </c>
      <c r="AM249" s="170">
        <f t="shared" si="21"/>
        <v>49</v>
      </c>
      <c r="AN249" s="170">
        <f t="shared" si="21"/>
        <v>1607.74</v>
      </c>
      <c r="AO249" s="170">
        <f t="shared" si="21"/>
        <v>1495.7400000000002</v>
      </c>
      <c r="AP249" s="170">
        <f t="shared" si="21"/>
        <v>1389.8400000000001</v>
      </c>
      <c r="AQ249" s="170">
        <f t="shared" si="21"/>
        <v>1575.5400000000002</v>
      </c>
      <c r="AR249" s="170">
        <f t="shared" si="21"/>
        <v>1663.24</v>
      </c>
      <c r="AS249" s="170">
        <f t="shared" si="21"/>
        <v>1767.7400000000002</v>
      </c>
      <c r="AT249" s="170">
        <f t="shared" si="21"/>
        <v>1758.8400000000001</v>
      </c>
      <c r="AU249" s="170">
        <f t="shared" si="21"/>
        <v>1749.94</v>
      </c>
      <c r="AV249" s="170">
        <f t="shared" si="21"/>
        <v>1727.94</v>
      </c>
      <c r="AW249" s="170">
        <f t="shared" si="21"/>
        <v>1665.94</v>
      </c>
      <c r="AX249" s="170">
        <f t="shared" si="21"/>
        <v>1560.7400000000002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2:AF12 B14:AF17">
    <cfRule type="expression" dxfId="8145" priority="409">
      <formula>B$9&gt;=20/24</formula>
    </cfRule>
    <cfRule type="expression" dxfId="8144" priority="410">
      <formula>AND(B$9&gt;=14/24,B$9&lt;20/24)</formula>
    </cfRule>
    <cfRule type="expression" dxfId="8143" priority="411">
      <formula>AND(B$9&gt;=8/24,B$9&lt;14/24)</formula>
    </cfRule>
    <cfRule type="expression" dxfId="8142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G67 B12:AF12 B14:AF17">
    <cfRule type="expression" dxfId="8141" priority="407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8140" priority="406">
      <formula>$AH12=0</formula>
    </cfRule>
  </conditionalFormatting>
  <conditionalFormatting sqref="A116">
    <cfRule type="expression" dxfId="8139" priority="405">
      <formula>$AH116=0</formula>
    </cfRule>
  </conditionalFormatting>
  <conditionalFormatting sqref="AL44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8138" priority="403">
      <formula>$AH47=0</formula>
    </cfRule>
  </conditionalFormatting>
  <conditionalFormatting sqref="A100">
    <cfRule type="expression" dxfId="8137" priority="402">
      <formula>$AH100=0</formula>
    </cfRule>
  </conditionalFormatting>
  <conditionalFormatting sqref="A20">
    <cfRule type="expression" dxfId="8136" priority="401">
      <formula>$AH20=0</formula>
    </cfRule>
  </conditionalFormatting>
  <conditionalFormatting sqref="A199:A204">
    <cfRule type="expression" dxfId="8135" priority="400">
      <formula>$AH199=0</formula>
    </cfRule>
  </conditionalFormatting>
  <conditionalFormatting sqref="A193:A198">
    <cfRule type="expression" dxfId="8134" priority="399">
      <formula>$AH193=0</formula>
    </cfRule>
  </conditionalFormatting>
  <conditionalFormatting sqref="A60">
    <cfRule type="expression" dxfId="8133" priority="398">
      <formula>$AH60=0</formula>
    </cfRule>
  </conditionalFormatting>
  <conditionalFormatting sqref="A96">
    <cfRule type="expression" dxfId="8132" priority="397">
      <formula>$AH96=0</formula>
    </cfRule>
  </conditionalFormatting>
  <conditionalFormatting sqref="AD101:AF101 E101:Y101">
    <cfRule type="expression" dxfId="8131" priority="393">
      <formula>E$9&gt;=20/24</formula>
    </cfRule>
    <cfRule type="expression" dxfId="8130" priority="394">
      <formula>AND(E$9&gt;=14/24,E$9&lt;20/24)</formula>
    </cfRule>
    <cfRule type="expression" dxfId="8129" priority="395">
      <formula>AND(E$9&gt;=8/24,E$9&lt;14/24)</formula>
    </cfRule>
    <cfRule type="expression" dxfId="8128" priority="396">
      <formula>E$9&lt;8/24</formula>
    </cfRule>
  </conditionalFormatting>
  <conditionalFormatting sqref="AL45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127" priority="415">
      <formula>C$9&gt;=20/24</formula>
    </cfRule>
    <cfRule type="expression" dxfId="8126" priority="416">
      <formula>AND(C$9&gt;=14/24,C$9&lt;20/24)</formula>
    </cfRule>
    <cfRule type="expression" dxfId="8125" priority="417">
      <formula>AND(C$9&gt;=8/24,C$9&lt;14/24)</formula>
    </cfRule>
    <cfRule type="expression" dxfId="8124" priority="418">
      <formula>C$9&lt;8/24</formula>
    </cfRule>
  </conditionalFormatting>
  <conditionalFormatting sqref="A236">
    <cfRule type="expression" dxfId="8123" priority="419">
      <formula>$AH236=0</formula>
    </cfRule>
  </conditionalFormatting>
  <conditionalFormatting sqref="AG248">
    <cfRule type="expression" dxfId="8122" priority="420">
      <formula>B$9&gt;=20/24</formula>
    </cfRule>
    <cfRule type="expression" dxfId="8121" priority="421">
      <formula>AND(B$9&gt;=14/24,B$9&lt;20/24)</formula>
    </cfRule>
    <cfRule type="expression" dxfId="8120" priority="422">
      <formula>AND(B$9&gt;=8/24,B$9&lt;14/24)</formula>
    </cfRule>
    <cfRule type="expression" dxfId="8119" priority="423">
      <formula>B$9&lt;8/24</formula>
    </cfRule>
  </conditionalFormatting>
  <conditionalFormatting sqref="S8">
    <cfRule type="expression" dxfId="8118" priority="388">
      <formula>U$9&gt;=20/24</formula>
    </cfRule>
    <cfRule type="expression" dxfId="8117" priority="389">
      <formula>AND(U$9&gt;=14/24,U$9&lt;20/24)</formula>
    </cfRule>
    <cfRule type="expression" dxfId="8116" priority="390">
      <formula>AND(U$9&gt;=8/24,U$9&lt;14/24)</formula>
    </cfRule>
    <cfRule type="expression" dxfId="8115" priority="391">
      <formula>U$9&lt;8/24</formula>
    </cfRule>
  </conditionalFormatting>
  <conditionalFormatting sqref="AB8">
    <cfRule type="expression" dxfId="8114" priority="384">
      <formula>AD$9&gt;=20/24</formula>
    </cfRule>
    <cfRule type="expression" dxfId="8113" priority="385">
      <formula>AND(AD$9&gt;=14/24,AD$9&lt;20/24)</formula>
    </cfRule>
    <cfRule type="expression" dxfId="8112" priority="386">
      <formula>AND(AD$9&gt;=8/24,AD$9&lt;14/24)</formula>
    </cfRule>
    <cfRule type="expression" dxfId="8111" priority="387">
      <formula>AD$9&lt;8/24</formula>
    </cfRule>
  </conditionalFormatting>
  <conditionalFormatting sqref="AH248:AX248">
    <cfRule type="expression" dxfId="8110" priority="424">
      <formula>AG$9&gt;=20/24</formula>
    </cfRule>
    <cfRule type="expression" dxfId="8109" priority="425">
      <formula>AND(AG$9&gt;=14/24,AG$9&lt;20/24)</formula>
    </cfRule>
    <cfRule type="expression" dxfId="8108" priority="426">
      <formula>AND(AG$9&gt;=8/24,AG$9&lt;14/24)</formula>
    </cfRule>
    <cfRule type="expression" dxfId="8107" priority="427">
      <formula>AG$9&lt;8/24</formula>
    </cfRule>
  </conditionalFormatting>
  <conditionalFormatting sqref="T248">
    <cfRule type="expression" dxfId="8106" priority="428">
      <formula>AX$9&gt;=20/24</formula>
    </cfRule>
    <cfRule type="expression" dxfId="8105" priority="429">
      <formula>AND(AX$9&gt;=14/24,AX$9&lt;20/24)</formula>
    </cfRule>
    <cfRule type="expression" dxfId="8104" priority="430">
      <formula>AND(AX$9&gt;=8/24,AX$9&lt;14/24)</formula>
    </cfRule>
    <cfRule type="expression" dxfId="8103" priority="431">
      <formula>AX$9&lt;8/24</formula>
    </cfRule>
  </conditionalFormatting>
  <conditionalFormatting sqref="A117:A119">
    <cfRule type="expression" dxfId="8102" priority="383">
      <formula>$AH117=0</formula>
    </cfRule>
  </conditionalFormatting>
  <conditionalFormatting sqref="AF73 M56:N60 N61:N62 O56:T62 U59:Y62 E73:AD73 AD56:AE59 AF58:AF59 Z61:AF62">
    <cfRule type="expression" dxfId="8101" priority="379">
      <formula>E$9&gt;=20/24</formula>
    </cfRule>
    <cfRule type="expression" dxfId="8100" priority="380">
      <formula>AND(E$9&gt;=14/24,E$9&lt;20/24)</formula>
    </cfRule>
    <cfRule type="expression" dxfId="8099" priority="381">
      <formula>AND(E$9&gt;=8/24,E$9&lt;14/24)</formula>
    </cfRule>
    <cfRule type="expression" dxfId="8098" priority="382">
      <formula>E$9&lt;8/24</formula>
    </cfRule>
  </conditionalFormatting>
  <conditionalFormatting sqref="M55:T55 AD55:AE55">
    <cfRule type="expression" dxfId="8097" priority="375">
      <formula>M$9&gt;=20/24</formula>
    </cfRule>
    <cfRule type="expression" dxfId="8096" priority="376">
      <formula>AND(M$9&gt;=14/24,M$9&lt;20/24)</formula>
    </cfRule>
    <cfRule type="expression" dxfId="8095" priority="377">
      <formula>AND(M$9&gt;=8/24,M$9&lt;14/24)</formula>
    </cfRule>
    <cfRule type="expression" dxfId="8094" priority="378">
      <formula>M$9&lt;8/24</formula>
    </cfRule>
  </conditionalFormatting>
  <conditionalFormatting sqref="M55:N60 N61:N62 O55:T62 U59:Y62 AD55:AE59 AF58:AF59 Z61:AF62">
    <cfRule type="expression" dxfId="8093" priority="374">
      <formula>M55&gt;$AG55</formula>
    </cfRule>
  </conditionalFormatting>
  <conditionalFormatting sqref="D88:AF88 X98:AF98 AF102:AF108 X49:AF49 AF74:AF75 M102:Y108 E74:AD75 AA69:AF71">
    <cfRule type="expression" dxfId="8092" priority="370">
      <formula>D$9&gt;=20/24</formula>
    </cfRule>
    <cfRule type="expression" dxfId="8091" priority="371">
      <formula>AND(D$9&gt;=14/24,D$9&lt;20/24)</formula>
    </cfRule>
    <cfRule type="expression" dxfId="8090" priority="372">
      <formula>AND(D$9&gt;=8/24,D$9&lt;14/24)</formula>
    </cfRule>
    <cfRule type="expression" dxfId="8089" priority="373">
      <formula>D$9&lt;8/24</formula>
    </cfRule>
  </conditionalFormatting>
  <conditionalFormatting sqref="X49:AF49 AA69:AF71">
    <cfRule type="expression" dxfId="8088" priority="369">
      <formula>X49&gt;$AG49</formula>
    </cfRule>
  </conditionalFormatting>
  <conditionalFormatting sqref="U55:Y58 Z55:AC60">
    <cfRule type="expression" dxfId="8087" priority="365">
      <formula>U$9&gt;=20/24</formula>
    </cfRule>
    <cfRule type="expression" dxfId="8086" priority="366">
      <formula>AND(U$9&gt;=14/24,U$9&lt;20/24)</formula>
    </cfRule>
    <cfRule type="expression" dxfId="8085" priority="367">
      <formula>AND(U$9&gt;=8/24,U$9&lt;14/24)</formula>
    </cfRule>
    <cfRule type="expression" dxfId="8084" priority="368">
      <formula>U$9&lt;8/24</formula>
    </cfRule>
  </conditionalFormatting>
  <conditionalFormatting sqref="U55:Y58 Z55:AC60">
    <cfRule type="expression" dxfId="8083" priority="364">
      <formula>U55&gt;$AG55</formula>
    </cfRule>
  </conditionalFormatting>
  <conditionalFormatting sqref="C99:AF99 D90:AF90">
    <cfRule type="expression" dxfId="8082" priority="360">
      <formula>C$9&gt;=20/24</formula>
    </cfRule>
    <cfRule type="expression" dxfId="8081" priority="361">
      <formula>AND(C$9&gt;=14/24,C$9&lt;20/24)</formula>
    </cfRule>
    <cfRule type="expression" dxfId="8080" priority="362">
      <formula>AND(C$9&gt;=8/24,C$9&lt;14/24)</formula>
    </cfRule>
    <cfRule type="expression" dxfId="8079" priority="363">
      <formula>C$9&lt;8/24</formula>
    </cfRule>
  </conditionalFormatting>
  <conditionalFormatting sqref="T49:W49">
    <cfRule type="expression" dxfId="8078" priority="356">
      <formula>T$9&gt;=20/24</formula>
    </cfRule>
    <cfRule type="expression" dxfId="8077" priority="357">
      <formula>AND(T$9&gt;=14/24,T$9&lt;20/24)</formula>
    </cfRule>
    <cfRule type="expression" dxfId="8076" priority="358">
      <formula>AND(T$9&gt;=8/24,T$9&lt;14/24)</formula>
    </cfRule>
    <cfRule type="expression" dxfId="8075" priority="359">
      <formula>T$9&lt;8/24</formula>
    </cfRule>
  </conditionalFormatting>
  <conditionalFormatting sqref="T49:W49">
    <cfRule type="expression" dxfId="8074" priority="355">
      <formula>T49&gt;$AG49</formula>
    </cfRule>
  </conditionalFormatting>
  <conditionalFormatting sqref="E56:L57">
    <cfRule type="expression" dxfId="8073" priority="351">
      <formula>E$9&gt;=20/24</formula>
    </cfRule>
    <cfRule type="expression" dxfId="8072" priority="352">
      <formula>AND(E$9&gt;=14/24,E$9&lt;20/24)</formula>
    </cfRule>
    <cfRule type="expression" dxfId="8071" priority="353">
      <formula>AND(E$9&gt;=8/24,E$9&lt;14/24)</formula>
    </cfRule>
    <cfRule type="expression" dxfId="8070" priority="354">
      <formula>E$9&lt;8/24</formula>
    </cfRule>
  </conditionalFormatting>
  <conditionalFormatting sqref="E55:L55">
    <cfRule type="expression" dxfId="8069" priority="347">
      <formula>E$9&gt;=20/24</formula>
    </cfRule>
    <cfRule type="expression" dxfId="8068" priority="348">
      <formula>AND(E$9&gt;=14/24,E$9&lt;20/24)</formula>
    </cfRule>
    <cfRule type="expression" dxfId="8067" priority="349">
      <formula>AND(E$9&gt;=8/24,E$9&lt;14/24)</formula>
    </cfRule>
    <cfRule type="expression" dxfId="8066" priority="350">
      <formula>E$9&lt;8/24</formula>
    </cfRule>
  </conditionalFormatting>
  <conditionalFormatting sqref="E55:L57">
    <cfRule type="expression" dxfId="8065" priority="346">
      <formula>E55&gt;$AG55</formula>
    </cfRule>
  </conditionalFormatting>
  <conditionalFormatting sqref="AG72 AG89 E102:L108">
    <cfRule type="expression" dxfId="8064" priority="342">
      <formula>E$9&gt;=20/24</formula>
    </cfRule>
    <cfRule type="expression" dxfId="8063" priority="343">
      <formula>AND(E$9&gt;=14/24,E$9&lt;20/24)</formula>
    </cfRule>
    <cfRule type="expression" dxfId="8062" priority="344">
      <formula>AND(E$9&gt;=8/24,E$9&lt;14/24)</formula>
    </cfRule>
    <cfRule type="expression" dxfId="8061" priority="345">
      <formula>E$9&lt;8/24</formula>
    </cfRule>
  </conditionalFormatting>
  <conditionalFormatting sqref="AG50 AG68 AG72">
    <cfRule type="expression" dxfId="8060" priority="341">
      <formula>AG50&gt;$AG50</formula>
    </cfRule>
  </conditionalFormatting>
  <conditionalFormatting sqref="AD60:AF60">
    <cfRule type="expression" dxfId="8059" priority="337">
      <formula>AD$9&gt;=20/24</formula>
    </cfRule>
    <cfRule type="expression" dxfId="8058" priority="338">
      <formula>AND(AD$9&gt;=14/24,AD$9&lt;20/24)</formula>
    </cfRule>
    <cfRule type="expression" dxfId="8057" priority="339">
      <formula>AND(AD$9&gt;=8/24,AD$9&lt;14/24)</formula>
    </cfRule>
    <cfRule type="expression" dxfId="8056" priority="340">
      <formula>AD$9&lt;8/24</formula>
    </cfRule>
  </conditionalFormatting>
  <conditionalFormatting sqref="AD60:AF60">
    <cfRule type="expression" dxfId="8055" priority="336">
      <formula>AD60&gt;$AG60</formula>
    </cfRule>
  </conditionalFormatting>
  <conditionalFormatting sqref="A45">
    <cfRule type="expression" dxfId="8054" priority="335">
      <formula>$AH45=0</formula>
    </cfRule>
  </conditionalFormatting>
  <conditionalFormatting sqref="X93:AF97">
    <cfRule type="expression" dxfId="8053" priority="331">
      <formula>X$9&gt;=20/24</formula>
    </cfRule>
    <cfRule type="expression" dxfId="8052" priority="332">
      <formula>AND(X$9&gt;=14/24,X$9&lt;20/24)</formula>
    </cfRule>
    <cfRule type="expression" dxfId="8051" priority="333">
      <formula>AND(X$9&gt;=8/24,X$9&lt;14/24)</formula>
    </cfRule>
    <cfRule type="expression" dxfId="8050" priority="334">
      <formula>X$9&lt;8/24</formula>
    </cfRule>
  </conditionalFormatting>
  <conditionalFormatting sqref="AL47 AL43 AL24:AL34 AL40:AL41 AL19:AL22 AL36:AL38 AL7:AL17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F51:AF53">
    <cfRule type="expression" dxfId="8049" priority="327">
      <formula>F$9&gt;=20/24</formula>
    </cfRule>
    <cfRule type="expression" dxfId="8048" priority="328">
      <formula>AND(F$9&gt;=14/24,F$9&lt;20/24)</formula>
    </cfRule>
    <cfRule type="expression" dxfId="8047" priority="329">
      <formula>AND(F$9&gt;=8/24,F$9&lt;14/24)</formula>
    </cfRule>
    <cfRule type="expression" dxfId="8046" priority="330">
      <formula>F$9&lt;8/24</formula>
    </cfRule>
  </conditionalFormatting>
  <conditionalFormatting sqref="F51:AF53">
    <cfRule type="expression" dxfId="8045" priority="326">
      <formula>F51&gt;$AG51</formula>
    </cfRule>
  </conditionalFormatting>
  <conditionalFormatting sqref="AG54">
    <cfRule type="expression" dxfId="8044" priority="322">
      <formula>AG$9&gt;=20/24</formula>
    </cfRule>
    <cfRule type="expression" dxfId="8043" priority="323">
      <formula>AND(AG$9&gt;=14/24,AG$9&lt;20/24)</formula>
    </cfRule>
    <cfRule type="expression" dxfId="8042" priority="324">
      <formula>AND(AG$9&gt;=8/24,AG$9&lt;14/24)</formula>
    </cfRule>
    <cfRule type="expression" dxfId="8041" priority="325">
      <formula>AG$9&lt;8/24</formula>
    </cfRule>
  </conditionalFormatting>
  <conditionalFormatting sqref="AG54">
    <cfRule type="expression" dxfId="8040" priority="321">
      <formula>AG54&gt;$AG54</formula>
    </cfRule>
  </conditionalFormatting>
  <conditionalFormatting sqref="C109:AF109">
    <cfRule type="expression" dxfId="8039" priority="317">
      <formula>C$9&gt;=20/24</formula>
    </cfRule>
    <cfRule type="expression" dxfId="8038" priority="318">
      <formula>AND(C$9&gt;=14/24,C$9&lt;20/24)</formula>
    </cfRule>
    <cfRule type="expression" dxfId="8037" priority="319">
      <formula>AND(C$9&gt;=8/24,C$9&lt;14/24)</formula>
    </cfRule>
    <cfRule type="expression" dxfId="8036" priority="320">
      <formula>C$9&lt;8/24</formula>
    </cfRule>
  </conditionalFormatting>
  <conditionalFormatting sqref="AL42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8035" priority="315">
      <formula>$AH42=0</formula>
    </cfRule>
  </conditionalFormatting>
  <conditionalFormatting sqref="A92">
    <cfRule type="expression" dxfId="8034" priority="313">
      <formula>$AH92=0</formula>
    </cfRule>
  </conditionalFormatting>
  <conditionalFormatting sqref="A89">
    <cfRule type="expression" dxfId="8033" priority="314">
      <formula>$AH89=0</formula>
    </cfRule>
  </conditionalFormatting>
  <conditionalFormatting sqref="D112:AF112">
    <cfRule type="expression" dxfId="8032" priority="309">
      <formula>D$9&gt;=20/24</formula>
    </cfRule>
    <cfRule type="expression" dxfId="8031" priority="310">
      <formula>AND(D$9&gt;=14/24,D$9&lt;20/24)</formula>
    </cfRule>
    <cfRule type="expression" dxfId="8030" priority="311">
      <formula>AND(D$9&gt;=8/24,D$9&lt;14/24)</formula>
    </cfRule>
    <cfRule type="expression" dxfId="8029" priority="312">
      <formula>D$9&lt;8/24</formula>
    </cfRule>
  </conditionalFormatting>
  <conditionalFormatting sqref="A112">
    <cfRule type="expression" dxfId="8028" priority="308">
      <formula>$AH112=0</formula>
    </cfRule>
  </conditionalFormatting>
  <conditionalFormatting sqref="A23">
    <cfRule type="expression" dxfId="8027" priority="306">
      <formula>$AH23=0</formula>
    </cfRule>
  </conditionalFormatting>
  <conditionalFormatting sqref="AL2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8026" priority="304">
      <formula>$AH39=0</formula>
    </cfRule>
  </conditionalFormatting>
  <conditionalFormatting sqref="AL39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8025" priority="300">
      <formula>Z$9&gt;=20/24</formula>
    </cfRule>
    <cfRule type="expression" dxfId="8024" priority="301">
      <formula>AND(Z$9&gt;=14/24,Z$9&lt;20/24)</formula>
    </cfRule>
    <cfRule type="expression" dxfId="8023" priority="302">
      <formula>AND(Z$9&gt;=8/24,Z$9&lt;14/24)</formula>
    </cfRule>
    <cfRule type="expression" dxfId="8022" priority="303">
      <formula>Z$9&lt;8/24</formula>
    </cfRule>
  </conditionalFormatting>
  <conditionalFormatting sqref="Z102:AE108">
    <cfRule type="expression" dxfId="8021" priority="296">
      <formula>Z$9&gt;=20/24</formula>
    </cfRule>
    <cfRule type="expression" dxfId="8020" priority="297">
      <formula>AND(Z$9&gt;=14/24,Z$9&lt;20/24)</formula>
    </cfRule>
    <cfRule type="expression" dxfId="8019" priority="298">
      <formula>AND(Z$9&gt;=8/24,Z$9&lt;14/24)</formula>
    </cfRule>
    <cfRule type="expression" dxfId="8018" priority="299">
      <formula>Z$9&lt;8/24</formula>
    </cfRule>
  </conditionalFormatting>
  <conditionalFormatting sqref="C111 C113:C119">
    <cfRule type="expression" dxfId="8017" priority="292">
      <formula>C$9&gt;=20/24</formula>
    </cfRule>
    <cfRule type="expression" dxfId="8016" priority="293">
      <formula>AND(C$9&gt;=14/24,C$9&lt;20/24)</formula>
    </cfRule>
    <cfRule type="expression" dxfId="8015" priority="294">
      <formula>AND(C$9&gt;=8/24,C$9&lt;14/24)</formula>
    </cfRule>
    <cfRule type="expression" dxfId="8014" priority="295">
      <formula>C$9&lt;8/24</formula>
    </cfRule>
  </conditionalFormatting>
  <conditionalFormatting sqref="E49:S49">
    <cfRule type="expression" dxfId="8013" priority="288">
      <formula>E$9&gt;=20/24</formula>
    </cfRule>
    <cfRule type="expression" dxfId="8012" priority="289">
      <formula>AND(E$9&gt;=14/24,E$9&lt;20/24)</formula>
    </cfRule>
    <cfRule type="expression" dxfId="8011" priority="290">
      <formula>AND(E$9&gt;=8/24,E$9&lt;14/24)</formula>
    </cfRule>
    <cfRule type="expression" dxfId="8010" priority="291">
      <formula>E$9&lt;8/24</formula>
    </cfRule>
  </conditionalFormatting>
  <conditionalFormatting sqref="E49:S49">
    <cfRule type="expression" dxfId="8009" priority="287">
      <formula>E49&gt;$AG49</formula>
    </cfRule>
  </conditionalFormatting>
  <conditionalFormatting sqref="C101:D101">
    <cfRule type="expression" dxfId="8008" priority="283">
      <formula>C$9&gt;=20/24</formula>
    </cfRule>
    <cfRule type="expression" dxfId="8007" priority="284">
      <formula>AND(C$9&gt;=14/24,C$9&lt;20/24)</formula>
    </cfRule>
    <cfRule type="expression" dxfId="8006" priority="285">
      <formula>AND(C$9&gt;=8/24,C$9&lt;14/24)</formula>
    </cfRule>
    <cfRule type="expression" dxfId="8005" priority="286">
      <formula>C$9&lt;8/24</formula>
    </cfRule>
  </conditionalFormatting>
  <conditionalFormatting sqref="C88 C98:W98 C85:AF87 D102:D108 N79:N83 F69:Z71 E77:AD78 E76:AF76">
    <cfRule type="expression" dxfId="8004" priority="279">
      <formula>C$9&gt;=20/24</formula>
    </cfRule>
    <cfRule type="expression" dxfId="8003" priority="280">
      <formula>AND(C$9&gt;=14/24,C$9&lt;20/24)</formula>
    </cfRule>
    <cfRule type="expression" dxfId="8002" priority="281">
      <formula>AND(C$9&gt;=8/24,C$9&lt;14/24)</formula>
    </cfRule>
    <cfRule type="expression" dxfId="8001" priority="282">
      <formula>C$9&lt;8/24</formula>
    </cfRule>
  </conditionalFormatting>
  <conditionalFormatting sqref="E58:L59 F69:Z71">
    <cfRule type="expression" dxfId="8000" priority="278">
      <formula>E58&gt;$AG58</formula>
    </cfRule>
  </conditionalFormatting>
  <conditionalFormatting sqref="C89:AF89 C91:AF91 C100:AF100 C72:AF72">
    <cfRule type="expression" dxfId="7999" priority="274">
      <formula>C$9&gt;=20/24</formula>
    </cfRule>
    <cfRule type="expression" dxfId="7998" priority="275">
      <formula>AND(C$9&gt;=14/24,C$9&lt;20/24)</formula>
    </cfRule>
    <cfRule type="expression" dxfId="7997" priority="276">
      <formula>AND(C$9&gt;=8/24,C$9&lt;14/24)</formula>
    </cfRule>
    <cfRule type="expression" dxfId="7996" priority="277">
      <formula>C$9&lt;8/24</formula>
    </cfRule>
  </conditionalFormatting>
  <conditionalFormatting sqref="C72:AF72 D67:AF68">
    <cfRule type="expression" dxfId="7995" priority="273">
      <formula>C67&gt;$AG67</formula>
    </cfRule>
  </conditionalFormatting>
  <conditionalFormatting sqref="C84:AF84">
    <cfRule type="expression" dxfId="7994" priority="269">
      <formula>C$9&gt;=20/24</formula>
    </cfRule>
    <cfRule type="expression" dxfId="7993" priority="270">
      <formula>AND(C$9&gt;=14/24,C$9&lt;20/24)</formula>
    </cfRule>
    <cfRule type="expression" dxfId="7992" priority="271">
      <formula>AND(C$9&gt;=8/24,C$9&lt;14/24)</formula>
    </cfRule>
    <cfRule type="expression" dxfId="7991" priority="272">
      <formula>C$9&lt;8/24</formula>
    </cfRule>
  </conditionalFormatting>
  <conditionalFormatting sqref="C93:W97">
    <cfRule type="expression" dxfId="7990" priority="265">
      <formula>C$9&gt;=20/24</formula>
    </cfRule>
    <cfRule type="expression" dxfId="7989" priority="266">
      <formula>AND(C$9&gt;=14/24,C$9&lt;20/24)</formula>
    </cfRule>
    <cfRule type="expression" dxfId="7988" priority="267">
      <formula>AND(C$9&gt;=8/24,C$9&lt;14/24)</formula>
    </cfRule>
    <cfRule type="expression" dxfId="7987" priority="268">
      <formula>C$9&lt;8/24</formula>
    </cfRule>
  </conditionalFormatting>
  <conditionalFormatting sqref="D54:AF54">
    <cfRule type="expression" dxfId="7986" priority="261">
      <formula>D$9&gt;=20/24</formula>
    </cfRule>
    <cfRule type="expression" dxfId="7985" priority="262">
      <formula>AND(D$9&gt;=14/24,D$9&lt;20/24)</formula>
    </cfRule>
    <cfRule type="expression" dxfId="7984" priority="263">
      <formula>AND(D$9&gt;=8/24,D$9&lt;14/24)</formula>
    </cfRule>
    <cfRule type="expression" dxfId="7983" priority="264">
      <formula>D$9&lt;8/24</formula>
    </cfRule>
  </conditionalFormatting>
  <conditionalFormatting sqref="D54:AF54">
    <cfRule type="expression" dxfId="7982" priority="260">
      <formula>D54&gt;$AG54</formula>
    </cfRule>
  </conditionalFormatting>
  <conditionalFormatting sqref="C112">
    <cfRule type="expression" dxfId="7981" priority="252">
      <formula>C$9&gt;=20/24</formula>
    </cfRule>
    <cfRule type="expression" dxfId="7980" priority="253">
      <formula>AND(C$9&gt;=14/24,C$9&lt;20/24)</formula>
    </cfRule>
    <cfRule type="expression" dxfId="7979" priority="254">
      <formula>AND(C$9&gt;=8/24,C$9&lt;14/24)</formula>
    </cfRule>
    <cfRule type="expression" dxfId="7978" priority="255">
      <formula>C$9&lt;8/24</formula>
    </cfRule>
  </conditionalFormatting>
  <conditionalFormatting sqref="E79:M83 O79:AF83">
    <cfRule type="expression" dxfId="7977" priority="233">
      <formula>E$9&gt;=20/24</formula>
    </cfRule>
    <cfRule type="expression" dxfId="7976" priority="234">
      <formula>AND(E$9&gt;=14/24,E$9&lt;20/24)</formula>
    </cfRule>
    <cfRule type="expression" dxfId="7975" priority="235">
      <formula>AND(E$9&gt;=8/24,E$9&lt;14/24)</formula>
    </cfRule>
    <cfRule type="expression" dxfId="7974" priority="236">
      <formula>E$9&lt;8/24</formula>
    </cfRule>
  </conditionalFormatting>
  <conditionalFormatting sqref="AL80:AN80 AL86:AN86 AN81:AN82">
    <cfRule type="expression" dxfId="7973" priority="229">
      <formula>AL$9&gt;=20/24</formula>
    </cfRule>
    <cfRule type="expression" dxfId="7972" priority="230">
      <formula>AND(AL$9&gt;=14/24,AL$9&lt;20/24)</formula>
    </cfRule>
    <cfRule type="expression" dxfId="7971" priority="231">
      <formula>AND(AL$9&gt;=8/24,AL$9&lt;14/24)</formula>
    </cfRule>
    <cfRule type="expression" dxfId="7970" priority="232">
      <formula>AL$9&lt;8/24</formula>
    </cfRule>
  </conditionalFormatting>
  <conditionalFormatting sqref="AN83:AN84">
    <cfRule type="expression" dxfId="7969" priority="225">
      <formula>AN$9&gt;=20/24</formula>
    </cfRule>
    <cfRule type="expression" dxfId="7968" priority="226">
      <formula>AND(AN$9&gt;=14/24,AN$9&lt;20/24)</formula>
    </cfRule>
    <cfRule type="expression" dxfId="7967" priority="227">
      <formula>AND(AN$9&gt;=8/24,AN$9&lt;14/24)</formula>
    </cfRule>
    <cfRule type="expression" dxfId="7966" priority="228">
      <formula>AN$9&lt;8/24</formula>
    </cfRule>
  </conditionalFormatting>
  <conditionalFormatting sqref="AL81:AM85">
    <cfRule type="expression" dxfId="7965" priority="433">
      <formula>AJ$9&gt;=20/24</formula>
    </cfRule>
    <cfRule type="expression" dxfId="7964" priority="434">
      <formula>AND(AJ$9&gt;=14/24,AJ$9&lt;20/24)</formula>
    </cfRule>
    <cfRule type="expression" dxfId="7963" priority="435">
      <formula>AND(AJ$9&gt;=8/24,AJ$9&lt;14/24)</formula>
    </cfRule>
    <cfRule type="expression" dxfId="7962" priority="436">
      <formula>AJ$9&lt;8/24</formula>
    </cfRule>
  </conditionalFormatting>
  <conditionalFormatting sqref="A120">
    <cfRule type="expression" dxfId="7961" priority="224">
      <formula>$AH120=0</formula>
    </cfRule>
  </conditionalFormatting>
  <conditionalFormatting sqref="C102:C108">
    <cfRule type="expression" dxfId="7960" priority="211">
      <formula>C$9&gt;=20/24</formula>
    </cfRule>
    <cfRule type="expression" dxfId="7959" priority="212">
      <formula>AND(C$9&gt;=14/24,C$9&lt;20/24)</formula>
    </cfRule>
    <cfRule type="expression" dxfId="7958" priority="213">
      <formula>AND(C$9&gt;=8/24,C$9&lt;14/24)</formula>
    </cfRule>
    <cfRule type="expression" dxfId="7957" priority="214">
      <formula>C$9&lt;8/24</formula>
    </cfRule>
  </conditionalFormatting>
  <conditionalFormatting sqref="C90">
    <cfRule type="expression" dxfId="7956" priority="206">
      <formula>C$9&gt;=20/24</formula>
    </cfRule>
    <cfRule type="expression" dxfId="7955" priority="207">
      <formula>AND(C$9&gt;=14/24,C$9&lt;20/24)</formula>
    </cfRule>
    <cfRule type="expression" dxfId="7954" priority="208">
      <formula>AND(C$9&gt;=8/24,C$9&lt;14/24)</formula>
    </cfRule>
    <cfRule type="expression" dxfId="7953" priority="209">
      <formula>C$9&lt;8/24</formula>
    </cfRule>
  </conditionalFormatting>
  <conditionalFormatting sqref="E60:L60">
    <cfRule type="expression" dxfId="7952" priority="197">
      <formula>E$9&gt;=20/24</formula>
    </cfRule>
    <cfRule type="expression" dxfId="7951" priority="198">
      <formula>AND(E$9&gt;=14/24,E$9&lt;20/24)</formula>
    </cfRule>
    <cfRule type="expression" dxfId="7950" priority="199">
      <formula>AND(E$9&gt;=8/24,E$9&lt;14/24)</formula>
    </cfRule>
    <cfRule type="expression" dxfId="7949" priority="200">
      <formula>E$9&lt;8/24</formula>
    </cfRule>
  </conditionalFormatting>
  <conditionalFormatting sqref="E60:L60">
    <cfRule type="expression" dxfId="7948" priority="196">
      <formula>E60&gt;$AG60</formula>
    </cfRule>
  </conditionalFormatting>
  <conditionalFormatting sqref="B88 B98 B102:B108 B49:D49 B74:D76 B69:E71">
    <cfRule type="expression" dxfId="7947" priority="126">
      <formula>B$9&gt;=20/24</formula>
    </cfRule>
    <cfRule type="expression" dxfId="7946" priority="127">
      <formula>AND(B$9&gt;=14/24,B$9&lt;20/24)</formula>
    </cfRule>
    <cfRule type="expression" dxfId="7945" priority="128">
      <formula>AND(B$9&gt;=8/24,B$9&lt;14/24)</formula>
    </cfRule>
    <cfRule type="expression" dxfId="7944" priority="129">
      <formula>B$9&lt;8/24</formula>
    </cfRule>
  </conditionalFormatting>
  <conditionalFormatting sqref="B60:D60">
    <cfRule type="expression" dxfId="7943" priority="117">
      <formula>B$9&gt;=20/24</formula>
    </cfRule>
    <cfRule type="expression" dxfId="7942" priority="118">
      <formula>AND(B$9&gt;=14/24,B$9&lt;20/24)</formula>
    </cfRule>
    <cfRule type="expression" dxfId="7941" priority="119">
      <formula>AND(B$9&gt;=8/24,B$9&lt;14/24)</formula>
    </cfRule>
    <cfRule type="expression" dxfId="7940" priority="120">
      <formula>B$9&lt;8/24</formula>
    </cfRule>
  </conditionalFormatting>
  <conditionalFormatting sqref="E50:AF50">
    <cfRule type="expression" dxfId="7939" priority="191">
      <formula>E50&gt;$AG50</formula>
    </cfRule>
  </conditionalFormatting>
  <conditionalFormatting sqref="E61:G61 F64:F66 E62:F63 G62:G66 H61:M66 N63:AF66">
    <cfRule type="expression" dxfId="7938" priority="187">
      <formula>E$9&gt;=20/24</formula>
    </cfRule>
    <cfRule type="expression" dxfId="7937" priority="188">
      <formula>AND(E$9&gt;=14/24,E$9&lt;20/24)</formula>
    </cfRule>
    <cfRule type="expression" dxfId="7936" priority="189">
      <formula>AND(E$9&gt;=8/24,E$9&lt;14/24)</formula>
    </cfRule>
    <cfRule type="expression" dxfId="7935" priority="190">
      <formula>E$9&lt;8/24</formula>
    </cfRule>
  </conditionalFormatting>
  <conditionalFormatting sqref="E61:G61 F64:F66 E62:F63 G62:G66 H61:M66 N63:AF66">
    <cfRule type="expression" dxfId="7934" priority="186">
      <formula>E61&gt;$AG61</formula>
    </cfRule>
  </conditionalFormatting>
  <conditionalFormatting sqref="A11">
    <cfRule type="expression" dxfId="7933" priority="181">
      <formula>$AH11=0</formula>
    </cfRule>
  </conditionalFormatting>
  <conditionalFormatting sqref="A18">
    <cfRule type="expression" dxfId="7932" priority="174">
      <formula>$AH18=0</formula>
    </cfRule>
  </conditionalFormatting>
  <conditionalFormatting sqref="AL1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7931" priority="167">
      <formula>$AH35=0</formula>
    </cfRule>
  </conditionalFormatting>
  <conditionalFormatting sqref="AL3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46">
    <cfRule type="expression" dxfId="7930" priority="160">
      <formula>$AH46=0</formula>
    </cfRule>
  </conditionalFormatting>
  <conditionalFormatting sqref="AL4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B120">
    <cfRule type="expression" dxfId="7929" priority="27">
      <formula>B$9&gt;=20/24</formula>
    </cfRule>
    <cfRule type="expression" dxfId="7928" priority="28">
      <formula>AND(B$9&gt;=14/24,B$9&lt;20/24)</formula>
    </cfRule>
    <cfRule type="expression" dxfId="7927" priority="29">
      <formula>AND(B$9&gt;=8/24,B$9&lt;14/24)</formula>
    </cfRule>
    <cfRule type="expression" dxfId="7926" priority="30">
      <formula>B$9&lt;8/24</formula>
    </cfRule>
  </conditionalFormatting>
  <conditionalFormatting sqref="D120:AF120">
    <cfRule type="expression" dxfId="7925" priority="151">
      <formula>D$9&gt;=20/24</formula>
    </cfRule>
    <cfRule type="expression" dxfId="7924" priority="152">
      <formula>AND(D$9&gt;=14/24,D$9&lt;20/24)</formula>
    </cfRule>
    <cfRule type="expression" dxfId="7923" priority="153">
      <formula>AND(D$9&gt;=8/24,D$9&lt;14/24)</formula>
    </cfRule>
    <cfRule type="expression" dxfId="7922" priority="154">
      <formula>D$9&lt;8/24</formula>
    </cfRule>
  </conditionalFormatting>
  <conditionalFormatting sqref="C120">
    <cfRule type="expression" dxfId="7921" priority="147">
      <formula>C$9&gt;=20/24</formula>
    </cfRule>
    <cfRule type="expression" dxfId="7920" priority="148">
      <formula>AND(C$9&gt;=14/24,C$9&lt;20/24)</formula>
    </cfRule>
    <cfRule type="expression" dxfId="7919" priority="149">
      <formula>AND(C$9&gt;=8/24,C$9&lt;14/24)</formula>
    </cfRule>
    <cfRule type="expression" dxfId="7918" priority="150">
      <formula>C$9&lt;8/24</formula>
    </cfRule>
  </conditionalFormatting>
  <conditionalFormatting sqref="B111 B113:B119">
    <cfRule type="expression" dxfId="7917" priority="143">
      <formula>B$9&gt;=20/24</formula>
    </cfRule>
    <cfRule type="expression" dxfId="7916" priority="144">
      <formula>AND(B$9&gt;=14/24,B$9&lt;20/24)</formula>
    </cfRule>
    <cfRule type="expression" dxfId="7915" priority="145">
      <formula>AND(B$9&gt;=8/24,B$9&lt;14/24)</formula>
    </cfRule>
    <cfRule type="expression" dxfId="7914" priority="146">
      <formula>B$9&lt;8/24</formula>
    </cfRule>
  </conditionalFormatting>
  <conditionalFormatting sqref="B101">
    <cfRule type="expression" dxfId="7913" priority="139">
      <formula>B$9&gt;=20/24</formula>
    </cfRule>
    <cfRule type="expression" dxfId="7912" priority="140">
      <formula>AND(B$9&gt;=14/24,B$9&lt;20/24)</formula>
    </cfRule>
    <cfRule type="expression" dxfId="7911" priority="141">
      <formula>AND(B$9&gt;=8/24,B$9&lt;14/24)</formula>
    </cfRule>
    <cfRule type="expression" dxfId="7910" priority="142">
      <formula>B$9&lt;8/24</formula>
    </cfRule>
  </conditionalFormatting>
  <conditionalFormatting sqref="B56:D59 B73:D73">
    <cfRule type="expression" dxfId="7909" priority="135">
      <formula>B$9&gt;=20/24</formula>
    </cfRule>
    <cfRule type="expression" dxfId="7908" priority="136">
      <formula>AND(B$9&gt;=14/24,B$9&lt;20/24)</formula>
    </cfRule>
    <cfRule type="expression" dxfId="7907" priority="137">
      <formula>AND(B$9&gt;=8/24,B$9&lt;14/24)</formula>
    </cfRule>
    <cfRule type="expression" dxfId="7906" priority="138">
      <formula>B$9&lt;8/24</formula>
    </cfRule>
  </conditionalFormatting>
  <conditionalFormatting sqref="B55:D55">
    <cfRule type="expression" dxfId="7905" priority="131">
      <formula>B$9&gt;=20/24</formula>
    </cfRule>
    <cfRule type="expression" dxfId="7904" priority="132">
      <formula>AND(B$9&gt;=14/24,B$9&lt;20/24)</formula>
    </cfRule>
    <cfRule type="expression" dxfId="7903" priority="133">
      <formula>AND(B$9&gt;=8/24,B$9&lt;14/24)</formula>
    </cfRule>
    <cfRule type="expression" dxfId="7902" priority="134">
      <formula>B$9&lt;8/24</formula>
    </cfRule>
  </conditionalFormatting>
  <conditionalFormatting sqref="B55:D59">
    <cfRule type="expression" dxfId="7901" priority="130">
      <formula>B55&gt;$AG55</formula>
    </cfRule>
  </conditionalFormatting>
  <conditionalFormatting sqref="B49:D49 B69:E71">
    <cfRule type="expression" dxfId="7900" priority="125">
      <formula>B49&gt;$AG49</formula>
    </cfRule>
  </conditionalFormatting>
  <conditionalFormatting sqref="B99 B90">
    <cfRule type="expression" dxfId="7899" priority="121">
      <formula>B$9&gt;=20/24</formula>
    </cfRule>
    <cfRule type="expression" dxfId="7898" priority="122">
      <formula>AND(B$9&gt;=14/24,B$9&lt;20/24)</formula>
    </cfRule>
    <cfRule type="expression" dxfId="7897" priority="123">
      <formula>AND(B$9&gt;=8/24,B$9&lt;14/24)</formula>
    </cfRule>
    <cfRule type="expression" dxfId="7896" priority="124">
      <formula>B$9&lt;8/24</formula>
    </cfRule>
  </conditionalFormatting>
  <conditionalFormatting sqref="B60:D60">
    <cfRule type="expression" dxfId="7895" priority="116">
      <formula>B60&gt;$AG60</formula>
    </cfRule>
  </conditionalFormatting>
  <conditionalFormatting sqref="B93:B97">
    <cfRule type="expression" dxfId="7894" priority="112">
      <formula>B$9&gt;=20/24</formula>
    </cfRule>
    <cfRule type="expression" dxfId="7893" priority="113">
      <formula>AND(B$9&gt;=14/24,B$9&lt;20/24)</formula>
    </cfRule>
    <cfRule type="expression" dxfId="7892" priority="114">
      <formula>AND(B$9&gt;=8/24,B$9&lt;14/24)</formula>
    </cfRule>
    <cfRule type="expression" dxfId="7891" priority="115">
      <formula>B$9&lt;8/24</formula>
    </cfRule>
  </conditionalFormatting>
  <conditionalFormatting sqref="B51:E53">
    <cfRule type="expression" dxfId="7890" priority="108">
      <formula>B$9&gt;=20/24</formula>
    </cfRule>
    <cfRule type="expression" dxfId="7889" priority="109">
      <formula>AND(B$9&gt;=14/24,B$9&lt;20/24)</formula>
    </cfRule>
    <cfRule type="expression" dxfId="7888" priority="110">
      <formula>AND(B$9&gt;=8/24,B$9&lt;14/24)</formula>
    </cfRule>
    <cfRule type="expression" dxfId="7887" priority="111">
      <formula>B$9&lt;8/24</formula>
    </cfRule>
  </conditionalFormatting>
  <conditionalFormatting sqref="B51:E53">
    <cfRule type="expression" dxfId="7886" priority="107">
      <formula>B51&gt;$AG51</formula>
    </cfRule>
  </conditionalFormatting>
  <conditionalFormatting sqref="B109">
    <cfRule type="expression" dxfId="7885" priority="103">
      <formula>B$9&gt;=20/24</formula>
    </cfRule>
    <cfRule type="expression" dxfId="7884" priority="104">
      <formula>AND(B$9&gt;=14/24,B$9&lt;20/24)</formula>
    </cfRule>
    <cfRule type="expression" dxfId="7883" priority="105">
      <formula>AND(B$9&gt;=8/24,B$9&lt;14/24)</formula>
    </cfRule>
    <cfRule type="expression" dxfId="7882" priority="106">
      <formula>B$9&lt;8/24</formula>
    </cfRule>
  </conditionalFormatting>
  <conditionalFormatting sqref="B112">
    <cfRule type="expression" dxfId="7881" priority="99">
      <formula>B$9&gt;=20/24</formula>
    </cfRule>
    <cfRule type="expression" dxfId="7880" priority="100">
      <formula>AND(B$9&gt;=14/24,B$9&lt;20/24)</formula>
    </cfRule>
    <cfRule type="expression" dxfId="7879" priority="101">
      <formula>AND(B$9&gt;=8/24,B$9&lt;14/24)</formula>
    </cfRule>
    <cfRule type="expression" dxfId="7878" priority="102">
      <formula>B$9&lt;8/24</formula>
    </cfRule>
  </conditionalFormatting>
  <conditionalFormatting sqref="B19:AF34 B36:AF45">
    <cfRule type="expression" dxfId="7877" priority="95">
      <formula>B$9&gt;=20/24</formula>
    </cfRule>
    <cfRule type="expression" dxfId="7876" priority="96">
      <formula>AND(B$9&gt;=14/24,B$9&lt;20/24)</formula>
    </cfRule>
    <cfRule type="expression" dxfId="7875" priority="97">
      <formula>AND(B$9&gt;=8/24,B$9&lt;14/24)</formula>
    </cfRule>
    <cfRule type="expression" dxfId="7874" priority="98">
      <formula>B$9&lt;8/24</formula>
    </cfRule>
  </conditionalFormatting>
  <conditionalFormatting sqref="B19:AF34 B36:AF45">
    <cfRule type="expression" dxfId="7873" priority="94">
      <formula>B19&gt;$AG19</formula>
    </cfRule>
  </conditionalFormatting>
  <conditionalFormatting sqref="B85:B87 B77:D83">
    <cfRule type="expression" dxfId="7872" priority="90">
      <formula>B$9&gt;=20/24</formula>
    </cfRule>
    <cfRule type="expression" dxfId="7871" priority="91">
      <formula>AND(B$9&gt;=14/24,B$9&lt;20/24)</formula>
    </cfRule>
    <cfRule type="expression" dxfId="7870" priority="92">
      <formula>AND(B$9&gt;=8/24,B$9&lt;14/24)</formula>
    </cfRule>
    <cfRule type="expression" dxfId="7869" priority="93">
      <formula>B$9&lt;8/24</formula>
    </cfRule>
  </conditionalFormatting>
  <conditionalFormatting sqref="B89 B91 B100 B72">
    <cfRule type="expression" dxfId="7868" priority="86">
      <formula>B$9&gt;=20/24</formula>
    </cfRule>
    <cfRule type="expression" dxfId="7867" priority="87">
      <formula>AND(B$9&gt;=14/24,B$9&lt;20/24)</formula>
    </cfRule>
    <cfRule type="expression" dxfId="7866" priority="88">
      <formula>AND(B$9&gt;=8/24,B$9&lt;14/24)</formula>
    </cfRule>
    <cfRule type="expression" dxfId="7865" priority="89">
      <formula>B$9&lt;8/24</formula>
    </cfRule>
  </conditionalFormatting>
  <conditionalFormatting sqref="B72 B67:C68">
    <cfRule type="expression" dxfId="7864" priority="85">
      <formula>B67&gt;$AG67</formula>
    </cfRule>
  </conditionalFormatting>
  <conditionalFormatting sqref="B84">
    <cfRule type="expression" dxfId="7863" priority="81">
      <formula>B$9&gt;=20/24</formula>
    </cfRule>
    <cfRule type="expression" dxfId="7862" priority="82">
      <formula>AND(B$9&gt;=14/24,B$9&lt;20/24)</formula>
    </cfRule>
    <cfRule type="expression" dxfId="7861" priority="83">
      <formula>AND(B$9&gt;=8/24,B$9&lt;14/24)</formula>
    </cfRule>
    <cfRule type="expression" dxfId="7860" priority="84">
      <formula>B$9&lt;8/24</formula>
    </cfRule>
  </conditionalFormatting>
  <conditionalFormatting sqref="B54:C54">
    <cfRule type="expression" dxfId="7859" priority="77">
      <formula>B$9&gt;=20/24</formula>
    </cfRule>
    <cfRule type="expression" dxfId="7858" priority="78">
      <formula>AND(B$9&gt;=14/24,B$9&lt;20/24)</formula>
    </cfRule>
    <cfRule type="expression" dxfId="7857" priority="79">
      <formula>AND(B$9&gt;=8/24,B$9&lt;14/24)</formula>
    </cfRule>
    <cfRule type="expression" dxfId="7856" priority="80">
      <formula>B$9&lt;8/24</formula>
    </cfRule>
  </conditionalFormatting>
  <conditionalFormatting sqref="B54:C54">
    <cfRule type="expression" dxfId="7855" priority="76">
      <formula>B54&gt;$AG54</formula>
    </cfRule>
  </conditionalFormatting>
  <conditionalFormatting sqref="B61:D66 E64:E66">
    <cfRule type="expression" dxfId="7854" priority="68">
      <formula>B$9&gt;=20/24</formula>
    </cfRule>
    <cfRule type="expression" dxfId="7853" priority="69">
      <formula>AND(B$9&gt;=14/24,B$9&lt;20/24)</formula>
    </cfRule>
    <cfRule type="expression" dxfId="7852" priority="70">
      <formula>AND(B$9&gt;=8/24,B$9&lt;14/24)</formula>
    </cfRule>
    <cfRule type="expression" dxfId="7851" priority="71">
      <formula>B$9&lt;8/24</formula>
    </cfRule>
  </conditionalFormatting>
  <conditionalFormatting sqref="B61:D66 E64:E66">
    <cfRule type="expression" dxfId="7850" priority="67">
      <formula>B61&gt;$AG61</formula>
    </cfRule>
  </conditionalFormatting>
  <conditionalFormatting sqref="B47:AF47">
    <cfRule type="expression" dxfId="7849" priority="66">
      <formula>B47&gt;$AG47</formula>
    </cfRule>
  </conditionalFormatting>
  <conditionalFormatting sqref="B13:AF13">
    <cfRule type="expression" dxfId="7848" priority="62">
      <formula>B$9&gt;=20/24</formula>
    </cfRule>
    <cfRule type="expression" dxfId="7847" priority="63">
      <formula>AND(B$9&gt;=14/24,B$9&lt;20/24)</formula>
    </cfRule>
    <cfRule type="expression" dxfId="7846" priority="64">
      <formula>AND(B$9&gt;=8/24,B$9&lt;14/24)</formula>
    </cfRule>
    <cfRule type="expression" dxfId="7845" priority="65">
      <formula>B$9&lt;8/24</formula>
    </cfRule>
  </conditionalFormatting>
  <conditionalFormatting sqref="B13:AF13">
    <cfRule type="expression" dxfId="7844" priority="61">
      <formula>B13&gt;$AG13</formula>
    </cfRule>
  </conditionalFormatting>
  <conditionalFormatting sqref="B47:AF47">
    <cfRule type="expression" dxfId="7843" priority="57">
      <formula>B$9&gt;=20/24</formula>
    </cfRule>
    <cfRule type="expression" dxfId="7842" priority="58">
      <formula>AND(B$9&gt;=14/24,B$9&lt;20/24)</formula>
    </cfRule>
    <cfRule type="expression" dxfId="7841" priority="59">
      <formula>AND(B$9&gt;=8/24,B$9&lt;14/24)</formula>
    </cfRule>
    <cfRule type="expression" dxfId="7840" priority="60">
      <formula>B$9&lt;8/24</formula>
    </cfRule>
  </conditionalFormatting>
  <conditionalFormatting sqref="B48:AF48">
    <cfRule type="expression" dxfId="7839" priority="53">
      <formula>B$9&gt;=20/24</formula>
    </cfRule>
    <cfRule type="expression" dxfId="7838" priority="54">
      <formula>AND(B$9&gt;=14/24,B$9&lt;20/24)</formula>
    </cfRule>
    <cfRule type="expression" dxfId="7837" priority="55">
      <formula>AND(B$9&gt;=8/24,B$9&lt;14/24)</formula>
    </cfRule>
    <cfRule type="expression" dxfId="7836" priority="56">
      <formula>B$9&lt;8/24</formula>
    </cfRule>
  </conditionalFormatting>
  <conditionalFormatting sqref="B48:AF48">
    <cfRule type="expression" dxfId="7835" priority="52">
      <formula>B48&gt;$AG48</formula>
    </cfRule>
  </conditionalFormatting>
  <conditionalFormatting sqref="B50:D50">
    <cfRule type="expression" dxfId="7834" priority="51">
      <formula>B50&gt;$AG50</formula>
    </cfRule>
  </conditionalFormatting>
  <conditionalFormatting sqref="B11:AF11">
    <cfRule type="expression" dxfId="7833" priority="47">
      <formula>B$9&gt;=20/24</formula>
    </cfRule>
    <cfRule type="expression" dxfId="7832" priority="48">
      <formula>AND(B$9&gt;=14/24,B$9&lt;20/24)</formula>
    </cfRule>
    <cfRule type="expression" dxfId="7831" priority="49">
      <formula>AND(B$9&gt;=8/24,B$9&lt;14/24)</formula>
    </cfRule>
    <cfRule type="expression" dxfId="7830" priority="50">
      <formula>B$9&lt;8/24</formula>
    </cfRule>
  </conditionalFormatting>
  <conditionalFormatting sqref="B11:AF11">
    <cfRule type="expression" dxfId="7829" priority="46">
      <formula>B11&gt;$AG11</formula>
    </cfRule>
  </conditionalFormatting>
  <conditionalFormatting sqref="B18:AF18">
    <cfRule type="expression" dxfId="7828" priority="42">
      <formula>B$9&gt;=20/24</formula>
    </cfRule>
    <cfRule type="expression" dxfId="7827" priority="43">
      <formula>AND(B$9&gt;=14/24,B$9&lt;20/24)</formula>
    </cfRule>
    <cfRule type="expression" dxfId="7826" priority="44">
      <formula>AND(B$9&gt;=8/24,B$9&lt;14/24)</formula>
    </cfRule>
    <cfRule type="expression" dxfId="7825" priority="45">
      <formula>B$9&lt;8/24</formula>
    </cfRule>
  </conditionalFormatting>
  <conditionalFormatting sqref="B18:AF18">
    <cfRule type="expression" dxfId="7824" priority="41">
      <formula>B18&gt;$AG18</formula>
    </cfRule>
  </conditionalFormatting>
  <conditionalFormatting sqref="B35:AF35">
    <cfRule type="expression" dxfId="7823" priority="37">
      <formula>B$9&gt;=20/24</formula>
    </cfRule>
    <cfRule type="expression" dxfId="7822" priority="38">
      <formula>AND(B$9&gt;=14/24,B$9&lt;20/24)</formula>
    </cfRule>
    <cfRule type="expression" dxfId="7821" priority="39">
      <formula>AND(B$9&gt;=8/24,B$9&lt;14/24)</formula>
    </cfRule>
    <cfRule type="expression" dxfId="7820" priority="40">
      <formula>B$9&lt;8/24</formula>
    </cfRule>
  </conditionalFormatting>
  <conditionalFormatting sqref="B35:AF35">
    <cfRule type="expression" dxfId="7819" priority="36">
      <formula>B35&gt;$AG35</formula>
    </cfRule>
  </conditionalFormatting>
  <conditionalFormatting sqref="B46:AF46">
    <cfRule type="expression" dxfId="7818" priority="35">
      <formula>B46&gt;$AG46</formula>
    </cfRule>
  </conditionalFormatting>
  <conditionalFormatting sqref="B46:AF46">
    <cfRule type="expression" dxfId="7817" priority="31">
      <formula>B$9&gt;=20/24</formula>
    </cfRule>
    <cfRule type="expression" dxfId="7816" priority="32">
      <formula>AND(B$9&gt;=14/24,B$9&lt;20/24)</formula>
    </cfRule>
    <cfRule type="expression" dxfId="7815" priority="33">
      <formula>AND(B$9&gt;=8/24,B$9&lt;14/24)</formula>
    </cfRule>
    <cfRule type="expression" dxfId="7814" priority="34">
      <formula>B$9&lt;8/24</formula>
    </cfRule>
  </conditionalFormatting>
  <conditionalFormatting sqref="AF55:AF57">
    <cfRule type="expression" dxfId="7813" priority="23">
      <formula>AF$9&gt;=20/24</formula>
    </cfRule>
    <cfRule type="expression" dxfId="7812" priority="24">
      <formula>AND(AF$9&gt;=14/24,AF$9&lt;20/24)</formula>
    </cfRule>
    <cfRule type="expression" dxfId="7811" priority="25">
      <formula>AND(AF$9&gt;=8/24,AF$9&lt;14/24)</formula>
    </cfRule>
    <cfRule type="expression" dxfId="7810" priority="26">
      <formula>AF$9&lt;8/24</formula>
    </cfRule>
  </conditionalFormatting>
  <conditionalFormatting sqref="AF55:AF57">
    <cfRule type="expression" dxfId="7809" priority="22">
      <formula>AF55&gt;$AG55</formula>
    </cfRule>
  </conditionalFormatting>
  <conditionalFormatting sqref="AE73">
    <cfRule type="expression" dxfId="7808" priority="13">
      <formula>AE$9&gt;=20/24</formula>
    </cfRule>
    <cfRule type="expression" dxfId="7807" priority="14">
      <formula>AND(AE$9&gt;=14/24,AE$9&lt;20/24)</formula>
    </cfRule>
    <cfRule type="expression" dxfId="7806" priority="15">
      <formula>AND(AE$9&gt;=8/24,AE$9&lt;14/24)</formula>
    </cfRule>
    <cfRule type="expression" dxfId="7805" priority="16">
      <formula>AE$9&lt;8/24</formula>
    </cfRule>
  </conditionalFormatting>
  <conditionalFormatting sqref="AE74:AE75">
    <cfRule type="expression" dxfId="7804" priority="9">
      <formula>AE$9&gt;=20/24</formula>
    </cfRule>
    <cfRule type="expression" dxfId="7803" priority="10">
      <formula>AND(AE$9&gt;=14/24,AE$9&lt;20/24)</formula>
    </cfRule>
    <cfRule type="expression" dxfId="7802" priority="11">
      <formula>AND(AE$9&gt;=8/24,AE$9&lt;14/24)</formula>
    </cfRule>
    <cfRule type="expression" dxfId="7801" priority="12">
      <formula>AE$9&lt;8/24</formula>
    </cfRule>
  </conditionalFormatting>
  <conditionalFormatting sqref="AE77:AF78">
    <cfRule type="expression" dxfId="7800" priority="5">
      <formula>AE$9&gt;=20/24</formula>
    </cfRule>
    <cfRule type="expression" dxfId="7799" priority="6">
      <formula>AND(AE$9&gt;=14/24,AE$9&lt;20/24)</formula>
    </cfRule>
    <cfRule type="expression" dxfId="7798" priority="7">
      <formula>AND(AE$9&gt;=8/24,AE$9&lt;14/24)</formula>
    </cfRule>
    <cfRule type="expression" dxfId="7797" priority="8">
      <formula>AE$9&lt;8/24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6" id="{F0F74EC9-3188-4FC2-96E3-FD8D394627E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7" id="{7A5AE757-2612-406C-B8BA-E27FCB990D5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8" id="{DDA65A85-A360-4862-98AF-87FD43F8627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9" id="{47222797-F65C-4FD1-8624-A227DED5949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2" id="{BAB88B70-7D73-4B73-82D4-538167124F6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CAC3CE9C-2D7F-4944-A2A2-1B2C0066420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3762ED2B-56EA-42ED-AA62-CB86D8D1112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B3DB6831-6F9B-43DA-9E30-CFB1C03175E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CJ281"/>
  <sheetViews>
    <sheetView zoomScale="90" zoomScaleNormal="90" workbookViewId="0">
      <pane ySplit="10" topLeftCell="A65" activePane="bottomLeft" state="frozen"/>
      <selection activeCell="Z85" sqref="Z85"/>
      <selection pane="bottomLeft" activeCell="R57" sqref="R5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2080/02/16</v>
      </c>
      <c r="C4" s="191"/>
      <c r="D4" s="191"/>
      <c r="E4" s="192" t="str">
        <f ca="1">"2079/"&amp;"12/"&amp;INT(MID(CELL("filename",G6),FIND("]",CELL("filename",G6))+1,200))</f>
        <v>2079/12/16</v>
      </c>
      <c r="F4" s="192"/>
      <c r="G4" s="192"/>
      <c r="H4" s="192" t="str">
        <f ca="1">TEXT(E4,"dddd")</f>
        <v>Saturday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196</v>
      </c>
      <c r="C5" s="30">
        <f t="shared" si="0"/>
        <v>223</v>
      </c>
      <c r="D5" s="30">
        <f t="shared" si="0"/>
        <v>374</v>
      </c>
      <c r="E5" s="30">
        <f t="shared" si="0"/>
        <v>301</v>
      </c>
      <c r="F5" s="30">
        <f t="shared" si="0"/>
        <v>304</v>
      </c>
      <c r="G5" s="30">
        <f t="shared" si="0"/>
        <v>309</v>
      </c>
      <c r="H5" s="30">
        <f t="shared" si="0"/>
        <v>154</v>
      </c>
      <c r="I5" s="30">
        <f t="shared" si="0"/>
        <v>209</v>
      </c>
      <c r="J5" s="30">
        <f t="shared" si="0"/>
        <v>295</v>
      </c>
      <c r="K5" s="30">
        <f t="shared" si="0"/>
        <v>301</v>
      </c>
      <c r="L5" s="30">
        <f t="shared" si="0"/>
        <v>349</v>
      </c>
      <c r="M5" s="30">
        <f t="shared" si="0"/>
        <v>379.3</v>
      </c>
      <c r="N5" s="30">
        <f t="shared" si="0"/>
        <v>359</v>
      </c>
      <c r="O5" s="30">
        <f t="shared" si="0"/>
        <v>389</v>
      </c>
      <c r="P5" s="30">
        <f t="shared" si="0"/>
        <v>328.5</v>
      </c>
      <c r="Q5" s="30">
        <f t="shared" si="0"/>
        <v>346.6</v>
      </c>
      <c r="R5" s="30">
        <f t="shared" si="0"/>
        <v>341.7</v>
      </c>
      <c r="S5" s="30">
        <f t="shared" si="0"/>
        <v>311.5</v>
      </c>
      <c r="T5" s="30">
        <f t="shared" si="0"/>
        <v>291.01</v>
      </c>
      <c r="U5" s="30">
        <f t="shared" si="0"/>
        <v>402</v>
      </c>
      <c r="V5" s="30">
        <f t="shared" si="0"/>
        <v>226</v>
      </c>
      <c r="W5" s="30">
        <f t="shared" si="0"/>
        <v>220.9</v>
      </c>
      <c r="X5" s="30">
        <f t="shared" si="0"/>
        <v>196.5</v>
      </c>
      <c r="Y5" s="30">
        <f t="shared" si="0"/>
        <v>157.69999999999999</v>
      </c>
      <c r="Z5" s="30">
        <f t="shared" si="0"/>
        <v>154</v>
      </c>
      <c r="AA5" s="30">
        <f t="shared" si="0"/>
        <v>90.2</v>
      </c>
      <c r="AB5" s="30">
        <f t="shared" si="0"/>
        <v>79.699999999999989</v>
      </c>
      <c r="AC5" s="30">
        <f t="shared" si="0"/>
        <v>81.099999999999994</v>
      </c>
      <c r="AD5" s="30">
        <f t="shared" si="0"/>
        <v>86</v>
      </c>
      <c r="AE5" s="30">
        <f t="shared" si="0"/>
        <v>129.9</v>
      </c>
      <c r="AF5" s="30">
        <f>B84</f>
        <v>101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1633MW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Load=1454</v>
      </c>
      <c r="B7" s="35">
        <f t="shared" ref="B7:AF7" si="1">B91</f>
        <v>1550.7400000000002</v>
      </c>
      <c r="C7" s="35">
        <f t="shared" si="1"/>
        <v>1541.44</v>
      </c>
      <c r="D7" s="35">
        <f t="shared" si="1"/>
        <v>1508.44</v>
      </c>
      <c r="E7" s="35">
        <f t="shared" si="1"/>
        <v>1531.44</v>
      </c>
      <c r="F7" s="35">
        <f t="shared" si="1"/>
        <v>1472.44</v>
      </c>
      <c r="G7" s="35">
        <f t="shared" si="1"/>
        <v>1453.8400000000001</v>
      </c>
      <c r="H7" s="35">
        <f t="shared" si="1"/>
        <v>1553.44</v>
      </c>
      <c r="I7" s="35">
        <f t="shared" si="1"/>
        <v>1457.44</v>
      </c>
      <c r="J7" s="35">
        <f t="shared" si="1"/>
        <v>1551.04</v>
      </c>
      <c r="K7" s="35">
        <f t="shared" si="1"/>
        <v>1502.74</v>
      </c>
      <c r="L7" s="35">
        <f t="shared" si="1"/>
        <v>1550.44</v>
      </c>
      <c r="M7" s="35">
        <f t="shared" si="1"/>
        <v>1588.8400000000001</v>
      </c>
      <c r="N7" s="35">
        <f>N91</f>
        <v>1632.54</v>
      </c>
      <c r="O7" s="35">
        <f t="shared" si="1"/>
        <v>1696.3400000000001</v>
      </c>
      <c r="P7" s="35">
        <f t="shared" si="1"/>
        <v>1736.54</v>
      </c>
      <c r="Q7" s="35">
        <f t="shared" si="1"/>
        <v>1703.6399999999999</v>
      </c>
      <c r="R7" s="35">
        <f t="shared" si="1"/>
        <v>1740.54</v>
      </c>
      <c r="S7" s="35">
        <f t="shared" si="1"/>
        <v>1713.14</v>
      </c>
      <c r="T7" s="35">
        <f t="shared" si="1"/>
        <v>1711.94</v>
      </c>
      <c r="U7" s="35">
        <f t="shared" si="1"/>
        <v>1706.75</v>
      </c>
      <c r="V7" s="35">
        <f t="shared" si="1"/>
        <v>1661.64</v>
      </c>
      <c r="W7" s="35">
        <f t="shared" si="1"/>
        <v>1630.04</v>
      </c>
      <c r="X7" s="35">
        <f t="shared" si="1"/>
        <v>1647.94</v>
      </c>
      <c r="Y7" s="35">
        <f t="shared" si="1"/>
        <v>1697.54</v>
      </c>
      <c r="Z7" s="35">
        <f t="shared" si="1"/>
        <v>1767.0400000000002</v>
      </c>
      <c r="AA7" s="35">
        <f t="shared" si="1"/>
        <v>1895.3400000000001</v>
      </c>
      <c r="AB7" s="35">
        <f t="shared" si="1"/>
        <v>1829.64</v>
      </c>
      <c r="AC7" s="35">
        <f t="shared" si="1"/>
        <v>1822.0400000000002</v>
      </c>
      <c r="AD7" s="35">
        <f t="shared" si="1"/>
        <v>1807.04</v>
      </c>
      <c r="AE7" s="35">
        <f t="shared" si="1"/>
        <v>1812.54</v>
      </c>
      <c r="AF7" s="35">
        <f t="shared" si="1"/>
        <v>1686.5400000000002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</v>
      </c>
      <c r="C11" s="45">
        <v>30</v>
      </c>
      <c r="D11" s="45">
        <v>30</v>
      </c>
      <c r="E11" s="45">
        <v>30</v>
      </c>
      <c r="F11" s="45">
        <v>30</v>
      </c>
      <c r="G11" s="45">
        <v>30</v>
      </c>
      <c r="H11" s="45">
        <v>30</v>
      </c>
      <c r="I11" s="45">
        <v>30</v>
      </c>
      <c r="J11" s="45">
        <v>30</v>
      </c>
      <c r="K11" s="45">
        <v>30</v>
      </c>
      <c r="L11" s="45">
        <v>30</v>
      </c>
      <c r="M11" s="45">
        <v>30</v>
      </c>
      <c r="N11" s="45">
        <v>30</v>
      </c>
      <c r="O11" s="45">
        <v>32</v>
      </c>
      <c r="P11" s="45">
        <v>32</v>
      </c>
      <c r="Q11" s="45">
        <v>32</v>
      </c>
      <c r="R11" s="45">
        <v>32</v>
      </c>
      <c r="S11" s="45">
        <v>32</v>
      </c>
      <c r="T11" s="45">
        <v>32</v>
      </c>
      <c r="U11" s="45">
        <v>32</v>
      </c>
      <c r="V11" s="45">
        <v>32</v>
      </c>
      <c r="W11" s="45">
        <v>32</v>
      </c>
      <c r="X11" s="45">
        <v>32</v>
      </c>
      <c r="Y11" s="45">
        <v>32</v>
      </c>
      <c r="Z11" s="45">
        <v>32</v>
      </c>
      <c r="AA11" s="45">
        <v>32</v>
      </c>
      <c r="AB11" s="45">
        <v>29</v>
      </c>
      <c r="AC11" s="45">
        <v>28.5</v>
      </c>
      <c r="AD11" s="45">
        <v>28.5</v>
      </c>
      <c r="AE11" s="45">
        <v>28.5</v>
      </c>
      <c r="AF11" s="45">
        <v>28.5</v>
      </c>
      <c r="AG11" s="46">
        <v>86</v>
      </c>
      <c r="AH11" s="47">
        <f t="shared" ref="AH11:AH76" si="2">MAX(B11:AF11)</f>
        <v>32</v>
      </c>
      <c r="AI11" s="48">
        <f t="shared" ref="AI11:AI76" si="3">MIN(B11:AF11)</f>
        <v>28.5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25</v>
      </c>
      <c r="C12" s="45">
        <v>25</v>
      </c>
      <c r="D12" s="45">
        <v>25</v>
      </c>
      <c r="E12" s="45">
        <v>25</v>
      </c>
      <c r="F12" s="45">
        <v>25</v>
      </c>
      <c r="G12" s="45">
        <v>25</v>
      </c>
      <c r="H12" s="45">
        <v>25</v>
      </c>
      <c r="I12" s="45">
        <v>25</v>
      </c>
      <c r="J12" s="45">
        <v>25</v>
      </c>
      <c r="K12" s="45">
        <v>25</v>
      </c>
      <c r="L12" s="45">
        <v>25</v>
      </c>
      <c r="M12" s="45">
        <v>25</v>
      </c>
      <c r="N12" s="45">
        <v>25</v>
      </c>
      <c r="O12" s="45">
        <v>25</v>
      </c>
      <c r="P12" s="45">
        <v>25</v>
      </c>
      <c r="Q12" s="45">
        <v>25</v>
      </c>
      <c r="R12" s="45">
        <v>25</v>
      </c>
      <c r="S12" s="45">
        <v>25</v>
      </c>
      <c r="T12" s="45">
        <v>25</v>
      </c>
      <c r="U12" s="45">
        <v>25</v>
      </c>
      <c r="V12" s="45">
        <v>25</v>
      </c>
      <c r="W12" s="45">
        <v>25</v>
      </c>
      <c r="X12" s="45">
        <v>25</v>
      </c>
      <c r="Y12" s="45">
        <v>25</v>
      </c>
      <c r="Z12" s="45">
        <v>25</v>
      </c>
      <c r="AA12" s="45">
        <v>25</v>
      </c>
      <c r="AB12" s="45">
        <v>25</v>
      </c>
      <c r="AC12" s="45">
        <v>25</v>
      </c>
      <c r="AD12" s="45">
        <v>25</v>
      </c>
      <c r="AE12" s="45">
        <v>25</v>
      </c>
      <c r="AF12" s="45">
        <v>25</v>
      </c>
      <c r="AG12" s="50">
        <v>54</v>
      </c>
      <c r="AH12" s="47">
        <f t="shared" si="2"/>
        <v>25</v>
      </c>
      <c r="AI12" s="48">
        <f t="shared" si="3"/>
        <v>25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25.5</v>
      </c>
      <c r="C13" s="45">
        <v>25.5</v>
      </c>
      <c r="D13" s="45">
        <v>25.5</v>
      </c>
      <c r="E13" s="45">
        <v>25.5</v>
      </c>
      <c r="F13" s="45">
        <v>25.5</v>
      </c>
      <c r="G13" s="45">
        <v>25.5</v>
      </c>
      <c r="H13" s="45">
        <v>25.5</v>
      </c>
      <c r="I13" s="45">
        <v>25.5</v>
      </c>
      <c r="J13" s="45">
        <v>25.5</v>
      </c>
      <c r="K13" s="45">
        <v>25.5</v>
      </c>
      <c r="L13" s="45">
        <v>25.5</v>
      </c>
      <c r="M13" s="45">
        <v>23</v>
      </c>
      <c r="N13" s="45">
        <v>23</v>
      </c>
      <c r="O13" s="45">
        <v>23</v>
      </c>
      <c r="P13" s="45">
        <v>23</v>
      </c>
      <c r="Q13" s="45">
        <v>23</v>
      </c>
      <c r="R13" s="45">
        <v>23</v>
      </c>
      <c r="S13" s="45">
        <v>22</v>
      </c>
      <c r="T13" s="45">
        <v>22</v>
      </c>
      <c r="U13" s="45">
        <v>22</v>
      </c>
      <c r="V13" s="45">
        <v>22</v>
      </c>
      <c r="W13" s="45">
        <v>22</v>
      </c>
      <c r="X13" s="45">
        <v>22</v>
      </c>
      <c r="Y13" s="45">
        <v>22</v>
      </c>
      <c r="Z13" s="45">
        <v>22</v>
      </c>
      <c r="AA13" s="45">
        <v>22</v>
      </c>
      <c r="AB13" s="45">
        <v>22</v>
      </c>
      <c r="AC13" s="45">
        <v>22</v>
      </c>
      <c r="AD13" s="45">
        <v>22</v>
      </c>
      <c r="AE13" s="45">
        <v>19.899999999999999</v>
      </c>
      <c r="AF13" s="45">
        <v>20</v>
      </c>
      <c r="AG13" s="46">
        <v>52.4</v>
      </c>
      <c r="AH13" s="47">
        <f t="shared" si="2"/>
        <v>25.5</v>
      </c>
      <c r="AI13" s="48">
        <f t="shared" si="3"/>
        <v>19.899999999999999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50.2</v>
      </c>
      <c r="C14" s="58">
        <v>50.2</v>
      </c>
      <c r="D14" s="58">
        <v>50.2</v>
      </c>
      <c r="E14" s="58">
        <v>50.2</v>
      </c>
      <c r="F14" s="58">
        <v>50.2</v>
      </c>
      <c r="G14" s="58">
        <v>50.2</v>
      </c>
      <c r="H14" s="58">
        <v>50.2</v>
      </c>
      <c r="I14" s="58">
        <v>50.2</v>
      </c>
      <c r="J14" s="58">
        <v>50.2</v>
      </c>
      <c r="K14" s="58">
        <v>50.2</v>
      </c>
      <c r="L14" s="58">
        <v>50.2</v>
      </c>
      <c r="M14" s="58">
        <v>50.4</v>
      </c>
      <c r="N14" s="58">
        <v>50.4</v>
      </c>
      <c r="O14" s="58">
        <v>50.4</v>
      </c>
      <c r="P14" s="58">
        <v>50.4</v>
      </c>
      <c r="Q14" s="58">
        <v>50.4</v>
      </c>
      <c r="R14" s="58">
        <v>50.4</v>
      </c>
      <c r="S14" s="58">
        <v>50.4</v>
      </c>
      <c r="T14" s="58">
        <v>50.4</v>
      </c>
      <c r="U14" s="58">
        <v>50.4</v>
      </c>
      <c r="V14" s="58">
        <v>50.4</v>
      </c>
      <c r="W14" s="58">
        <v>50.4</v>
      </c>
      <c r="X14" s="58">
        <v>50.4</v>
      </c>
      <c r="Y14" s="58">
        <v>50.4</v>
      </c>
      <c r="Z14" s="58">
        <v>50.4</v>
      </c>
      <c r="AA14" s="45">
        <v>50.4</v>
      </c>
      <c r="AB14" s="45">
        <v>50.4</v>
      </c>
      <c r="AC14" s="45">
        <v>50.4</v>
      </c>
      <c r="AD14" s="45">
        <v>50.4</v>
      </c>
      <c r="AE14" s="45">
        <v>50.5</v>
      </c>
      <c r="AF14" s="45">
        <v>50.6</v>
      </c>
      <c r="AG14" s="50">
        <v>50</v>
      </c>
      <c r="AH14" s="47">
        <f t="shared" si="2"/>
        <v>50.6</v>
      </c>
      <c r="AI14" s="48">
        <f t="shared" si="3"/>
        <v>50.2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22.9</v>
      </c>
      <c r="C15" s="45">
        <v>22.9</v>
      </c>
      <c r="D15" s="45">
        <v>22.9</v>
      </c>
      <c r="E15" s="45">
        <v>22.9</v>
      </c>
      <c r="F15" s="45">
        <v>22.9</v>
      </c>
      <c r="G15" s="45">
        <v>22.9</v>
      </c>
      <c r="H15" s="45">
        <v>22.9</v>
      </c>
      <c r="I15" s="45">
        <v>22.9</v>
      </c>
      <c r="J15" s="45">
        <v>22.9</v>
      </c>
      <c r="K15" s="45">
        <v>22.9</v>
      </c>
      <c r="L15" s="45">
        <v>22.9</v>
      </c>
      <c r="M15" s="45">
        <v>26.7</v>
      </c>
      <c r="N15" s="45">
        <v>26.7</v>
      </c>
      <c r="O15" s="45">
        <v>26.7</v>
      </c>
      <c r="P15" s="45">
        <v>26.7</v>
      </c>
      <c r="Q15" s="45">
        <v>26.7</v>
      </c>
      <c r="R15" s="45">
        <v>26.7</v>
      </c>
      <c r="S15" s="45">
        <v>24.6</v>
      </c>
      <c r="T15" s="45">
        <v>24.6</v>
      </c>
      <c r="U15" s="45">
        <v>24.6</v>
      </c>
      <c r="V15" s="45">
        <v>24.6</v>
      </c>
      <c r="W15" s="45">
        <v>24.6</v>
      </c>
      <c r="X15" s="45">
        <v>24.6</v>
      </c>
      <c r="Y15" s="45">
        <v>24.6</v>
      </c>
      <c r="Z15" s="45">
        <v>24.6</v>
      </c>
      <c r="AA15" s="45">
        <v>24.6</v>
      </c>
      <c r="AB15" s="45">
        <v>24.6</v>
      </c>
      <c r="AC15" s="45">
        <v>24.6</v>
      </c>
      <c r="AD15" s="45">
        <v>24.6</v>
      </c>
      <c r="AE15" s="45">
        <v>36</v>
      </c>
      <c r="AF15" s="45">
        <v>37.700000000000003</v>
      </c>
      <c r="AG15" s="50">
        <v>45</v>
      </c>
      <c r="AH15" s="47">
        <f t="shared" si="2"/>
        <v>37.700000000000003</v>
      </c>
      <c r="AI15" s="48">
        <f t="shared" si="3"/>
        <v>22.9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27</v>
      </c>
      <c r="C16" s="45">
        <v>27</v>
      </c>
      <c r="D16" s="45">
        <v>27</v>
      </c>
      <c r="E16" s="45">
        <v>27</v>
      </c>
      <c r="F16" s="45">
        <v>27</v>
      </c>
      <c r="G16" s="45">
        <v>27</v>
      </c>
      <c r="H16" s="45">
        <v>27</v>
      </c>
      <c r="I16" s="45">
        <v>27</v>
      </c>
      <c r="J16" s="45">
        <v>27</v>
      </c>
      <c r="K16" s="45">
        <v>27</v>
      </c>
      <c r="L16" s="45">
        <v>27</v>
      </c>
      <c r="M16" s="45">
        <v>27</v>
      </c>
      <c r="N16" s="45">
        <v>27</v>
      </c>
      <c r="O16" s="45">
        <v>27</v>
      </c>
      <c r="P16" s="45">
        <v>27</v>
      </c>
      <c r="Q16" s="45">
        <v>27</v>
      </c>
      <c r="R16" s="45">
        <v>27</v>
      </c>
      <c r="S16" s="45">
        <v>27</v>
      </c>
      <c r="T16" s="45">
        <v>27</v>
      </c>
      <c r="U16" s="45">
        <v>27</v>
      </c>
      <c r="V16" s="45">
        <v>27</v>
      </c>
      <c r="W16" s="45">
        <v>27</v>
      </c>
      <c r="X16" s="45">
        <v>27</v>
      </c>
      <c r="Y16" s="45">
        <v>27</v>
      </c>
      <c r="Z16" s="45">
        <v>27</v>
      </c>
      <c r="AA16" s="45">
        <v>27</v>
      </c>
      <c r="AB16" s="45">
        <v>27</v>
      </c>
      <c r="AC16" s="45">
        <v>27</v>
      </c>
      <c r="AD16" s="45">
        <v>27</v>
      </c>
      <c r="AE16" s="45">
        <v>27</v>
      </c>
      <c r="AF16" s="45">
        <v>27</v>
      </c>
      <c r="AG16" s="50">
        <v>44</v>
      </c>
      <c r="AH16" s="47">
        <f>MAX(B16:AG16)</f>
        <v>44</v>
      </c>
      <c r="AI16" s="48">
        <f>MIN(B16:AG16)</f>
        <v>27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30</v>
      </c>
      <c r="C17" s="45">
        <v>30</v>
      </c>
      <c r="D17" s="45">
        <v>30</v>
      </c>
      <c r="E17" s="45">
        <v>30</v>
      </c>
      <c r="F17" s="45">
        <v>30</v>
      </c>
      <c r="G17" s="45">
        <v>30</v>
      </c>
      <c r="H17" s="45">
        <v>30</v>
      </c>
      <c r="I17" s="45">
        <v>30</v>
      </c>
      <c r="J17" s="45">
        <v>30</v>
      </c>
      <c r="K17" s="45">
        <v>30</v>
      </c>
      <c r="L17" s="45">
        <v>30</v>
      </c>
      <c r="M17" s="45">
        <v>23</v>
      </c>
      <c r="N17" s="45">
        <v>23</v>
      </c>
      <c r="O17" s="45">
        <v>23</v>
      </c>
      <c r="P17" s="45">
        <v>23</v>
      </c>
      <c r="Q17" s="45">
        <v>23</v>
      </c>
      <c r="R17" s="45">
        <v>23</v>
      </c>
      <c r="S17" s="45">
        <v>23</v>
      </c>
      <c r="T17" s="45">
        <v>23</v>
      </c>
      <c r="U17" s="45">
        <v>23</v>
      </c>
      <c r="V17" s="45">
        <v>23</v>
      </c>
      <c r="W17" s="45">
        <v>23</v>
      </c>
      <c r="X17" s="45">
        <v>23</v>
      </c>
      <c r="Y17" s="45">
        <v>27</v>
      </c>
      <c r="Z17" s="45">
        <v>27</v>
      </c>
      <c r="AA17" s="45">
        <v>27</v>
      </c>
      <c r="AB17" s="45">
        <v>27</v>
      </c>
      <c r="AC17" s="45">
        <v>29</v>
      </c>
      <c r="AD17" s="45">
        <v>29</v>
      </c>
      <c r="AE17" s="45">
        <v>30</v>
      </c>
      <c r="AF17" s="45">
        <v>30</v>
      </c>
      <c r="AG17" s="50">
        <v>42</v>
      </c>
      <c r="AH17" s="47">
        <f t="shared" si="2"/>
        <v>30</v>
      </c>
      <c r="AI17" s="48">
        <f t="shared" si="3"/>
        <v>23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19</v>
      </c>
      <c r="C19" s="45">
        <v>19</v>
      </c>
      <c r="D19" s="45">
        <v>19</v>
      </c>
      <c r="E19" s="45">
        <v>19</v>
      </c>
      <c r="F19" s="45">
        <v>19</v>
      </c>
      <c r="G19" s="45">
        <v>19</v>
      </c>
      <c r="H19" s="45">
        <v>19</v>
      </c>
      <c r="I19" s="45">
        <v>19</v>
      </c>
      <c r="J19" s="45">
        <v>19</v>
      </c>
      <c r="K19" s="45">
        <v>19</v>
      </c>
      <c r="L19" s="45">
        <v>19</v>
      </c>
      <c r="M19" s="45">
        <v>19</v>
      </c>
      <c r="N19" s="45">
        <v>19</v>
      </c>
      <c r="O19" s="45">
        <v>19</v>
      </c>
      <c r="P19" s="45">
        <v>19</v>
      </c>
      <c r="Q19" s="45">
        <v>19</v>
      </c>
      <c r="R19" s="45">
        <v>19</v>
      </c>
      <c r="S19" s="45">
        <v>19</v>
      </c>
      <c r="T19" s="45">
        <v>19</v>
      </c>
      <c r="U19" s="45">
        <v>19</v>
      </c>
      <c r="V19" s="45">
        <v>19</v>
      </c>
      <c r="W19" s="45">
        <v>19</v>
      </c>
      <c r="X19" s="45">
        <v>19</v>
      </c>
      <c r="Y19" s="45">
        <v>19</v>
      </c>
      <c r="Z19" s="45">
        <v>19</v>
      </c>
      <c r="AA19" s="45">
        <v>19</v>
      </c>
      <c r="AB19" s="45">
        <v>19</v>
      </c>
      <c r="AC19" s="45">
        <v>19</v>
      </c>
      <c r="AD19" s="45">
        <v>19</v>
      </c>
      <c r="AE19" s="45">
        <v>19</v>
      </c>
      <c r="AF19" s="45">
        <v>19</v>
      </c>
      <c r="AG19" s="50">
        <v>36</v>
      </c>
      <c r="AH19" s="47">
        <f t="shared" si="2"/>
        <v>19</v>
      </c>
      <c r="AI19" s="48">
        <f t="shared" si="3"/>
        <v>19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13.6</v>
      </c>
      <c r="C20" s="45">
        <v>13.6</v>
      </c>
      <c r="D20" s="45">
        <v>13.6</v>
      </c>
      <c r="E20" s="45">
        <v>13.6</v>
      </c>
      <c r="F20" s="45">
        <v>13.6</v>
      </c>
      <c r="G20" s="45">
        <v>13.6</v>
      </c>
      <c r="H20" s="45">
        <v>13.6</v>
      </c>
      <c r="I20" s="45">
        <v>13.6</v>
      </c>
      <c r="J20" s="45">
        <v>13.6</v>
      </c>
      <c r="K20" s="45">
        <v>13.6</v>
      </c>
      <c r="L20" s="45">
        <v>13.6</v>
      </c>
      <c r="M20" s="45">
        <v>15.4</v>
      </c>
      <c r="N20" s="45">
        <v>15.4</v>
      </c>
      <c r="O20" s="45">
        <v>15.4</v>
      </c>
      <c r="P20" s="45">
        <v>15.4</v>
      </c>
      <c r="Q20" s="45">
        <v>15.4</v>
      </c>
      <c r="R20" s="45">
        <v>15.4</v>
      </c>
      <c r="S20" s="45">
        <v>14</v>
      </c>
      <c r="T20" s="45">
        <v>14</v>
      </c>
      <c r="U20" s="45">
        <v>14</v>
      </c>
      <c r="V20" s="45">
        <v>14</v>
      </c>
      <c r="W20" s="45">
        <v>14</v>
      </c>
      <c r="X20" s="45">
        <v>14</v>
      </c>
      <c r="Y20" s="45">
        <v>14</v>
      </c>
      <c r="Z20" s="45">
        <v>22</v>
      </c>
      <c r="AA20" s="45">
        <v>22</v>
      </c>
      <c r="AB20" s="45">
        <v>22</v>
      </c>
      <c r="AC20" s="45">
        <v>22</v>
      </c>
      <c r="AD20" s="45">
        <v>22</v>
      </c>
      <c r="AE20" s="45">
        <v>21</v>
      </c>
      <c r="AF20" s="45">
        <v>19.5</v>
      </c>
      <c r="AG20" s="51">
        <v>30</v>
      </c>
      <c r="AH20" s="47">
        <f t="shared" si="2"/>
        <v>22</v>
      </c>
      <c r="AI20" s="48">
        <f t="shared" si="3"/>
        <v>13.6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 t="s">
        <v>290</v>
      </c>
      <c r="C21" s="45" t="s">
        <v>291</v>
      </c>
      <c r="D21" s="45" t="s">
        <v>292</v>
      </c>
      <c r="E21" s="45" t="s">
        <v>293</v>
      </c>
      <c r="F21" s="45" t="s">
        <v>294</v>
      </c>
      <c r="G21" s="45" t="s">
        <v>295</v>
      </c>
      <c r="H21" s="45" t="s">
        <v>296</v>
      </c>
      <c r="I21" s="45" t="s">
        <v>297</v>
      </c>
      <c r="J21" s="45" t="s">
        <v>298</v>
      </c>
      <c r="K21" s="45" t="s">
        <v>299</v>
      </c>
      <c r="L21" s="45" t="s">
        <v>300</v>
      </c>
      <c r="M21" s="45">
        <v>12.5</v>
      </c>
      <c r="N21" s="45">
        <v>12.5</v>
      </c>
      <c r="O21" s="45">
        <v>12.5</v>
      </c>
      <c r="P21" s="45">
        <v>12.5</v>
      </c>
      <c r="Q21" s="45">
        <v>12.5</v>
      </c>
      <c r="R21" s="45">
        <v>12.5</v>
      </c>
      <c r="S21" s="45">
        <v>11.5</v>
      </c>
      <c r="T21" s="45">
        <v>11.5</v>
      </c>
      <c r="U21" s="45">
        <v>11.5</v>
      </c>
      <c r="V21" s="45">
        <v>11.5</v>
      </c>
      <c r="W21" s="45">
        <v>11.5</v>
      </c>
      <c r="X21" s="45">
        <v>11.5</v>
      </c>
      <c r="Y21" s="45">
        <v>11.5</v>
      </c>
      <c r="Z21" s="45">
        <v>11.5</v>
      </c>
      <c r="AA21" s="45">
        <v>11.5</v>
      </c>
      <c r="AB21" s="45">
        <v>11.5</v>
      </c>
      <c r="AC21" s="45">
        <v>11.5</v>
      </c>
      <c r="AD21" s="45">
        <v>11.5</v>
      </c>
      <c r="AE21" s="45">
        <v>11.8</v>
      </c>
      <c r="AF21" s="45">
        <v>13.2</v>
      </c>
      <c r="AG21" s="50">
        <v>24.2</v>
      </c>
      <c r="AH21" s="47">
        <f t="shared" si="2"/>
        <v>13.2</v>
      </c>
      <c r="AI21" s="48">
        <f t="shared" si="3"/>
        <v>11.5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0">
        <v>28</v>
      </c>
      <c r="AH22" s="47">
        <f t="shared" si="2"/>
        <v>12</v>
      </c>
      <c r="AI22" s="48">
        <f t="shared" si="3"/>
        <v>12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30</v>
      </c>
      <c r="AH23" s="47">
        <f t="shared" si="2"/>
        <v>15</v>
      </c>
      <c r="AI23" s="48">
        <f t="shared" si="3"/>
        <v>15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13.3</v>
      </c>
      <c r="C24" s="45">
        <v>13.3</v>
      </c>
      <c r="D24" s="45">
        <v>13.3</v>
      </c>
      <c r="E24" s="45">
        <v>13.3</v>
      </c>
      <c r="F24" s="45">
        <v>13.3</v>
      </c>
      <c r="G24" s="45">
        <v>13.3</v>
      </c>
      <c r="H24" s="45">
        <v>13.3</v>
      </c>
      <c r="I24" s="45">
        <v>13.3</v>
      </c>
      <c r="J24" s="45">
        <v>13.3</v>
      </c>
      <c r="K24" s="45">
        <v>13.3</v>
      </c>
      <c r="L24" s="45">
        <v>13.3</v>
      </c>
      <c r="M24" s="45">
        <v>13.3</v>
      </c>
      <c r="N24" s="45">
        <v>13.3</v>
      </c>
      <c r="O24" s="45">
        <v>13.3</v>
      </c>
      <c r="P24" s="45">
        <v>13.3</v>
      </c>
      <c r="Q24" s="45">
        <v>13.3</v>
      </c>
      <c r="R24" s="45">
        <v>13.3</v>
      </c>
      <c r="S24" s="45">
        <v>13.3</v>
      </c>
      <c r="T24" s="45">
        <v>13.3</v>
      </c>
      <c r="U24" s="45">
        <v>13.3</v>
      </c>
      <c r="V24" s="45">
        <v>13.3</v>
      </c>
      <c r="W24" s="45">
        <v>13.3</v>
      </c>
      <c r="X24" s="45">
        <v>13.3</v>
      </c>
      <c r="Y24" s="45">
        <v>13.3</v>
      </c>
      <c r="Z24" s="45">
        <v>13.3</v>
      </c>
      <c r="AA24" s="45">
        <v>13.3</v>
      </c>
      <c r="AB24" s="45">
        <v>13.3</v>
      </c>
      <c r="AC24" s="45">
        <v>13.3</v>
      </c>
      <c r="AD24" s="45">
        <v>13.3</v>
      </c>
      <c r="AE24" s="45">
        <v>15.3</v>
      </c>
      <c r="AF24" s="45">
        <v>20.8</v>
      </c>
      <c r="AG24" s="50">
        <v>25</v>
      </c>
      <c r="AH24" s="47">
        <f t="shared" si="2"/>
        <v>20.8</v>
      </c>
      <c r="AI24" s="48">
        <f t="shared" si="3"/>
        <v>13.3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13</v>
      </c>
      <c r="C25" s="45">
        <v>13</v>
      </c>
      <c r="D25" s="45">
        <v>13</v>
      </c>
      <c r="E25" s="45">
        <v>13</v>
      </c>
      <c r="F25" s="45">
        <v>13</v>
      </c>
      <c r="G25" s="45">
        <v>13</v>
      </c>
      <c r="H25" s="45">
        <v>13</v>
      </c>
      <c r="I25" s="45">
        <v>13</v>
      </c>
      <c r="J25" s="45">
        <v>13</v>
      </c>
      <c r="K25" s="45">
        <v>13</v>
      </c>
      <c r="L25" s="45">
        <v>13</v>
      </c>
      <c r="M25" s="45">
        <v>13</v>
      </c>
      <c r="N25" s="45">
        <v>13</v>
      </c>
      <c r="O25" s="45">
        <v>13</v>
      </c>
      <c r="P25" s="45">
        <v>13</v>
      </c>
      <c r="Q25" s="45">
        <v>13</v>
      </c>
      <c r="R25" s="45">
        <v>13</v>
      </c>
      <c r="S25" s="45">
        <v>13</v>
      </c>
      <c r="T25" s="45">
        <v>13</v>
      </c>
      <c r="U25" s="45">
        <v>13</v>
      </c>
      <c r="V25" s="45">
        <v>13</v>
      </c>
      <c r="W25" s="45">
        <v>13</v>
      </c>
      <c r="X25" s="45">
        <v>13</v>
      </c>
      <c r="Y25" s="45">
        <v>13</v>
      </c>
      <c r="Z25" s="45">
        <v>13</v>
      </c>
      <c r="AA25" s="45">
        <v>13</v>
      </c>
      <c r="AB25" s="45">
        <v>13</v>
      </c>
      <c r="AC25" s="45">
        <v>13</v>
      </c>
      <c r="AD25" s="45">
        <v>13</v>
      </c>
      <c r="AE25" s="45">
        <v>13</v>
      </c>
      <c r="AF25" s="45">
        <v>13</v>
      </c>
      <c r="AG25" s="50">
        <v>25</v>
      </c>
      <c r="AH25" s="47">
        <f t="shared" si="2"/>
        <v>13</v>
      </c>
      <c r="AI25" s="48">
        <f t="shared" si="3"/>
        <v>13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9</v>
      </c>
      <c r="C26" s="45">
        <v>9</v>
      </c>
      <c r="D26" s="45">
        <v>9</v>
      </c>
      <c r="E26" s="45">
        <v>9</v>
      </c>
      <c r="F26" s="45">
        <v>9</v>
      </c>
      <c r="G26" s="45">
        <v>9</v>
      </c>
      <c r="H26" s="45">
        <v>9</v>
      </c>
      <c r="I26" s="45">
        <v>9</v>
      </c>
      <c r="J26" s="45">
        <v>9</v>
      </c>
      <c r="K26" s="45">
        <v>9</v>
      </c>
      <c r="L26" s="45">
        <v>9</v>
      </c>
      <c r="M26" s="45">
        <v>9</v>
      </c>
      <c r="N26" s="45">
        <v>9</v>
      </c>
      <c r="O26" s="45">
        <v>9</v>
      </c>
      <c r="P26" s="45">
        <v>9</v>
      </c>
      <c r="Q26" s="45">
        <v>9</v>
      </c>
      <c r="R26" s="45">
        <v>9</v>
      </c>
      <c r="S26" s="45">
        <v>9</v>
      </c>
      <c r="T26" s="45">
        <v>9</v>
      </c>
      <c r="U26" s="45">
        <v>9</v>
      </c>
      <c r="V26" s="45">
        <v>9</v>
      </c>
      <c r="W26" s="45">
        <v>9</v>
      </c>
      <c r="X26" s="45">
        <v>9</v>
      </c>
      <c r="Y26" s="45">
        <v>9</v>
      </c>
      <c r="Z26" s="45">
        <v>9</v>
      </c>
      <c r="AA26" s="45">
        <v>9</v>
      </c>
      <c r="AB26" s="45">
        <v>9</v>
      </c>
      <c r="AC26" s="45">
        <v>9</v>
      </c>
      <c r="AD26" s="45">
        <v>9</v>
      </c>
      <c r="AE26" s="45">
        <v>9</v>
      </c>
      <c r="AF26" s="45">
        <v>9</v>
      </c>
      <c r="AG26" s="50">
        <v>25</v>
      </c>
      <c r="AH26" s="47">
        <f t="shared" si="2"/>
        <v>9</v>
      </c>
      <c r="AI26" s="48">
        <f t="shared" si="3"/>
        <v>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13</v>
      </c>
      <c r="C27" s="45">
        <v>13</v>
      </c>
      <c r="D27" s="45">
        <v>13</v>
      </c>
      <c r="E27" s="45">
        <v>13</v>
      </c>
      <c r="F27" s="45">
        <v>13</v>
      </c>
      <c r="G27" s="45">
        <v>13</v>
      </c>
      <c r="H27" s="45">
        <v>13</v>
      </c>
      <c r="I27" s="45">
        <v>13</v>
      </c>
      <c r="J27" s="45">
        <v>13</v>
      </c>
      <c r="K27" s="45">
        <v>13</v>
      </c>
      <c r="L27" s="45">
        <v>13</v>
      </c>
      <c r="M27" s="45">
        <v>13</v>
      </c>
      <c r="N27" s="45">
        <v>13</v>
      </c>
      <c r="O27" s="45">
        <v>13</v>
      </c>
      <c r="P27" s="45">
        <v>13</v>
      </c>
      <c r="Q27" s="45">
        <v>13</v>
      </c>
      <c r="R27" s="45">
        <v>13</v>
      </c>
      <c r="S27" s="45">
        <v>13</v>
      </c>
      <c r="T27" s="45">
        <v>13</v>
      </c>
      <c r="U27" s="45">
        <v>13</v>
      </c>
      <c r="V27" s="45">
        <v>13</v>
      </c>
      <c r="W27" s="45">
        <v>13</v>
      </c>
      <c r="X27" s="45">
        <v>13</v>
      </c>
      <c r="Y27" s="45">
        <v>13</v>
      </c>
      <c r="Z27" s="45">
        <v>13</v>
      </c>
      <c r="AA27" s="45">
        <v>13</v>
      </c>
      <c r="AB27" s="45">
        <v>13</v>
      </c>
      <c r="AC27" s="45">
        <v>13</v>
      </c>
      <c r="AD27" s="45">
        <v>13</v>
      </c>
      <c r="AE27" s="45">
        <v>13</v>
      </c>
      <c r="AF27" s="45">
        <v>13</v>
      </c>
      <c r="AG27" s="50">
        <v>25</v>
      </c>
      <c r="AH27" s="47">
        <f t="shared" si="2"/>
        <v>13</v>
      </c>
      <c r="AI27" s="48">
        <f t="shared" si="3"/>
        <v>13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9.8000000000000007</v>
      </c>
      <c r="C28" s="45">
        <v>9.8000000000000007</v>
      </c>
      <c r="D28" s="45">
        <v>9.8000000000000007</v>
      </c>
      <c r="E28" s="45">
        <v>9.8000000000000007</v>
      </c>
      <c r="F28" s="45">
        <v>9.8000000000000007</v>
      </c>
      <c r="G28" s="45">
        <v>9.8000000000000007</v>
      </c>
      <c r="H28" s="45">
        <v>9.8000000000000007</v>
      </c>
      <c r="I28" s="45">
        <v>9.8000000000000007</v>
      </c>
      <c r="J28" s="45">
        <v>9.8000000000000007</v>
      </c>
      <c r="K28" s="45">
        <v>9.8000000000000007</v>
      </c>
      <c r="L28" s="45">
        <v>9.8000000000000007</v>
      </c>
      <c r="M28" s="45">
        <v>9.8000000000000007</v>
      </c>
      <c r="N28" s="45">
        <v>9.8000000000000007</v>
      </c>
      <c r="O28" s="45">
        <v>9.8000000000000007</v>
      </c>
      <c r="P28" s="45">
        <v>9.8000000000000007</v>
      </c>
      <c r="Q28" s="45">
        <v>9.8000000000000007</v>
      </c>
      <c r="R28" s="45">
        <v>9.8000000000000007</v>
      </c>
      <c r="S28" s="45">
        <v>8.1</v>
      </c>
      <c r="T28" s="45">
        <v>8.1</v>
      </c>
      <c r="U28" s="45">
        <v>8.1</v>
      </c>
      <c r="V28" s="45">
        <v>8.1</v>
      </c>
      <c r="W28" s="45">
        <v>8.1</v>
      </c>
      <c r="X28" s="45">
        <v>8.1</v>
      </c>
      <c r="Y28" s="45">
        <v>8.1</v>
      </c>
      <c r="Z28" s="45">
        <v>8.1</v>
      </c>
      <c r="AA28" s="45">
        <v>8.1</v>
      </c>
      <c r="AB28" s="45">
        <v>8.1</v>
      </c>
      <c r="AC28" s="45">
        <v>8.1</v>
      </c>
      <c r="AD28" s="45">
        <v>8.1</v>
      </c>
      <c r="AE28" s="45">
        <v>8.4</v>
      </c>
      <c r="AF28" s="45">
        <v>8.4</v>
      </c>
      <c r="AG28" s="50">
        <v>23.5</v>
      </c>
      <c r="AH28" s="47">
        <f t="shared" si="2"/>
        <v>9.8000000000000007</v>
      </c>
      <c r="AI28" s="48">
        <f t="shared" si="3"/>
        <v>8.1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3</v>
      </c>
      <c r="AB29" s="45">
        <v>3</v>
      </c>
      <c r="AC29" s="45">
        <v>3</v>
      </c>
      <c r="AD29" s="45">
        <v>3</v>
      </c>
      <c r="AE29" s="45">
        <v>3</v>
      </c>
      <c r="AF29" s="45">
        <v>3</v>
      </c>
      <c r="AG29" s="50">
        <v>22.2</v>
      </c>
      <c r="AH29" s="47">
        <f t="shared" si="2"/>
        <v>3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3.6</v>
      </c>
      <c r="C30" s="45">
        <v>3.6</v>
      </c>
      <c r="D30" s="45">
        <v>3.6</v>
      </c>
      <c r="E30" s="45">
        <v>3.6</v>
      </c>
      <c r="F30" s="45">
        <v>3.6</v>
      </c>
      <c r="G30" s="45">
        <v>3.6</v>
      </c>
      <c r="H30" s="45">
        <v>3.6</v>
      </c>
      <c r="I30" s="45">
        <v>3.6</v>
      </c>
      <c r="J30" s="45">
        <v>3.6</v>
      </c>
      <c r="K30" s="45">
        <v>3.6</v>
      </c>
      <c r="L30" s="45">
        <v>3.6</v>
      </c>
      <c r="M30" s="45">
        <v>3.6</v>
      </c>
      <c r="N30" s="45">
        <v>3.6</v>
      </c>
      <c r="O30" s="45">
        <v>3.6</v>
      </c>
      <c r="P30" s="45">
        <v>3.6</v>
      </c>
      <c r="Q30" s="45">
        <v>3.6</v>
      </c>
      <c r="R30" s="45">
        <v>3.6</v>
      </c>
      <c r="S30" s="45">
        <v>3.6</v>
      </c>
      <c r="T30" s="45">
        <v>3.6</v>
      </c>
      <c r="U30" s="45">
        <v>3.6</v>
      </c>
      <c r="V30" s="45">
        <v>3.6</v>
      </c>
      <c r="W30" s="45">
        <v>3.6</v>
      </c>
      <c r="X30" s="45">
        <v>3.6</v>
      </c>
      <c r="Y30" s="45">
        <v>3.6</v>
      </c>
      <c r="Z30" s="45">
        <v>3.6</v>
      </c>
      <c r="AA30" s="45">
        <v>3.6</v>
      </c>
      <c r="AB30" s="45">
        <v>3.6</v>
      </c>
      <c r="AC30" s="45">
        <v>3.6</v>
      </c>
      <c r="AD30" s="45">
        <v>3.6</v>
      </c>
      <c r="AE30" s="45">
        <v>3.6</v>
      </c>
      <c r="AF30" s="45">
        <v>3.6</v>
      </c>
      <c r="AG30" s="50">
        <v>22.1</v>
      </c>
      <c r="AH30" s="47">
        <f t="shared" si="2"/>
        <v>3.6</v>
      </c>
      <c r="AI30" s="48">
        <f t="shared" si="3"/>
        <v>3.6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6</v>
      </c>
      <c r="C31" s="45">
        <v>6</v>
      </c>
      <c r="D31" s="45">
        <v>6</v>
      </c>
      <c r="E31" s="45">
        <v>6</v>
      </c>
      <c r="F31" s="45">
        <v>6</v>
      </c>
      <c r="G31" s="45">
        <v>6</v>
      </c>
      <c r="H31" s="45">
        <v>6</v>
      </c>
      <c r="I31" s="45">
        <v>6</v>
      </c>
      <c r="J31" s="45">
        <v>6</v>
      </c>
      <c r="K31" s="45">
        <v>6</v>
      </c>
      <c r="L31" s="45">
        <v>6</v>
      </c>
      <c r="M31" s="45">
        <v>6</v>
      </c>
      <c r="N31" s="45">
        <v>6</v>
      </c>
      <c r="O31" s="45">
        <v>6</v>
      </c>
      <c r="P31" s="45">
        <v>6</v>
      </c>
      <c r="Q31" s="45">
        <v>6</v>
      </c>
      <c r="R31" s="45">
        <v>6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50">
        <v>22</v>
      </c>
      <c r="AH31" s="47">
        <f t="shared" si="2"/>
        <v>6</v>
      </c>
      <c r="AI31" s="48">
        <f t="shared" si="3"/>
        <v>3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9</v>
      </c>
      <c r="C32" s="45">
        <v>9</v>
      </c>
      <c r="D32" s="45">
        <v>9</v>
      </c>
      <c r="E32" s="45">
        <v>9</v>
      </c>
      <c r="F32" s="45">
        <v>9</v>
      </c>
      <c r="G32" s="45">
        <v>9</v>
      </c>
      <c r="H32" s="45">
        <v>9</v>
      </c>
      <c r="I32" s="45">
        <v>9</v>
      </c>
      <c r="J32" s="45">
        <v>9</v>
      </c>
      <c r="K32" s="45">
        <v>9</v>
      </c>
      <c r="L32" s="45">
        <v>9</v>
      </c>
      <c r="M32" s="45">
        <v>9.5</v>
      </c>
      <c r="N32" s="45">
        <v>9.5</v>
      </c>
      <c r="O32" s="45">
        <v>9.5</v>
      </c>
      <c r="P32" s="45">
        <v>9.5</v>
      </c>
      <c r="Q32" s="45">
        <v>9.5</v>
      </c>
      <c r="R32" s="45">
        <v>9.5</v>
      </c>
      <c r="S32" s="45">
        <v>6.1</v>
      </c>
      <c r="T32" s="45">
        <v>6.1</v>
      </c>
      <c r="U32" s="45">
        <v>6.1</v>
      </c>
      <c r="V32" s="45">
        <v>6.1</v>
      </c>
      <c r="W32" s="45">
        <v>6.1</v>
      </c>
      <c r="X32" s="45">
        <v>6.1</v>
      </c>
      <c r="Y32" s="45">
        <v>6.1</v>
      </c>
      <c r="Z32" s="45">
        <v>6.1</v>
      </c>
      <c r="AA32" s="45">
        <v>6.1</v>
      </c>
      <c r="AB32" s="45">
        <v>6.1</v>
      </c>
      <c r="AC32" s="45">
        <v>6.1</v>
      </c>
      <c r="AD32" s="45">
        <v>6.1</v>
      </c>
      <c r="AE32" s="45">
        <v>10</v>
      </c>
      <c r="AF32" s="45">
        <v>10</v>
      </c>
      <c r="AG32" s="50">
        <v>22</v>
      </c>
      <c r="AH32" s="47">
        <f t="shared" si="2"/>
        <v>10</v>
      </c>
      <c r="AI32" s="48">
        <f t="shared" si="3"/>
        <v>6.1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9</v>
      </c>
      <c r="C33" s="45">
        <v>9</v>
      </c>
      <c r="D33" s="45">
        <v>9</v>
      </c>
      <c r="E33" s="45">
        <v>9</v>
      </c>
      <c r="F33" s="45">
        <v>9</v>
      </c>
      <c r="G33" s="45">
        <v>9</v>
      </c>
      <c r="H33" s="45">
        <v>9</v>
      </c>
      <c r="I33" s="45">
        <v>9</v>
      </c>
      <c r="J33" s="45">
        <v>9</v>
      </c>
      <c r="K33" s="45">
        <v>9</v>
      </c>
      <c r="L33" s="45">
        <v>9</v>
      </c>
      <c r="M33" s="45">
        <v>9</v>
      </c>
      <c r="N33" s="45">
        <v>9</v>
      </c>
      <c r="O33" s="45">
        <v>9</v>
      </c>
      <c r="P33" s="45">
        <v>9</v>
      </c>
      <c r="Q33" s="45">
        <v>9</v>
      </c>
      <c r="R33" s="45">
        <v>9</v>
      </c>
      <c r="S33" s="45">
        <v>9</v>
      </c>
      <c r="T33" s="45">
        <v>9</v>
      </c>
      <c r="U33" s="45">
        <v>9</v>
      </c>
      <c r="V33" s="45">
        <v>9</v>
      </c>
      <c r="W33" s="45">
        <v>9</v>
      </c>
      <c r="X33" s="45">
        <v>9</v>
      </c>
      <c r="Y33" s="45">
        <v>9</v>
      </c>
      <c r="Z33" s="45">
        <v>9</v>
      </c>
      <c r="AA33" s="45">
        <v>9</v>
      </c>
      <c r="AB33" s="45">
        <v>9</v>
      </c>
      <c r="AC33" s="45">
        <v>9</v>
      </c>
      <c r="AD33" s="45">
        <v>9</v>
      </c>
      <c r="AE33" s="45">
        <v>9</v>
      </c>
      <c r="AF33" s="45">
        <v>9</v>
      </c>
      <c r="AG33" s="50">
        <v>20</v>
      </c>
      <c r="AH33" s="47">
        <f t="shared" si="2"/>
        <v>9</v>
      </c>
      <c r="AI33" s="48">
        <f t="shared" si="3"/>
        <v>9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50">
        <v>18</v>
      </c>
      <c r="AH34" s="47">
        <f t="shared" si="2"/>
        <v>8</v>
      </c>
      <c r="AI34" s="48">
        <f t="shared" si="3"/>
        <v>8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</v>
      </c>
      <c r="C35" s="45">
        <v>6</v>
      </c>
      <c r="D35" s="45">
        <v>6</v>
      </c>
      <c r="E35" s="45">
        <v>6</v>
      </c>
      <c r="F35" s="45">
        <v>6</v>
      </c>
      <c r="G35" s="45">
        <v>6</v>
      </c>
      <c r="H35" s="45">
        <v>6</v>
      </c>
      <c r="I35" s="45">
        <v>6</v>
      </c>
      <c r="J35" s="45">
        <v>6</v>
      </c>
      <c r="K35" s="45">
        <v>6</v>
      </c>
      <c r="L35" s="45">
        <v>6</v>
      </c>
      <c r="M35" s="45">
        <v>6</v>
      </c>
      <c r="N35" s="45">
        <v>6</v>
      </c>
      <c r="O35" s="45">
        <v>6</v>
      </c>
      <c r="P35" s="45">
        <v>6</v>
      </c>
      <c r="Q35" s="45">
        <v>6</v>
      </c>
      <c r="R35" s="45">
        <v>6</v>
      </c>
      <c r="S35" s="45">
        <v>6</v>
      </c>
      <c r="T35" s="45">
        <v>6</v>
      </c>
      <c r="U35" s="45">
        <v>6</v>
      </c>
      <c r="V35" s="45">
        <v>6</v>
      </c>
      <c r="W35" s="45">
        <v>6</v>
      </c>
      <c r="X35" s="45">
        <v>6</v>
      </c>
      <c r="Y35" s="45">
        <v>6</v>
      </c>
      <c r="Z35" s="45">
        <v>6</v>
      </c>
      <c r="AA35" s="45">
        <v>6</v>
      </c>
      <c r="AB35" s="45">
        <v>6</v>
      </c>
      <c r="AC35" s="45">
        <v>6</v>
      </c>
      <c r="AD35" s="45">
        <v>6</v>
      </c>
      <c r="AE35" s="45">
        <v>6</v>
      </c>
      <c r="AF35" s="45">
        <v>6</v>
      </c>
      <c r="AG35" s="50">
        <v>14.9</v>
      </c>
      <c r="AH35" s="47">
        <f t="shared" si="2"/>
        <v>6</v>
      </c>
      <c r="AI35" s="48">
        <f t="shared" si="3"/>
        <v>6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6.2</v>
      </c>
      <c r="C36" s="45">
        <v>6.2</v>
      </c>
      <c r="D36" s="45">
        <v>6.2</v>
      </c>
      <c r="E36" s="45">
        <v>6.2</v>
      </c>
      <c r="F36" s="45">
        <v>6.2</v>
      </c>
      <c r="G36" s="45">
        <v>6.2</v>
      </c>
      <c r="H36" s="45">
        <v>6.2</v>
      </c>
      <c r="I36" s="45">
        <v>6.2</v>
      </c>
      <c r="J36" s="45">
        <v>6.2</v>
      </c>
      <c r="K36" s="45">
        <v>6.2</v>
      </c>
      <c r="L36" s="45">
        <v>6.2</v>
      </c>
      <c r="M36" s="45">
        <v>6.2</v>
      </c>
      <c r="N36" s="45">
        <v>6.2</v>
      </c>
      <c r="O36" s="45">
        <v>6.2</v>
      </c>
      <c r="P36" s="45">
        <v>6.2</v>
      </c>
      <c r="Q36" s="45">
        <v>6.2</v>
      </c>
      <c r="R36" s="45">
        <v>6.2</v>
      </c>
      <c r="S36" s="45">
        <v>6.2</v>
      </c>
      <c r="T36" s="45">
        <v>6.2</v>
      </c>
      <c r="U36" s="45">
        <v>6.2</v>
      </c>
      <c r="V36" s="45">
        <v>6.2</v>
      </c>
      <c r="W36" s="45">
        <v>6.2</v>
      </c>
      <c r="X36" s="45">
        <v>6.2</v>
      </c>
      <c r="Y36" s="45">
        <v>6.2</v>
      </c>
      <c r="Z36" s="45">
        <v>6.2</v>
      </c>
      <c r="AA36" s="45">
        <v>6.2</v>
      </c>
      <c r="AB36" s="45">
        <v>6.2</v>
      </c>
      <c r="AC36" s="45">
        <v>6.2</v>
      </c>
      <c r="AD36" s="45">
        <v>6.2</v>
      </c>
      <c r="AE36" s="45">
        <v>6.2</v>
      </c>
      <c r="AF36" s="45">
        <v>6.2</v>
      </c>
      <c r="AG36" s="50">
        <v>14.9</v>
      </c>
      <c r="AH36" s="47">
        <f t="shared" si="2"/>
        <v>6.2</v>
      </c>
      <c r="AI36" s="48">
        <f t="shared" si="3"/>
        <v>6.2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7</v>
      </c>
      <c r="AB37" s="45">
        <v>7</v>
      </c>
      <c r="AC37" s="45">
        <v>7</v>
      </c>
      <c r="AD37" s="45">
        <v>7</v>
      </c>
      <c r="AE37" s="45">
        <v>7</v>
      </c>
      <c r="AF37" s="45">
        <v>7</v>
      </c>
      <c r="AG37" s="50">
        <v>13.6</v>
      </c>
      <c r="AH37" s="47">
        <f t="shared" si="2"/>
        <v>7</v>
      </c>
      <c r="AI37" s="48">
        <f t="shared" si="3"/>
        <v>7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3</v>
      </c>
      <c r="C38" s="45">
        <v>3</v>
      </c>
      <c r="D38" s="45">
        <v>3</v>
      </c>
      <c r="E38" s="45">
        <v>3</v>
      </c>
      <c r="F38" s="45">
        <v>3</v>
      </c>
      <c r="G38" s="45">
        <v>3</v>
      </c>
      <c r="H38" s="45">
        <v>3</v>
      </c>
      <c r="I38" s="45">
        <v>3</v>
      </c>
      <c r="J38" s="45">
        <v>3</v>
      </c>
      <c r="K38" s="45">
        <v>3</v>
      </c>
      <c r="L38" s="45">
        <v>3</v>
      </c>
      <c r="M38" s="45">
        <v>3</v>
      </c>
      <c r="N38" s="45">
        <v>3</v>
      </c>
      <c r="O38" s="45">
        <v>3</v>
      </c>
      <c r="P38" s="45">
        <v>3</v>
      </c>
      <c r="Q38" s="45">
        <v>3</v>
      </c>
      <c r="R38" s="45">
        <v>3</v>
      </c>
      <c r="S38" s="45">
        <v>3</v>
      </c>
      <c r="T38" s="45">
        <v>3</v>
      </c>
      <c r="U38" s="45">
        <v>3</v>
      </c>
      <c r="V38" s="45">
        <v>3</v>
      </c>
      <c r="W38" s="45">
        <v>3</v>
      </c>
      <c r="X38" s="45">
        <v>3</v>
      </c>
      <c r="Y38" s="45">
        <v>3</v>
      </c>
      <c r="Z38" s="45">
        <v>3</v>
      </c>
      <c r="AA38" s="45">
        <v>3</v>
      </c>
      <c r="AB38" s="45">
        <v>3</v>
      </c>
      <c r="AC38" s="45">
        <v>3</v>
      </c>
      <c r="AD38" s="45">
        <v>3</v>
      </c>
      <c r="AE38" s="45">
        <v>3</v>
      </c>
      <c r="AF38" s="45">
        <v>3</v>
      </c>
      <c r="AG38" s="50">
        <v>13</v>
      </c>
      <c r="AH38" s="47">
        <f t="shared" si="2"/>
        <v>3</v>
      </c>
      <c r="AI38" s="48">
        <f t="shared" si="3"/>
        <v>3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8</v>
      </c>
      <c r="C39" s="45">
        <v>8</v>
      </c>
      <c r="D39" s="45">
        <v>8</v>
      </c>
      <c r="E39" s="45">
        <v>8</v>
      </c>
      <c r="F39" s="45">
        <v>8</v>
      </c>
      <c r="G39" s="45">
        <v>8</v>
      </c>
      <c r="H39" s="45">
        <v>8</v>
      </c>
      <c r="I39" s="45">
        <v>8</v>
      </c>
      <c r="J39" s="45">
        <v>8</v>
      </c>
      <c r="K39" s="45">
        <v>8</v>
      </c>
      <c r="L39" s="45">
        <v>8</v>
      </c>
      <c r="M39" s="45">
        <v>8</v>
      </c>
      <c r="N39" s="45">
        <v>8</v>
      </c>
      <c r="O39" s="45">
        <v>8</v>
      </c>
      <c r="P39" s="45">
        <v>8</v>
      </c>
      <c r="Q39" s="45">
        <v>8</v>
      </c>
      <c r="R39" s="45">
        <v>8</v>
      </c>
      <c r="S39" s="45">
        <v>8</v>
      </c>
      <c r="T39" s="45">
        <v>8</v>
      </c>
      <c r="U39" s="45">
        <v>8</v>
      </c>
      <c r="V39" s="45">
        <v>8</v>
      </c>
      <c r="W39" s="45">
        <v>8</v>
      </c>
      <c r="X39" s="45">
        <v>8</v>
      </c>
      <c r="Y39" s="45">
        <v>8</v>
      </c>
      <c r="Z39" s="45">
        <v>8</v>
      </c>
      <c r="AA39" s="45">
        <v>8</v>
      </c>
      <c r="AB39" s="45">
        <v>8</v>
      </c>
      <c r="AC39" s="45">
        <v>8</v>
      </c>
      <c r="AD39" s="45">
        <v>8</v>
      </c>
      <c r="AE39" s="45">
        <v>8</v>
      </c>
      <c r="AF39" s="45">
        <v>8</v>
      </c>
      <c r="AG39" s="50">
        <v>12</v>
      </c>
      <c r="AH39" s="47">
        <f t="shared" si="2"/>
        <v>8</v>
      </c>
      <c r="AI39" s="48">
        <f t="shared" si="3"/>
        <v>8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0">
        <v>12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11</v>
      </c>
      <c r="C41" s="45">
        <v>11</v>
      </c>
      <c r="D41" s="45">
        <v>11</v>
      </c>
      <c r="E41" s="45">
        <v>11</v>
      </c>
      <c r="F41" s="45">
        <v>11</v>
      </c>
      <c r="G41" s="45">
        <v>11</v>
      </c>
      <c r="H41" s="45">
        <v>11</v>
      </c>
      <c r="I41" s="45">
        <v>11</v>
      </c>
      <c r="J41" s="45">
        <v>11</v>
      </c>
      <c r="K41" s="45">
        <v>11</v>
      </c>
      <c r="L41" s="45">
        <v>11</v>
      </c>
      <c r="M41" s="45">
        <v>11</v>
      </c>
      <c r="N41" s="45">
        <v>11</v>
      </c>
      <c r="O41" s="45">
        <v>11</v>
      </c>
      <c r="P41" s="45">
        <v>11</v>
      </c>
      <c r="Q41" s="45">
        <v>11</v>
      </c>
      <c r="R41" s="45">
        <v>11</v>
      </c>
      <c r="S41" s="45">
        <v>11</v>
      </c>
      <c r="T41" s="45">
        <v>11</v>
      </c>
      <c r="U41" s="45">
        <v>11</v>
      </c>
      <c r="V41" s="45">
        <v>11</v>
      </c>
      <c r="W41" s="45">
        <v>11</v>
      </c>
      <c r="X41" s="45">
        <v>11</v>
      </c>
      <c r="Y41" s="45">
        <v>11</v>
      </c>
      <c r="Z41" s="45">
        <v>11</v>
      </c>
      <c r="AA41" s="45">
        <v>11</v>
      </c>
      <c r="AB41" s="45">
        <v>11</v>
      </c>
      <c r="AC41" s="45">
        <v>11</v>
      </c>
      <c r="AD41" s="45">
        <v>11</v>
      </c>
      <c r="AE41" s="45">
        <v>11</v>
      </c>
      <c r="AF41" s="45">
        <v>11</v>
      </c>
      <c r="AG41" s="50">
        <v>12</v>
      </c>
      <c r="AH41" s="47">
        <f t="shared" si="2"/>
        <v>11</v>
      </c>
      <c r="AI41" s="48">
        <f t="shared" si="3"/>
        <v>11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7</v>
      </c>
      <c r="C42" s="45">
        <v>7</v>
      </c>
      <c r="D42" s="45">
        <v>7</v>
      </c>
      <c r="E42" s="45">
        <v>7</v>
      </c>
      <c r="F42" s="45">
        <v>7</v>
      </c>
      <c r="G42" s="45">
        <v>7</v>
      </c>
      <c r="H42" s="45">
        <v>7</v>
      </c>
      <c r="I42" s="45">
        <v>7</v>
      </c>
      <c r="J42" s="45">
        <v>7</v>
      </c>
      <c r="K42" s="45">
        <v>7</v>
      </c>
      <c r="L42" s="45">
        <v>7</v>
      </c>
      <c r="M42" s="45">
        <v>7</v>
      </c>
      <c r="N42" s="45">
        <v>7</v>
      </c>
      <c r="O42" s="45">
        <v>7</v>
      </c>
      <c r="P42" s="45">
        <v>7</v>
      </c>
      <c r="Q42" s="45">
        <v>7</v>
      </c>
      <c r="R42" s="45">
        <v>7</v>
      </c>
      <c r="S42" s="45">
        <v>7</v>
      </c>
      <c r="T42" s="45">
        <v>7</v>
      </c>
      <c r="U42" s="45">
        <v>7</v>
      </c>
      <c r="V42" s="45">
        <v>7</v>
      </c>
      <c r="W42" s="45">
        <v>7</v>
      </c>
      <c r="X42" s="45">
        <v>7</v>
      </c>
      <c r="Y42" s="45">
        <v>7</v>
      </c>
      <c r="Z42" s="45">
        <v>7</v>
      </c>
      <c r="AA42" s="45">
        <v>7</v>
      </c>
      <c r="AB42" s="45">
        <v>7</v>
      </c>
      <c r="AC42" s="45">
        <v>7</v>
      </c>
      <c r="AD42" s="45">
        <v>7</v>
      </c>
      <c r="AE42" s="45">
        <v>7</v>
      </c>
      <c r="AF42" s="45">
        <v>7</v>
      </c>
      <c r="AG42" s="52">
        <v>22</v>
      </c>
      <c r="AH42" s="47">
        <f t="shared" si="2"/>
        <v>7</v>
      </c>
      <c r="AI42" s="48">
        <f t="shared" si="3"/>
        <v>7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3.6</v>
      </c>
      <c r="C43" s="45">
        <v>3.6</v>
      </c>
      <c r="D43" s="45">
        <v>3.6</v>
      </c>
      <c r="E43" s="45">
        <v>3.6</v>
      </c>
      <c r="F43" s="45">
        <v>3.6</v>
      </c>
      <c r="G43" s="45">
        <v>3.6</v>
      </c>
      <c r="H43" s="45">
        <v>3.6</v>
      </c>
      <c r="I43" s="45">
        <v>3.6</v>
      </c>
      <c r="J43" s="45">
        <v>3.6</v>
      </c>
      <c r="K43" s="45">
        <v>3.6</v>
      </c>
      <c r="L43" s="45">
        <v>3.6</v>
      </c>
      <c r="M43" s="45">
        <v>3.6</v>
      </c>
      <c r="N43" s="45">
        <v>3.6</v>
      </c>
      <c r="O43" s="45">
        <v>3.6</v>
      </c>
      <c r="P43" s="45">
        <v>3.6</v>
      </c>
      <c r="Q43" s="45">
        <v>3.6</v>
      </c>
      <c r="R43" s="45">
        <v>3.6</v>
      </c>
      <c r="S43" s="45">
        <v>3.6</v>
      </c>
      <c r="T43" s="45">
        <v>3.6</v>
      </c>
      <c r="U43" s="45">
        <v>3.6</v>
      </c>
      <c r="V43" s="45">
        <v>3.6</v>
      </c>
      <c r="W43" s="45">
        <v>3.6</v>
      </c>
      <c r="X43" s="45">
        <v>3.6</v>
      </c>
      <c r="Y43" s="45">
        <v>3.6</v>
      </c>
      <c r="Z43" s="45">
        <v>3.6</v>
      </c>
      <c r="AA43" s="45">
        <v>3.6</v>
      </c>
      <c r="AB43" s="45">
        <v>3.6</v>
      </c>
      <c r="AC43" s="45">
        <v>3.6</v>
      </c>
      <c r="AD43" s="45">
        <v>3.6</v>
      </c>
      <c r="AE43" s="45">
        <v>3.6</v>
      </c>
      <c r="AF43" s="45">
        <v>3.6</v>
      </c>
      <c r="AG43" s="51">
        <v>11.88</v>
      </c>
      <c r="AH43" s="47">
        <f t="shared" si="2"/>
        <v>3.6</v>
      </c>
      <c r="AI43" s="48">
        <f t="shared" si="3"/>
        <v>3.6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5</v>
      </c>
      <c r="AB44" s="45">
        <v>5</v>
      </c>
      <c r="AC44" s="45">
        <v>5</v>
      </c>
      <c r="AD44" s="45">
        <v>5</v>
      </c>
      <c r="AE44" s="45">
        <v>5</v>
      </c>
      <c r="AF44" s="45">
        <v>5</v>
      </c>
      <c r="AG44" s="54">
        <v>11</v>
      </c>
      <c r="AH44" s="47">
        <f t="shared" si="2"/>
        <v>5</v>
      </c>
      <c r="AI44" s="48">
        <f t="shared" si="3"/>
        <v>5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233</v>
      </c>
      <c r="C48" s="56">
        <v>233</v>
      </c>
      <c r="D48" s="56">
        <v>233</v>
      </c>
      <c r="E48" s="56">
        <v>233</v>
      </c>
      <c r="F48" s="56">
        <v>233</v>
      </c>
      <c r="G48" s="56">
        <v>233</v>
      </c>
      <c r="H48" s="56">
        <v>233</v>
      </c>
      <c r="I48" s="56">
        <v>233</v>
      </c>
      <c r="J48" s="56">
        <v>233</v>
      </c>
      <c r="K48" s="56">
        <v>233</v>
      </c>
      <c r="L48" s="56">
        <v>233</v>
      </c>
      <c r="M48" s="56">
        <v>233</v>
      </c>
      <c r="N48" s="56">
        <v>233</v>
      </c>
      <c r="O48" s="56">
        <v>233</v>
      </c>
      <c r="P48" s="56">
        <v>233</v>
      </c>
      <c r="Q48" s="56">
        <v>233</v>
      </c>
      <c r="R48" s="56">
        <v>233</v>
      </c>
      <c r="S48" s="56">
        <v>233</v>
      </c>
      <c r="T48" s="56">
        <v>233</v>
      </c>
      <c r="U48" s="56">
        <v>233</v>
      </c>
      <c r="V48" s="56">
        <v>233</v>
      </c>
      <c r="W48" s="56">
        <v>233</v>
      </c>
      <c r="X48" s="56">
        <v>233</v>
      </c>
      <c r="Y48" s="56">
        <v>233</v>
      </c>
      <c r="Z48" s="56">
        <v>233</v>
      </c>
      <c r="AA48" s="56">
        <v>233</v>
      </c>
      <c r="AB48" s="56">
        <v>233</v>
      </c>
      <c r="AC48" s="56">
        <v>233</v>
      </c>
      <c r="AD48" s="56">
        <v>233</v>
      </c>
      <c r="AE48" s="56">
        <v>233</v>
      </c>
      <c r="AF48" s="56">
        <v>233</v>
      </c>
      <c r="AG48" s="54">
        <v>85</v>
      </c>
      <c r="AH48" s="47">
        <f t="shared" si="2"/>
        <v>233</v>
      </c>
      <c r="AI48" s="48">
        <f t="shared" si="3"/>
        <v>233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v>706.30000000000007</v>
      </c>
      <c r="C50" s="60">
        <f t="shared" ref="C50:AD50" si="4">SUM(C11:C48)</f>
        <v>699.7</v>
      </c>
      <c r="D50" s="60">
        <f t="shared" si="4"/>
        <v>699.7</v>
      </c>
      <c r="E50" s="60">
        <f t="shared" si="4"/>
        <v>699.7</v>
      </c>
      <c r="F50" s="60">
        <f t="shared" si="4"/>
        <v>699.7</v>
      </c>
      <c r="G50" s="60">
        <f t="shared" si="4"/>
        <v>699.7</v>
      </c>
      <c r="H50" s="60">
        <f t="shared" si="4"/>
        <v>699.7</v>
      </c>
      <c r="I50" s="60">
        <f t="shared" si="4"/>
        <v>699.7</v>
      </c>
      <c r="J50" s="60">
        <f t="shared" si="4"/>
        <v>699.7</v>
      </c>
      <c r="K50" s="60">
        <f t="shared" si="4"/>
        <v>699.7</v>
      </c>
      <c r="L50" s="60">
        <f t="shared" si="4"/>
        <v>699.7</v>
      </c>
      <c r="M50" s="60">
        <f t="shared" si="4"/>
        <v>709</v>
      </c>
      <c r="N50" s="60">
        <f t="shared" si="4"/>
        <v>709</v>
      </c>
      <c r="O50" s="60">
        <f t="shared" si="4"/>
        <v>711</v>
      </c>
      <c r="P50" s="60">
        <f t="shared" si="4"/>
        <v>711</v>
      </c>
      <c r="Q50" s="60">
        <f t="shared" si="4"/>
        <v>711</v>
      </c>
      <c r="R50" s="60">
        <f t="shared" si="4"/>
        <v>711</v>
      </c>
      <c r="S50" s="60">
        <f t="shared" si="4"/>
        <v>697.40000000000009</v>
      </c>
      <c r="T50" s="60">
        <f t="shared" si="4"/>
        <v>697.40000000000009</v>
      </c>
      <c r="U50" s="60">
        <f t="shared" si="4"/>
        <v>697.40000000000009</v>
      </c>
      <c r="V50" s="60">
        <f t="shared" si="4"/>
        <v>697.40000000000009</v>
      </c>
      <c r="W50" s="60">
        <f t="shared" si="4"/>
        <v>697.40000000000009</v>
      </c>
      <c r="X50" s="60">
        <f t="shared" si="4"/>
        <v>697.40000000000009</v>
      </c>
      <c r="Y50" s="60">
        <f t="shared" si="4"/>
        <v>701.40000000000009</v>
      </c>
      <c r="Z50" s="60">
        <f t="shared" si="4"/>
        <v>709.40000000000009</v>
      </c>
      <c r="AA50" s="60">
        <f t="shared" si="4"/>
        <v>709.40000000000009</v>
      </c>
      <c r="AB50" s="60">
        <f t="shared" si="4"/>
        <v>706.40000000000009</v>
      </c>
      <c r="AC50" s="60">
        <f t="shared" si="4"/>
        <v>707.90000000000009</v>
      </c>
      <c r="AD50" s="60">
        <f t="shared" si="4"/>
        <v>707.90000000000009</v>
      </c>
      <c r="AE50" s="60">
        <f>SUM(AE11:AE48)</f>
        <v>723.8</v>
      </c>
      <c r="AF50" s="60">
        <f>SUM(AF11:AF48)</f>
        <v>731.1</v>
      </c>
      <c r="AG50" s="61">
        <f>SUM(AG13:AG48)</f>
        <v>922.14</v>
      </c>
      <c r="AH50" s="47">
        <f t="shared" si="2"/>
        <v>731.1</v>
      </c>
      <c r="AI50" s="48">
        <f t="shared" si="3"/>
        <v>697.40000000000009</v>
      </c>
      <c r="AK50" s="49"/>
    </row>
    <row r="51" spans="1:41" x14ac:dyDescent="0.25">
      <c r="A51" s="62" t="s">
        <v>57</v>
      </c>
      <c r="B51" s="45">
        <v>300</v>
      </c>
      <c r="C51" s="45">
        <v>250</v>
      </c>
      <c r="D51" s="45">
        <v>200</v>
      </c>
      <c r="E51" s="45">
        <v>80</v>
      </c>
      <c r="F51" s="45">
        <v>100</v>
      </c>
      <c r="G51" s="45">
        <v>80</v>
      </c>
      <c r="H51" s="45">
        <v>150</v>
      </c>
      <c r="I51" s="45">
        <v>180</v>
      </c>
      <c r="J51" s="45">
        <v>180</v>
      </c>
      <c r="K51" s="45">
        <v>40</v>
      </c>
      <c r="L51" s="45">
        <v>40</v>
      </c>
      <c r="M51" s="45">
        <v>20</v>
      </c>
      <c r="N51" s="63">
        <v>40</v>
      </c>
      <c r="O51" s="63">
        <v>120</v>
      </c>
      <c r="P51" s="63">
        <v>140</v>
      </c>
      <c r="Q51" s="63">
        <v>160</v>
      </c>
      <c r="R51" s="63">
        <v>190</v>
      </c>
      <c r="S51" s="45">
        <v>175</v>
      </c>
      <c r="T51" s="45">
        <v>205</v>
      </c>
      <c r="U51" s="45">
        <v>170</v>
      </c>
      <c r="V51" s="45">
        <v>60</v>
      </c>
      <c r="W51" s="45">
        <v>180</v>
      </c>
      <c r="X51" s="45">
        <v>160</v>
      </c>
      <c r="Y51" s="45">
        <v>180</v>
      </c>
      <c r="Z51" s="45">
        <v>250</v>
      </c>
      <c r="AA51" s="45">
        <v>380</v>
      </c>
      <c r="AB51" s="45">
        <v>360</v>
      </c>
      <c r="AC51" s="45">
        <v>360</v>
      </c>
      <c r="AD51" s="45">
        <v>350</v>
      </c>
      <c r="AE51" s="45">
        <v>350</v>
      </c>
      <c r="AF51" s="45">
        <v>320</v>
      </c>
      <c r="AG51" s="51">
        <v>456</v>
      </c>
      <c r="AH51" s="47">
        <f t="shared" si="2"/>
        <v>380</v>
      </c>
      <c r="AI51" s="48">
        <f t="shared" si="3"/>
        <v>20</v>
      </c>
      <c r="AK51" s="49"/>
    </row>
    <row r="52" spans="1:41" x14ac:dyDescent="0.25">
      <c r="A52" s="64" t="s">
        <v>58</v>
      </c>
      <c r="B52" s="65">
        <v>55</v>
      </c>
      <c r="C52" s="65">
        <v>55</v>
      </c>
      <c r="D52" s="65">
        <v>55</v>
      </c>
      <c r="E52" s="65">
        <v>55</v>
      </c>
      <c r="F52" s="65">
        <v>55</v>
      </c>
      <c r="G52" s="65">
        <v>47</v>
      </c>
      <c r="H52" s="65">
        <v>47</v>
      </c>
      <c r="I52" s="65">
        <v>47</v>
      </c>
      <c r="J52" s="65">
        <v>47</v>
      </c>
      <c r="K52" s="65">
        <v>47</v>
      </c>
      <c r="L52" s="65">
        <v>47</v>
      </c>
      <c r="M52" s="65">
        <v>45.5</v>
      </c>
      <c r="N52" s="65">
        <v>46</v>
      </c>
      <c r="O52" s="65">
        <v>46</v>
      </c>
      <c r="P52" s="65">
        <v>46</v>
      </c>
      <c r="Q52" s="65">
        <v>46</v>
      </c>
      <c r="R52" s="65">
        <v>46</v>
      </c>
      <c r="S52" s="65">
        <v>46</v>
      </c>
      <c r="T52" s="65">
        <v>46</v>
      </c>
      <c r="U52" s="65">
        <v>46</v>
      </c>
      <c r="V52" s="65">
        <v>46</v>
      </c>
      <c r="W52" s="65">
        <v>46</v>
      </c>
      <c r="X52" s="65">
        <v>46</v>
      </c>
      <c r="Y52" s="65">
        <v>46</v>
      </c>
      <c r="Z52" s="65">
        <v>46</v>
      </c>
      <c r="AA52" s="65">
        <v>46</v>
      </c>
      <c r="AB52" s="65">
        <v>36</v>
      </c>
      <c r="AC52" s="65">
        <v>36</v>
      </c>
      <c r="AD52" s="65">
        <v>36</v>
      </c>
      <c r="AE52" s="65">
        <v>36</v>
      </c>
      <c r="AF52" s="65">
        <v>43</v>
      </c>
      <c r="AG52" s="54">
        <v>60</v>
      </c>
      <c r="AH52" s="47">
        <f t="shared" si="2"/>
        <v>55</v>
      </c>
      <c r="AI52" s="48">
        <f t="shared" si="3"/>
        <v>36</v>
      </c>
      <c r="AK52" s="49"/>
    </row>
    <row r="53" spans="1:41" ht="15.75" thickBot="1" x14ac:dyDescent="0.3">
      <c r="A53" s="66" t="s">
        <v>59</v>
      </c>
      <c r="B53" s="67">
        <v>22</v>
      </c>
      <c r="C53" s="67">
        <v>22</v>
      </c>
      <c r="D53" s="67">
        <v>22</v>
      </c>
      <c r="E53" s="67">
        <v>22</v>
      </c>
      <c r="F53" s="67">
        <v>22</v>
      </c>
      <c r="G53" s="67">
        <v>22</v>
      </c>
      <c r="H53" s="67">
        <v>22</v>
      </c>
      <c r="I53" s="67">
        <v>22</v>
      </c>
      <c r="J53" s="67">
        <v>22</v>
      </c>
      <c r="K53" s="67">
        <v>22</v>
      </c>
      <c r="L53" s="67">
        <v>22</v>
      </c>
      <c r="M53" s="67">
        <v>22</v>
      </c>
      <c r="N53" s="67">
        <v>22</v>
      </c>
      <c r="O53" s="67">
        <v>22</v>
      </c>
      <c r="P53" s="67">
        <v>22.4</v>
      </c>
      <c r="Q53" s="67">
        <v>22.4</v>
      </c>
      <c r="R53" s="67">
        <v>22.4</v>
      </c>
      <c r="S53" s="67">
        <v>22.4</v>
      </c>
      <c r="T53" s="67">
        <v>22.4</v>
      </c>
      <c r="U53" s="67">
        <v>22.4</v>
      </c>
      <c r="V53" s="67">
        <v>22.4</v>
      </c>
      <c r="W53" s="67">
        <v>22.4</v>
      </c>
      <c r="X53" s="67">
        <v>22.4</v>
      </c>
      <c r="Y53" s="67">
        <v>22.4</v>
      </c>
      <c r="Z53" s="67">
        <v>22.4</v>
      </c>
      <c r="AA53" s="67">
        <v>22.4</v>
      </c>
      <c r="AB53" s="67">
        <v>22.4</v>
      </c>
      <c r="AC53" s="67">
        <v>22.4</v>
      </c>
      <c r="AD53" s="67">
        <v>22.4</v>
      </c>
      <c r="AE53" s="67">
        <v>22.4</v>
      </c>
      <c r="AF53" s="67">
        <v>22.4</v>
      </c>
      <c r="AG53" s="68">
        <v>22.1</v>
      </c>
      <c r="AH53" s="47">
        <f t="shared" si="2"/>
        <v>22.4</v>
      </c>
      <c r="AI53" s="48">
        <f t="shared" si="3"/>
        <v>22</v>
      </c>
      <c r="AK53" s="49"/>
    </row>
    <row r="54" spans="1:41" ht="15.75" thickBot="1" x14ac:dyDescent="0.3">
      <c r="A54" s="69" t="s">
        <v>60</v>
      </c>
      <c r="B54" s="60">
        <v>367</v>
      </c>
      <c r="C54" s="60">
        <f t="shared" ref="C54:AG54" si="5">SUM(C51:C53)</f>
        <v>327</v>
      </c>
      <c r="D54" s="60">
        <f t="shared" si="5"/>
        <v>277</v>
      </c>
      <c r="E54" s="60">
        <f t="shared" si="5"/>
        <v>157</v>
      </c>
      <c r="F54" s="60">
        <f t="shared" si="5"/>
        <v>177</v>
      </c>
      <c r="G54" s="60">
        <f t="shared" si="5"/>
        <v>149</v>
      </c>
      <c r="H54" s="60">
        <f t="shared" si="5"/>
        <v>219</v>
      </c>
      <c r="I54" s="60">
        <f t="shared" si="5"/>
        <v>249</v>
      </c>
      <c r="J54" s="60">
        <f t="shared" si="5"/>
        <v>249</v>
      </c>
      <c r="K54" s="60">
        <f t="shared" si="5"/>
        <v>109</v>
      </c>
      <c r="L54" s="60">
        <f t="shared" si="5"/>
        <v>109</v>
      </c>
      <c r="M54" s="60">
        <f t="shared" si="5"/>
        <v>87.5</v>
      </c>
      <c r="N54" s="60">
        <f t="shared" si="5"/>
        <v>108</v>
      </c>
      <c r="O54" s="60">
        <f t="shared" si="5"/>
        <v>188</v>
      </c>
      <c r="P54" s="60">
        <f t="shared" si="5"/>
        <v>208.4</v>
      </c>
      <c r="Q54" s="60">
        <f t="shared" si="5"/>
        <v>228.4</v>
      </c>
      <c r="R54" s="60">
        <f t="shared" si="5"/>
        <v>258.39999999999998</v>
      </c>
      <c r="S54" s="60">
        <f t="shared" si="5"/>
        <v>243.4</v>
      </c>
      <c r="T54" s="60">
        <f t="shared" si="5"/>
        <v>273.39999999999998</v>
      </c>
      <c r="U54" s="60">
        <f t="shared" si="5"/>
        <v>238.4</v>
      </c>
      <c r="V54" s="60">
        <f t="shared" si="5"/>
        <v>128.4</v>
      </c>
      <c r="W54" s="60">
        <f t="shared" si="5"/>
        <v>248.4</v>
      </c>
      <c r="X54" s="60">
        <f t="shared" si="5"/>
        <v>228.4</v>
      </c>
      <c r="Y54" s="60">
        <f t="shared" si="5"/>
        <v>248.4</v>
      </c>
      <c r="Z54" s="60">
        <f t="shared" si="5"/>
        <v>318.39999999999998</v>
      </c>
      <c r="AA54" s="60">
        <f t="shared" si="5"/>
        <v>448.4</v>
      </c>
      <c r="AB54" s="60">
        <f t="shared" si="5"/>
        <v>418.4</v>
      </c>
      <c r="AC54" s="60">
        <f t="shared" si="5"/>
        <v>418.4</v>
      </c>
      <c r="AD54" s="60">
        <f t="shared" si="5"/>
        <v>408.4</v>
      </c>
      <c r="AE54" s="60">
        <f>SUM(AE51:AE53)</f>
        <v>408.4</v>
      </c>
      <c r="AF54" s="60">
        <f>SUM(AF51:AF53)</f>
        <v>385.4</v>
      </c>
      <c r="AG54" s="61">
        <f t="shared" si="5"/>
        <v>538.1</v>
      </c>
      <c r="AH54" s="47">
        <f t="shared" si="2"/>
        <v>448.4</v>
      </c>
      <c r="AI54" s="48">
        <f t="shared" si="3"/>
        <v>87.5</v>
      </c>
      <c r="AK54" s="49"/>
    </row>
    <row r="55" spans="1:41" x14ac:dyDescent="0.25">
      <c r="A55" s="44" t="s">
        <v>61</v>
      </c>
      <c r="B55" s="45">
        <v>125</v>
      </c>
      <c r="C55" s="45">
        <v>110</v>
      </c>
      <c r="D55" s="45">
        <v>100</v>
      </c>
      <c r="E55" s="45">
        <v>106</v>
      </c>
      <c r="F55" s="45">
        <v>100</v>
      </c>
      <c r="G55" s="45">
        <v>90</v>
      </c>
      <c r="H55" s="45">
        <v>105</v>
      </c>
      <c r="I55" s="45">
        <v>130</v>
      </c>
      <c r="J55" s="45">
        <v>135</v>
      </c>
      <c r="K55" s="45">
        <v>140</v>
      </c>
      <c r="L55" s="45">
        <v>130</v>
      </c>
      <c r="M55" s="45">
        <v>131.80000000000001</v>
      </c>
      <c r="N55" s="45">
        <v>117.5</v>
      </c>
      <c r="O55" s="45">
        <v>131.69999999999999</v>
      </c>
      <c r="P55" s="45">
        <v>126.7</v>
      </c>
      <c r="Q55" s="45">
        <v>144.80000000000001</v>
      </c>
      <c r="R55" s="45">
        <v>130</v>
      </c>
      <c r="S55" s="45">
        <v>127</v>
      </c>
      <c r="T55" s="45">
        <v>126</v>
      </c>
      <c r="U55" s="45">
        <v>127</v>
      </c>
      <c r="V55" s="45">
        <v>122</v>
      </c>
      <c r="W55" s="45">
        <v>132</v>
      </c>
      <c r="X55" s="45">
        <v>121</v>
      </c>
      <c r="Y55" s="45">
        <v>121</v>
      </c>
      <c r="Z55" s="45">
        <v>141</v>
      </c>
      <c r="AA55" s="45">
        <v>143</v>
      </c>
      <c r="AB55" s="45">
        <v>142.80000000000001</v>
      </c>
      <c r="AC55" s="45">
        <v>142.4</v>
      </c>
      <c r="AD55" s="45">
        <v>138</v>
      </c>
      <c r="AE55" s="45">
        <v>131.9</v>
      </c>
      <c r="AF55" s="45">
        <v>115.5</v>
      </c>
      <c r="AG55" s="51">
        <v>144</v>
      </c>
      <c r="AH55" s="47">
        <f t="shared" si="2"/>
        <v>144.80000000000001</v>
      </c>
      <c r="AI55" s="48">
        <f t="shared" si="3"/>
        <v>90</v>
      </c>
      <c r="AK55" s="49"/>
    </row>
    <row r="56" spans="1:41" x14ac:dyDescent="0.25">
      <c r="A56" s="53" t="s">
        <v>62</v>
      </c>
      <c r="B56" s="65">
        <v>51.7</v>
      </c>
      <c r="C56" s="65">
        <v>45</v>
      </c>
      <c r="D56" s="65">
        <v>45</v>
      </c>
      <c r="E56" s="65">
        <v>44</v>
      </c>
      <c r="F56" s="65">
        <v>44</v>
      </c>
      <c r="G56" s="65">
        <v>52.4</v>
      </c>
      <c r="H56" s="65">
        <v>70</v>
      </c>
      <c r="I56" s="65">
        <v>60</v>
      </c>
      <c r="J56" s="65">
        <v>70.599999999999994</v>
      </c>
      <c r="K56" s="65">
        <v>70.099999999999994</v>
      </c>
      <c r="L56" s="65">
        <v>70.7</v>
      </c>
      <c r="M56" s="65">
        <v>68.7</v>
      </c>
      <c r="N56" s="65">
        <v>69.8</v>
      </c>
      <c r="O56" s="65">
        <v>69.8</v>
      </c>
      <c r="P56" s="65">
        <v>69.2</v>
      </c>
      <c r="Q56" s="65">
        <v>60.2</v>
      </c>
      <c r="R56" s="65">
        <v>65</v>
      </c>
      <c r="S56" s="45">
        <v>66</v>
      </c>
      <c r="T56" s="45">
        <v>66</v>
      </c>
      <c r="U56" s="45">
        <v>70.400000000000006</v>
      </c>
      <c r="V56" s="45">
        <v>70.400000000000006</v>
      </c>
      <c r="W56" s="45">
        <v>70.400000000000006</v>
      </c>
      <c r="X56" s="45">
        <v>59</v>
      </c>
      <c r="Y56" s="45">
        <v>59</v>
      </c>
      <c r="Z56" s="45">
        <v>69.3</v>
      </c>
      <c r="AA56" s="45">
        <v>69.3</v>
      </c>
      <c r="AB56" s="45">
        <v>69.3</v>
      </c>
      <c r="AC56" s="45">
        <v>70.099999999999994</v>
      </c>
      <c r="AD56" s="45">
        <v>70.099999999999994</v>
      </c>
      <c r="AE56" s="45">
        <v>70.7</v>
      </c>
      <c r="AF56" s="45">
        <v>57.1</v>
      </c>
      <c r="AG56" s="54">
        <v>70</v>
      </c>
      <c r="AH56" s="47">
        <f t="shared" si="2"/>
        <v>70.7</v>
      </c>
      <c r="AI56" s="48">
        <f t="shared" si="3"/>
        <v>44</v>
      </c>
      <c r="AK56" s="49"/>
    </row>
    <row r="57" spans="1:41" x14ac:dyDescent="0.25">
      <c r="A57" s="53" t="s">
        <v>63</v>
      </c>
      <c r="B57" s="65">
        <v>50</v>
      </c>
      <c r="C57" s="65">
        <v>45</v>
      </c>
      <c r="D57" s="65">
        <v>45</v>
      </c>
      <c r="E57" s="65">
        <v>32</v>
      </c>
      <c r="F57" s="65">
        <v>32</v>
      </c>
      <c r="G57" s="65">
        <v>40</v>
      </c>
      <c r="H57" s="65">
        <v>32</v>
      </c>
      <c r="I57" s="65">
        <v>46</v>
      </c>
      <c r="J57" s="65">
        <v>69</v>
      </c>
      <c r="K57" s="65">
        <v>70.2</v>
      </c>
      <c r="L57" s="65">
        <v>69.5</v>
      </c>
      <c r="M57" s="65">
        <v>69.599999999999994</v>
      </c>
      <c r="N57" s="65">
        <v>64.3</v>
      </c>
      <c r="O57" s="65">
        <v>68</v>
      </c>
      <c r="P57" s="65">
        <v>54.5</v>
      </c>
      <c r="Q57" s="65">
        <v>59.5</v>
      </c>
      <c r="R57" s="65">
        <v>59</v>
      </c>
      <c r="S57" s="45">
        <v>66</v>
      </c>
      <c r="T57" s="45">
        <v>66</v>
      </c>
      <c r="U57" s="45">
        <v>66.400000000000006</v>
      </c>
      <c r="V57" s="45">
        <v>51</v>
      </c>
      <c r="W57" s="45">
        <v>69</v>
      </c>
      <c r="X57" s="45">
        <v>69</v>
      </c>
      <c r="Y57" s="45">
        <v>69</v>
      </c>
      <c r="Z57" s="45">
        <v>69</v>
      </c>
      <c r="AA57" s="45">
        <v>69</v>
      </c>
      <c r="AB57" s="45">
        <v>69</v>
      </c>
      <c r="AC57" s="45">
        <v>69.599999999999994</v>
      </c>
      <c r="AD57" s="45">
        <v>69.599999999999994</v>
      </c>
      <c r="AE57" s="45">
        <v>61.1</v>
      </c>
      <c r="AF57" s="45">
        <v>51</v>
      </c>
      <c r="AG57" s="54">
        <v>69</v>
      </c>
      <c r="AH57" s="47">
        <f t="shared" si="2"/>
        <v>70.2</v>
      </c>
      <c r="AI57" s="48">
        <f t="shared" si="3"/>
        <v>32</v>
      </c>
      <c r="AK57" s="49"/>
    </row>
    <row r="58" spans="1:41" x14ac:dyDescent="0.25">
      <c r="A58" s="53" t="s">
        <v>64</v>
      </c>
      <c r="B58" s="65">
        <v>61.7</v>
      </c>
      <c r="C58" s="65">
        <v>61.7</v>
      </c>
      <c r="D58" s="65">
        <v>61.7</v>
      </c>
      <c r="E58" s="65">
        <v>61.7</v>
      </c>
      <c r="F58" s="65">
        <v>61.7</v>
      </c>
      <c r="G58" s="65">
        <v>61.7</v>
      </c>
      <c r="H58" s="65">
        <v>61.7</v>
      </c>
      <c r="I58" s="65">
        <v>61.7</v>
      </c>
      <c r="J58" s="65">
        <v>61.7</v>
      </c>
      <c r="K58" s="65">
        <v>61.7</v>
      </c>
      <c r="L58" s="65">
        <v>61.7</v>
      </c>
      <c r="M58" s="65">
        <v>60.7</v>
      </c>
      <c r="N58" s="65">
        <v>60.7</v>
      </c>
      <c r="O58" s="65">
        <v>60.7</v>
      </c>
      <c r="P58" s="65">
        <v>60.7</v>
      </c>
      <c r="Q58" s="65">
        <v>60.2</v>
      </c>
      <c r="R58" s="65">
        <v>60.2</v>
      </c>
      <c r="S58" s="45">
        <v>60.4</v>
      </c>
      <c r="T58" s="45">
        <v>60.4</v>
      </c>
      <c r="U58" s="45">
        <v>60.4</v>
      </c>
      <c r="V58" s="45">
        <v>60.4</v>
      </c>
      <c r="W58" s="45">
        <v>60.4</v>
      </c>
      <c r="X58" s="45">
        <v>60.4</v>
      </c>
      <c r="Y58" s="45">
        <v>60.4</v>
      </c>
      <c r="Z58" s="45">
        <v>60.4</v>
      </c>
      <c r="AA58" s="45">
        <v>60.4</v>
      </c>
      <c r="AB58" s="45">
        <v>60.4</v>
      </c>
      <c r="AC58" s="45">
        <v>62</v>
      </c>
      <c r="AD58" s="45">
        <v>62</v>
      </c>
      <c r="AE58" s="45">
        <v>62</v>
      </c>
      <c r="AF58" s="45">
        <v>61.7</v>
      </c>
      <c r="AG58" s="54">
        <v>60</v>
      </c>
      <c r="AH58" s="47">
        <f t="shared" si="2"/>
        <v>62</v>
      </c>
      <c r="AI58" s="48">
        <f t="shared" si="3"/>
        <v>60.2</v>
      </c>
      <c r="AK58" s="49"/>
    </row>
    <row r="59" spans="1:41" x14ac:dyDescent="0.25">
      <c r="A59" s="53" t="s">
        <v>65</v>
      </c>
      <c r="B59" s="65">
        <v>10</v>
      </c>
      <c r="C59" s="65">
        <v>10</v>
      </c>
      <c r="D59" s="65">
        <v>10</v>
      </c>
      <c r="E59" s="65">
        <v>10</v>
      </c>
      <c r="F59" s="65">
        <v>10</v>
      </c>
      <c r="G59" s="65">
        <v>10</v>
      </c>
      <c r="H59" s="65">
        <v>10</v>
      </c>
      <c r="I59" s="65">
        <v>10</v>
      </c>
      <c r="J59" s="65">
        <v>10</v>
      </c>
      <c r="K59" s="65">
        <v>10</v>
      </c>
      <c r="L59" s="65">
        <v>10</v>
      </c>
      <c r="M59" s="65">
        <v>10</v>
      </c>
      <c r="N59" s="65">
        <v>30</v>
      </c>
      <c r="O59" s="65">
        <v>30</v>
      </c>
      <c r="P59" s="65">
        <v>30</v>
      </c>
      <c r="Q59" s="65">
        <v>0</v>
      </c>
      <c r="R59" s="65">
        <v>0</v>
      </c>
      <c r="S59" s="45">
        <v>10</v>
      </c>
      <c r="T59" s="45">
        <v>10</v>
      </c>
      <c r="U59" s="45">
        <v>10</v>
      </c>
      <c r="V59" s="45">
        <v>12</v>
      </c>
      <c r="W59" s="45">
        <v>12</v>
      </c>
      <c r="X59" s="45">
        <v>12</v>
      </c>
      <c r="Y59" s="45">
        <v>12</v>
      </c>
      <c r="Z59" s="45">
        <v>12</v>
      </c>
      <c r="AA59" s="45">
        <v>12</v>
      </c>
      <c r="AB59" s="45">
        <v>25</v>
      </c>
      <c r="AC59" s="45">
        <v>25</v>
      </c>
      <c r="AD59" s="45">
        <v>25</v>
      </c>
      <c r="AE59" s="45">
        <v>22</v>
      </c>
      <c r="AF59" s="45">
        <v>15</v>
      </c>
      <c r="AG59" s="54">
        <v>30</v>
      </c>
      <c r="AH59" s="47">
        <f t="shared" si="2"/>
        <v>30</v>
      </c>
      <c r="AI59" s="48">
        <f t="shared" si="3"/>
        <v>0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5</v>
      </c>
      <c r="N60" s="65">
        <v>13</v>
      </c>
      <c r="O60" s="65">
        <v>13</v>
      </c>
      <c r="P60" s="65">
        <v>13</v>
      </c>
      <c r="Q60" s="65">
        <v>13</v>
      </c>
      <c r="R60" s="65">
        <v>13</v>
      </c>
      <c r="S60" s="65">
        <v>13</v>
      </c>
      <c r="T60" s="65">
        <v>13</v>
      </c>
      <c r="U60" s="45">
        <v>16.8</v>
      </c>
      <c r="V60" s="45">
        <v>5</v>
      </c>
      <c r="W60" s="45">
        <v>5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16.8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17</v>
      </c>
      <c r="N61" s="65">
        <v>17</v>
      </c>
      <c r="O61" s="65">
        <v>17</v>
      </c>
      <c r="P61" s="65">
        <v>17</v>
      </c>
      <c r="Q61" s="65">
        <v>17</v>
      </c>
      <c r="R61" s="65">
        <v>17</v>
      </c>
      <c r="S61" s="65">
        <v>17</v>
      </c>
      <c r="T61" s="65">
        <v>17</v>
      </c>
      <c r="U61" s="65">
        <v>17</v>
      </c>
      <c r="V61" s="65">
        <v>17</v>
      </c>
      <c r="W61" s="65">
        <v>17</v>
      </c>
      <c r="X61" s="65">
        <v>17</v>
      </c>
      <c r="Y61" s="65">
        <v>17</v>
      </c>
      <c r="Z61" s="65">
        <v>17</v>
      </c>
      <c r="AA61" s="65">
        <v>17</v>
      </c>
      <c r="AB61" s="65">
        <v>17</v>
      </c>
      <c r="AC61" s="65">
        <v>17</v>
      </c>
      <c r="AD61" s="65">
        <v>17</v>
      </c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17</v>
      </c>
      <c r="AK61" s="49"/>
    </row>
    <row r="62" spans="1:41" x14ac:dyDescent="0.25">
      <c r="A62" s="53" t="s">
        <v>68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4">
        <v>15</v>
      </c>
      <c r="AH62" s="47">
        <f t="shared" si="2"/>
        <v>0</v>
      </c>
      <c r="AI62" s="48">
        <f t="shared" si="3"/>
        <v>0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12.7</v>
      </c>
      <c r="C63" s="65">
        <v>12.7</v>
      </c>
      <c r="D63" s="65">
        <v>12.7</v>
      </c>
      <c r="E63" s="65">
        <v>12.7</v>
      </c>
      <c r="F63" s="65">
        <v>12.7</v>
      </c>
      <c r="G63" s="65">
        <v>12.7</v>
      </c>
      <c r="H63" s="65">
        <v>12.7</v>
      </c>
      <c r="I63" s="65">
        <v>12.7</v>
      </c>
      <c r="J63" s="65">
        <v>12.7</v>
      </c>
      <c r="K63" s="65">
        <v>12.7</v>
      </c>
      <c r="L63" s="65">
        <v>12.7</v>
      </c>
      <c r="M63" s="65">
        <v>12.7</v>
      </c>
      <c r="N63" s="65">
        <v>12.7</v>
      </c>
      <c r="O63" s="65">
        <v>12.7</v>
      </c>
      <c r="P63" s="65">
        <v>12.7</v>
      </c>
      <c r="Q63" s="65">
        <v>12.7</v>
      </c>
      <c r="R63" s="65">
        <v>12.7</v>
      </c>
      <c r="S63" s="65">
        <v>12.7</v>
      </c>
      <c r="T63" s="65">
        <v>12.7</v>
      </c>
      <c r="U63" s="65">
        <v>12.7</v>
      </c>
      <c r="V63" s="65">
        <v>12.7</v>
      </c>
      <c r="W63" s="65">
        <v>12.7</v>
      </c>
      <c r="X63" s="65">
        <v>12.7</v>
      </c>
      <c r="Y63" s="65">
        <v>12.7</v>
      </c>
      <c r="Z63" s="65">
        <v>12.7</v>
      </c>
      <c r="AA63" s="65">
        <v>12.7</v>
      </c>
      <c r="AB63" s="65">
        <v>12.7</v>
      </c>
      <c r="AC63" s="65">
        <v>12.7</v>
      </c>
      <c r="AD63" s="65">
        <v>12.7</v>
      </c>
      <c r="AE63" s="65">
        <v>13.1</v>
      </c>
      <c r="AF63" s="65">
        <v>13.1</v>
      </c>
      <c r="AG63" s="54">
        <v>14.1</v>
      </c>
      <c r="AH63" s="47">
        <f t="shared" si="2"/>
        <v>13.1</v>
      </c>
      <c r="AI63" s="48">
        <f t="shared" si="3"/>
        <v>12.7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7.3</v>
      </c>
      <c r="C64" s="65">
        <v>7.3</v>
      </c>
      <c r="D64" s="65">
        <v>7.3</v>
      </c>
      <c r="E64" s="65">
        <v>7.3</v>
      </c>
      <c r="F64" s="65">
        <v>7.3</v>
      </c>
      <c r="G64" s="65">
        <v>7.3</v>
      </c>
      <c r="H64" s="65">
        <v>7.3</v>
      </c>
      <c r="I64" s="65">
        <v>7.3</v>
      </c>
      <c r="J64" s="65">
        <v>7.3</v>
      </c>
      <c r="K64" s="65">
        <v>7.3</v>
      </c>
      <c r="L64" s="65">
        <v>7.3</v>
      </c>
      <c r="M64" s="65">
        <v>7.3</v>
      </c>
      <c r="N64" s="65">
        <v>7.3</v>
      </c>
      <c r="O64" s="65">
        <v>7.3</v>
      </c>
      <c r="P64" s="65">
        <v>7.3</v>
      </c>
      <c r="Q64" s="65">
        <v>7.3</v>
      </c>
      <c r="R64" s="65">
        <v>7.3</v>
      </c>
      <c r="S64" s="65">
        <v>7.3</v>
      </c>
      <c r="T64" s="65">
        <v>7.3</v>
      </c>
      <c r="U64" s="65">
        <v>7.3</v>
      </c>
      <c r="V64" s="65">
        <v>7.3</v>
      </c>
      <c r="W64" s="65">
        <v>7.3</v>
      </c>
      <c r="X64" s="65">
        <v>7.3</v>
      </c>
      <c r="Y64" s="65">
        <v>7.3</v>
      </c>
      <c r="Z64" s="65">
        <v>7.3</v>
      </c>
      <c r="AA64" s="65">
        <v>7.3</v>
      </c>
      <c r="AB64" s="65">
        <v>7.3</v>
      </c>
      <c r="AC64" s="65">
        <v>7.2</v>
      </c>
      <c r="AD64" s="65">
        <v>7.2</v>
      </c>
      <c r="AE64" s="65">
        <v>7.3</v>
      </c>
      <c r="AF64" s="65">
        <v>7.3</v>
      </c>
      <c r="AG64" s="54">
        <v>14</v>
      </c>
      <c r="AH64" s="47">
        <f t="shared" si="2"/>
        <v>7.3</v>
      </c>
      <c r="AI64" s="48">
        <f t="shared" si="3"/>
        <v>7.2</v>
      </c>
      <c r="AK64" s="49"/>
    </row>
    <row r="65" spans="1:40" x14ac:dyDescent="0.25">
      <c r="A65" s="53" t="s">
        <v>71</v>
      </c>
      <c r="B65" s="65">
        <v>4.5</v>
      </c>
      <c r="C65" s="65">
        <v>4.5</v>
      </c>
      <c r="D65" s="65">
        <v>4.5</v>
      </c>
      <c r="E65" s="65">
        <v>4.5</v>
      </c>
      <c r="F65" s="65">
        <v>4.5</v>
      </c>
      <c r="G65" s="65">
        <v>4.5</v>
      </c>
      <c r="H65" s="65">
        <v>4.5</v>
      </c>
      <c r="I65" s="65">
        <v>4.5</v>
      </c>
      <c r="J65" s="65">
        <v>4.5</v>
      </c>
      <c r="K65" s="65">
        <v>4.5</v>
      </c>
      <c r="L65" s="65">
        <v>4.5</v>
      </c>
      <c r="M65" s="65">
        <v>4.5</v>
      </c>
      <c r="N65" s="65">
        <v>4.5</v>
      </c>
      <c r="O65" s="65">
        <v>4.5</v>
      </c>
      <c r="P65" s="65">
        <v>4.5</v>
      </c>
      <c r="Q65" s="65">
        <v>4.5</v>
      </c>
      <c r="R65" s="65">
        <v>4.5</v>
      </c>
      <c r="S65" s="65">
        <v>4.5</v>
      </c>
      <c r="T65" s="65">
        <v>4.5</v>
      </c>
      <c r="U65" s="65">
        <v>4.5</v>
      </c>
      <c r="V65" s="65">
        <v>4.5</v>
      </c>
      <c r="W65" s="65">
        <v>4.5</v>
      </c>
      <c r="X65" s="65">
        <v>4.5</v>
      </c>
      <c r="Y65" s="65">
        <v>4.5</v>
      </c>
      <c r="Z65" s="65">
        <v>4.5</v>
      </c>
      <c r="AA65" s="65">
        <v>4.5</v>
      </c>
      <c r="AB65" s="65">
        <v>4.5</v>
      </c>
      <c r="AC65" s="65">
        <v>4.5</v>
      </c>
      <c r="AD65" s="65">
        <v>4.5</v>
      </c>
      <c r="AE65" s="65">
        <v>4.7</v>
      </c>
      <c r="AF65" s="65">
        <v>4.7</v>
      </c>
      <c r="AG65" s="54">
        <v>10.050000000000001</v>
      </c>
      <c r="AH65" s="47">
        <f t="shared" si="2"/>
        <v>4.7</v>
      </c>
      <c r="AI65" s="48">
        <f t="shared" si="3"/>
        <v>4.5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v>333.44</v>
      </c>
      <c r="C68" s="60">
        <f t="shared" ref="C68:AG68" si="6">SUM(C55:C67)</f>
        <v>318.74</v>
      </c>
      <c r="D68" s="60">
        <f t="shared" si="6"/>
        <v>308.74</v>
      </c>
      <c r="E68" s="60">
        <f t="shared" si="6"/>
        <v>300.74</v>
      </c>
      <c r="F68" s="60">
        <f t="shared" si="6"/>
        <v>294.74</v>
      </c>
      <c r="G68" s="60">
        <f t="shared" si="6"/>
        <v>301.14000000000004</v>
      </c>
      <c r="H68" s="60">
        <f t="shared" si="6"/>
        <v>325.74</v>
      </c>
      <c r="I68" s="60">
        <f t="shared" si="6"/>
        <v>354.74</v>
      </c>
      <c r="J68" s="60">
        <f t="shared" si="6"/>
        <v>393.34000000000003</v>
      </c>
      <c r="K68" s="60">
        <f t="shared" si="6"/>
        <v>399.04</v>
      </c>
      <c r="L68" s="60">
        <f t="shared" si="6"/>
        <v>388.94</v>
      </c>
      <c r="M68" s="60">
        <f t="shared" si="6"/>
        <v>392.84000000000003</v>
      </c>
      <c r="N68" s="60">
        <f t="shared" si="6"/>
        <v>402.34000000000003</v>
      </c>
      <c r="O68" s="60">
        <f t="shared" si="6"/>
        <v>420.24</v>
      </c>
      <c r="P68" s="60">
        <f t="shared" si="6"/>
        <v>401.14000000000004</v>
      </c>
      <c r="Q68" s="60">
        <f t="shared" si="6"/>
        <v>384.74</v>
      </c>
      <c r="R68" s="60">
        <f t="shared" si="6"/>
        <v>374.24</v>
      </c>
      <c r="S68" s="60">
        <f t="shared" si="6"/>
        <v>389.44</v>
      </c>
      <c r="T68" s="60">
        <f t="shared" si="6"/>
        <v>388.44</v>
      </c>
      <c r="U68" s="60">
        <f t="shared" si="6"/>
        <v>398.04</v>
      </c>
      <c r="V68" s="60">
        <f t="shared" si="6"/>
        <v>367.84000000000003</v>
      </c>
      <c r="W68" s="60">
        <f t="shared" si="6"/>
        <v>395.84</v>
      </c>
      <c r="X68" s="60">
        <f t="shared" si="6"/>
        <v>368.44</v>
      </c>
      <c r="Y68" s="60">
        <f t="shared" si="6"/>
        <v>368.44</v>
      </c>
      <c r="Z68" s="60">
        <f t="shared" si="6"/>
        <v>398.74</v>
      </c>
      <c r="AA68" s="60">
        <f t="shared" si="6"/>
        <v>400.74</v>
      </c>
      <c r="AB68" s="60">
        <f t="shared" si="6"/>
        <v>413.54</v>
      </c>
      <c r="AC68" s="60">
        <f t="shared" si="6"/>
        <v>416.04</v>
      </c>
      <c r="AD68" s="60">
        <f t="shared" si="6"/>
        <v>411.64</v>
      </c>
      <c r="AE68" s="60">
        <f>SUM(AE55:AE67)</f>
        <v>395.34000000000009</v>
      </c>
      <c r="AF68" s="60">
        <f>SUM(AF55:AF67)</f>
        <v>347.94000000000005</v>
      </c>
      <c r="AG68" s="61">
        <f t="shared" si="6"/>
        <v>489.91</v>
      </c>
      <c r="AH68" s="47">
        <f t="shared" si="2"/>
        <v>420.24</v>
      </c>
      <c r="AI68" s="48">
        <f t="shared" si="3"/>
        <v>294.74</v>
      </c>
      <c r="AK68" s="49"/>
    </row>
    <row r="69" spans="1:40" x14ac:dyDescent="0.25">
      <c r="A69" s="44" t="s">
        <v>75</v>
      </c>
      <c r="B69" s="45">
        <v>14</v>
      </c>
      <c r="C69" s="45">
        <v>14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14</v>
      </c>
      <c r="K69" s="45">
        <v>30.5</v>
      </c>
      <c r="L69" s="45">
        <v>30.2</v>
      </c>
      <c r="M69" s="45">
        <v>30</v>
      </c>
      <c r="N69" s="45">
        <v>13.4</v>
      </c>
      <c r="O69" s="45">
        <v>10</v>
      </c>
      <c r="P69" s="45">
        <v>20</v>
      </c>
      <c r="Q69" s="45">
        <v>30.8</v>
      </c>
      <c r="R69" s="45">
        <v>30</v>
      </c>
      <c r="S69" s="45">
        <v>25</v>
      </c>
      <c r="T69" s="45">
        <v>25</v>
      </c>
      <c r="U69" s="45">
        <v>50</v>
      </c>
      <c r="V69" s="45">
        <v>40</v>
      </c>
      <c r="W69" s="45">
        <v>40</v>
      </c>
      <c r="X69" s="45">
        <v>20</v>
      </c>
      <c r="Y69" s="45">
        <v>20</v>
      </c>
      <c r="Z69" s="45">
        <v>20</v>
      </c>
      <c r="AA69" s="45">
        <v>20</v>
      </c>
      <c r="AB69" s="45">
        <v>29.3</v>
      </c>
      <c r="AC69" s="45">
        <v>29.3</v>
      </c>
      <c r="AD69" s="45">
        <v>28.9</v>
      </c>
      <c r="AE69" s="45">
        <v>28.9</v>
      </c>
      <c r="AF69" s="45">
        <v>29.5</v>
      </c>
      <c r="AG69" s="51">
        <v>60</v>
      </c>
      <c r="AH69" s="47">
        <f t="shared" si="2"/>
        <v>50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5</v>
      </c>
      <c r="C70" s="45">
        <v>4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15.2</v>
      </c>
      <c r="L70" s="65">
        <v>15.8</v>
      </c>
      <c r="M70" s="65">
        <v>15</v>
      </c>
      <c r="N70" s="65">
        <v>15</v>
      </c>
      <c r="O70" s="65">
        <v>5.9</v>
      </c>
      <c r="P70" s="65">
        <v>5</v>
      </c>
      <c r="Q70" s="65">
        <v>14.8</v>
      </c>
      <c r="R70" s="65">
        <v>15</v>
      </c>
      <c r="S70" s="65">
        <v>12</v>
      </c>
      <c r="T70" s="65">
        <v>12</v>
      </c>
      <c r="U70" s="65">
        <v>23.4</v>
      </c>
      <c r="V70" s="65">
        <v>19</v>
      </c>
      <c r="W70" s="65">
        <v>16.399999999999999</v>
      </c>
      <c r="X70" s="65">
        <v>9.4</v>
      </c>
      <c r="Y70" s="65">
        <v>9.4</v>
      </c>
      <c r="Z70" s="65">
        <v>9.4</v>
      </c>
      <c r="AA70" s="65">
        <v>9.4</v>
      </c>
      <c r="AB70" s="65">
        <v>16</v>
      </c>
      <c r="AC70" s="65">
        <v>15.2</v>
      </c>
      <c r="AD70" s="65">
        <v>14</v>
      </c>
      <c r="AE70" s="65">
        <v>14</v>
      </c>
      <c r="AF70" s="65">
        <v>9.3000000000000007</v>
      </c>
      <c r="AG70" s="54">
        <v>32</v>
      </c>
      <c r="AH70" s="47">
        <f t="shared" si="2"/>
        <v>23.4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2</v>
      </c>
      <c r="C71" s="45">
        <v>1.5</v>
      </c>
      <c r="D71" s="67">
        <v>0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5.6</v>
      </c>
      <c r="L71" s="67">
        <v>5.8</v>
      </c>
      <c r="M71" s="67">
        <v>5.5</v>
      </c>
      <c r="N71" s="67">
        <v>5.5</v>
      </c>
      <c r="O71" s="67">
        <v>2.2000000000000002</v>
      </c>
      <c r="P71" s="67">
        <v>2</v>
      </c>
      <c r="Q71" s="67">
        <v>5.4</v>
      </c>
      <c r="R71" s="67">
        <v>5.3</v>
      </c>
      <c r="S71" s="67">
        <v>4.2</v>
      </c>
      <c r="T71" s="67">
        <v>4.2</v>
      </c>
      <c r="U71" s="67">
        <v>8.5</v>
      </c>
      <c r="V71" s="67">
        <v>7</v>
      </c>
      <c r="W71" s="67">
        <v>6</v>
      </c>
      <c r="X71" s="67">
        <v>3.4</v>
      </c>
      <c r="Y71" s="67">
        <v>3.4</v>
      </c>
      <c r="Z71" s="67">
        <v>3.4</v>
      </c>
      <c r="AA71" s="67">
        <v>3.4</v>
      </c>
      <c r="AB71" s="67">
        <v>5.8</v>
      </c>
      <c r="AC71" s="67">
        <v>5.5</v>
      </c>
      <c r="AD71" s="67">
        <v>5.0999999999999996</v>
      </c>
      <c r="AE71" s="67">
        <v>5.0999999999999996</v>
      </c>
      <c r="AF71" s="67">
        <v>3.4</v>
      </c>
      <c r="AG71" s="68">
        <v>14</v>
      </c>
      <c r="AH71" s="47">
        <f t="shared" si="2"/>
        <v>8.5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v>43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51.8</v>
      </c>
      <c r="M72" s="60">
        <f t="shared" ref="M72:AD72" si="7">M69+M70+M71</f>
        <v>50.5</v>
      </c>
      <c r="N72" s="60">
        <f t="shared" si="7"/>
        <v>33.9</v>
      </c>
      <c r="O72" s="60">
        <f t="shared" si="7"/>
        <v>18.100000000000001</v>
      </c>
      <c r="P72" s="60">
        <f t="shared" si="7"/>
        <v>27</v>
      </c>
      <c r="Q72" s="60">
        <f t="shared" si="7"/>
        <v>51</v>
      </c>
      <c r="R72" s="60">
        <f t="shared" si="7"/>
        <v>50.3</v>
      </c>
      <c r="S72" s="60">
        <f t="shared" si="7"/>
        <v>41.2</v>
      </c>
      <c r="T72" s="60">
        <f t="shared" si="7"/>
        <v>41.2</v>
      </c>
      <c r="U72" s="60">
        <f t="shared" si="7"/>
        <v>81.900000000000006</v>
      </c>
      <c r="V72" s="60">
        <f t="shared" si="7"/>
        <v>66</v>
      </c>
      <c r="W72" s="60">
        <f t="shared" si="7"/>
        <v>62.4</v>
      </c>
      <c r="X72" s="60">
        <f t="shared" si="7"/>
        <v>32.799999999999997</v>
      </c>
      <c r="Y72" s="60">
        <f t="shared" si="7"/>
        <v>32.799999999999997</v>
      </c>
      <c r="Z72" s="60">
        <f t="shared" si="7"/>
        <v>32.799999999999997</v>
      </c>
      <c r="AA72" s="60">
        <f t="shared" si="7"/>
        <v>32.799999999999997</v>
      </c>
      <c r="AB72" s="60">
        <f t="shared" si="7"/>
        <v>51.099999999999994</v>
      </c>
      <c r="AC72" s="60">
        <f t="shared" si="7"/>
        <v>50</v>
      </c>
      <c r="AD72" s="60">
        <f t="shared" si="7"/>
        <v>48</v>
      </c>
      <c r="AE72" s="60">
        <f>AE69+AE70+AE71</f>
        <v>48</v>
      </c>
      <c r="AF72" s="60">
        <f>AF69+AF70+AF71</f>
        <v>42.199999999999996</v>
      </c>
      <c r="AG72" s="61">
        <f>SUM(AG69:AG71)</f>
        <v>106</v>
      </c>
      <c r="AH72" s="47">
        <f t="shared" si="2"/>
        <v>81.900000000000006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58</v>
      </c>
      <c r="C73" s="45">
        <v>61</v>
      </c>
      <c r="D73" s="45">
        <v>60</v>
      </c>
      <c r="E73" s="45">
        <v>60</v>
      </c>
      <c r="F73" s="45">
        <v>52</v>
      </c>
      <c r="G73" s="45">
        <v>45</v>
      </c>
      <c r="H73" s="45">
        <v>45</v>
      </c>
      <c r="I73" s="45">
        <v>45</v>
      </c>
      <c r="J73" s="45">
        <v>40</v>
      </c>
      <c r="K73" s="45">
        <v>35</v>
      </c>
      <c r="L73" s="45">
        <v>37</v>
      </c>
      <c r="M73" s="45">
        <v>30</v>
      </c>
      <c r="N73" s="45">
        <v>55.7</v>
      </c>
      <c r="O73" s="45">
        <v>71</v>
      </c>
      <c r="P73" s="45">
        <v>62</v>
      </c>
      <c r="Q73" s="45">
        <v>62.5</v>
      </c>
      <c r="R73" s="45">
        <v>65.5</v>
      </c>
      <c r="S73" s="45">
        <v>61.7</v>
      </c>
      <c r="T73" s="45">
        <v>60.9</v>
      </c>
      <c r="U73" s="45">
        <v>65.8</v>
      </c>
      <c r="V73" s="45">
        <v>54</v>
      </c>
      <c r="W73" s="45">
        <v>49</v>
      </c>
      <c r="X73" s="45">
        <v>46.4</v>
      </c>
      <c r="Y73" s="45">
        <v>38</v>
      </c>
      <c r="Z73" s="45">
        <v>41.2</v>
      </c>
      <c r="AA73" s="45">
        <v>50</v>
      </c>
      <c r="AB73" s="45">
        <v>40.799999999999997</v>
      </c>
      <c r="AC73" s="45">
        <v>48.3</v>
      </c>
      <c r="AD73" s="45">
        <v>49.8</v>
      </c>
      <c r="AE73" s="45">
        <v>55</v>
      </c>
      <c r="AF73" s="45">
        <v>55.3</v>
      </c>
      <c r="AG73" s="51"/>
      <c r="AH73" s="47">
        <f t="shared" si="2"/>
        <v>71</v>
      </c>
      <c r="AI73" s="48">
        <f t="shared" si="3"/>
        <v>30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15</v>
      </c>
      <c r="C75" s="65">
        <v>86</v>
      </c>
      <c r="D75" s="65">
        <v>114</v>
      </c>
      <c r="E75" s="65">
        <v>265</v>
      </c>
      <c r="F75" s="65">
        <v>200</v>
      </c>
      <c r="G75" s="65">
        <v>210</v>
      </c>
      <c r="H75" s="65">
        <v>215</v>
      </c>
      <c r="I75" s="65">
        <v>60</v>
      </c>
      <c r="J75" s="65">
        <v>120</v>
      </c>
      <c r="K75" s="65">
        <v>240</v>
      </c>
      <c r="L75" s="65">
        <v>244</v>
      </c>
      <c r="M75" s="65">
        <v>299</v>
      </c>
      <c r="N75" s="65">
        <v>311.60000000000002</v>
      </c>
      <c r="O75" s="65">
        <v>276</v>
      </c>
      <c r="P75" s="65">
        <v>307</v>
      </c>
      <c r="Q75" s="65">
        <v>246</v>
      </c>
      <c r="R75" s="65">
        <v>252</v>
      </c>
      <c r="S75" s="65">
        <v>253</v>
      </c>
      <c r="T75" s="65">
        <v>224</v>
      </c>
      <c r="U75" s="65">
        <v>200</v>
      </c>
      <c r="V75" s="65">
        <v>321</v>
      </c>
      <c r="W75" s="65">
        <v>150</v>
      </c>
      <c r="X75" s="65">
        <v>146</v>
      </c>
      <c r="Y75" s="65">
        <v>130</v>
      </c>
      <c r="Z75" s="65">
        <v>88</v>
      </c>
      <c r="AA75" s="65">
        <v>73</v>
      </c>
      <c r="AB75" s="65">
        <v>18.7</v>
      </c>
      <c r="AC75" s="65">
        <v>0</v>
      </c>
      <c r="AD75" s="65">
        <v>0</v>
      </c>
      <c r="AE75" s="65">
        <v>0</v>
      </c>
      <c r="AF75" s="65">
        <v>38.1</v>
      </c>
      <c r="AG75" s="75"/>
      <c r="AH75" s="47">
        <f t="shared" si="2"/>
        <v>321</v>
      </c>
      <c r="AI75" s="48">
        <f t="shared" si="3"/>
        <v>0</v>
      </c>
      <c r="AK75" s="49"/>
    </row>
    <row r="76" spans="1:40" x14ac:dyDescent="0.25">
      <c r="A76" s="53" t="s">
        <v>82</v>
      </c>
      <c r="B76" s="65">
        <v>12</v>
      </c>
      <c r="C76" s="65">
        <v>12</v>
      </c>
      <c r="D76" s="65">
        <v>12</v>
      </c>
      <c r="E76" s="65">
        <v>12</v>
      </c>
      <c r="F76" s="65">
        <v>12</v>
      </c>
      <c r="G76" s="65">
        <v>12</v>
      </c>
      <c r="H76" s="65">
        <v>12</v>
      </c>
      <c r="I76" s="65">
        <v>12</v>
      </c>
      <c r="J76" s="65">
        <v>12</v>
      </c>
      <c r="K76" s="76">
        <v>12</v>
      </c>
      <c r="L76" s="76">
        <v>12</v>
      </c>
      <c r="M76" s="76">
        <v>12</v>
      </c>
      <c r="N76" s="76">
        <v>12</v>
      </c>
      <c r="O76" s="76">
        <v>12</v>
      </c>
      <c r="P76" s="76">
        <v>12</v>
      </c>
      <c r="Q76" s="76">
        <v>12</v>
      </c>
      <c r="R76" s="76">
        <v>21.1</v>
      </c>
      <c r="S76" s="76">
        <v>19</v>
      </c>
      <c r="T76" s="76">
        <v>18.600000000000001</v>
      </c>
      <c r="U76" s="76">
        <v>17.21</v>
      </c>
      <c r="V76" s="76">
        <v>19</v>
      </c>
      <c r="W76" s="76">
        <v>19</v>
      </c>
      <c r="X76" s="76">
        <v>20.5</v>
      </c>
      <c r="Y76" s="76">
        <v>20.5</v>
      </c>
      <c r="Z76" s="76">
        <v>20.5</v>
      </c>
      <c r="AA76" s="76">
        <v>23</v>
      </c>
      <c r="AB76" s="76">
        <v>22.7</v>
      </c>
      <c r="AC76" s="76">
        <v>23.4</v>
      </c>
      <c r="AD76" s="65">
        <v>23.3</v>
      </c>
      <c r="AE76" s="65">
        <v>23</v>
      </c>
      <c r="AF76" s="65">
        <v>28.5</v>
      </c>
      <c r="AG76" s="75"/>
      <c r="AH76" s="47">
        <f t="shared" si="2"/>
        <v>28.5</v>
      </c>
      <c r="AI76" s="48">
        <f t="shared" si="3"/>
        <v>12</v>
      </c>
      <c r="AK76" s="49"/>
    </row>
    <row r="77" spans="1:40" x14ac:dyDescent="0.25">
      <c r="A77" s="53" t="s">
        <v>83</v>
      </c>
      <c r="B77" s="45">
        <v>29</v>
      </c>
      <c r="C77" s="45">
        <v>29</v>
      </c>
      <c r="D77" s="45">
        <v>29</v>
      </c>
      <c r="E77" s="45">
        <v>29</v>
      </c>
      <c r="F77" s="45">
        <v>29</v>
      </c>
      <c r="G77" s="45">
        <v>29</v>
      </c>
      <c r="H77" s="45">
        <v>29</v>
      </c>
      <c r="I77" s="45">
        <v>29</v>
      </c>
      <c r="J77" s="45">
        <v>29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8">MAX(B77:AF77)</f>
        <v>29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45">
        <v>8</v>
      </c>
      <c r="C78" s="45">
        <v>8</v>
      </c>
      <c r="D78" s="45">
        <v>8</v>
      </c>
      <c r="E78" s="45">
        <v>8</v>
      </c>
      <c r="F78" s="45">
        <v>8</v>
      </c>
      <c r="G78" s="45">
        <v>8</v>
      </c>
      <c r="H78" s="45">
        <v>8</v>
      </c>
      <c r="I78" s="45">
        <v>8</v>
      </c>
      <c r="J78" s="45">
        <v>8</v>
      </c>
      <c r="K78" s="45">
        <v>8</v>
      </c>
      <c r="L78" s="45">
        <v>8</v>
      </c>
      <c r="M78" s="45">
        <v>8</v>
      </c>
      <c r="N78" s="77">
        <v>0</v>
      </c>
      <c r="O78" s="77">
        <v>0</v>
      </c>
      <c r="P78" s="77">
        <v>8</v>
      </c>
      <c r="Q78" s="77">
        <v>8</v>
      </c>
      <c r="R78" s="77">
        <v>8</v>
      </c>
      <c r="S78" s="77">
        <v>8</v>
      </c>
      <c r="T78" s="77">
        <v>8</v>
      </c>
      <c r="U78" s="77">
        <v>8</v>
      </c>
      <c r="V78" s="77">
        <v>8</v>
      </c>
      <c r="W78" s="77">
        <v>8</v>
      </c>
      <c r="X78" s="77">
        <v>8</v>
      </c>
      <c r="Y78" s="77">
        <v>8</v>
      </c>
      <c r="Z78" s="77">
        <v>8</v>
      </c>
      <c r="AA78" s="77">
        <v>8</v>
      </c>
      <c r="AB78" s="77">
        <v>8</v>
      </c>
      <c r="AC78" s="77">
        <v>8</v>
      </c>
      <c r="AD78" s="77">
        <v>8</v>
      </c>
      <c r="AE78" s="77">
        <v>8</v>
      </c>
      <c r="AF78" s="77">
        <v>8</v>
      </c>
      <c r="AG78" s="75"/>
      <c r="AH78" s="47">
        <f t="shared" si="8"/>
        <v>8</v>
      </c>
      <c r="AI78" s="48">
        <f t="shared" si="9"/>
        <v>0</v>
      </c>
      <c r="AK78" s="49"/>
    </row>
    <row r="79" spans="1:40" ht="15.75" thickBot="1" x14ac:dyDescent="0.3">
      <c r="A79" s="53" t="s">
        <v>85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45">
        <v>0</v>
      </c>
      <c r="S80" s="45">
        <v>0</v>
      </c>
      <c r="T80" s="45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45">
        <v>0</v>
      </c>
      <c r="R81" s="45">
        <v>0</v>
      </c>
      <c r="S81" s="45">
        <v>0</v>
      </c>
      <c r="T81" s="45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0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v>101</v>
      </c>
      <c r="C84" s="60">
        <f t="shared" ref="C84:AD84" si="10">SUMIF(C73:C83,"&gt;0")</f>
        <v>196</v>
      </c>
      <c r="D84" s="60">
        <f t="shared" si="10"/>
        <v>223</v>
      </c>
      <c r="E84" s="60">
        <f t="shared" si="10"/>
        <v>374</v>
      </c>
      <c r="F84" s="60">
        <f t="shared" si="10"/>
        <v>301</v>
      </c>
      <c r="G84" s="60">
        <f t="shared" si="10"/>
        <v>304</v>
      </c>
      <c r="H84" s="60">
        <f t="shared" si="10"/>
        <v>309</v>
      </c>
      <c r="I84" s="60">
        <f t="shared" si="10"/>
        <v>154</v>
      </c>
      <c r="J84" s="60">
        <f t="shared" si="10"/>
        <v>209</v>
      </c>
      <c r="K84" s="60">
        <f t="shared" si="10"/>
        <v>295</v>
      </c>
      <c r="L84" s="60">
        <f t="shared" si="10"/>
        <v>301</v>
      </c>
      <c r="M84" s="60">
        <f t="shared" si="10"/>
        <v>349</v>
      </c>
      <c r="N84" s="60">
        <f t="shared" si="10"/>
        <v>379.3</v>
      </c>
      <c r="O84" s="60">
        <f t="shared" si="10"/>
        <v>359</v>
      </c>
      <c r="P84" s="60">
        <f t="shared" si="10"/>
        <v>389</v>
      </c>
      <c r="Q84" s="60">
        <f t="shared" si="10"/>
        <v>328.5</v>
      </c>
      <c r="R84" s="60">
        <f t="shared" si="10"/>
        <v>346.6</v>
      </c>
      <c r="S84" s="60">
        <f t="shared" si="10"/>
        <v>341.7</v>
      </c>
      <c r="T84" s="60">
        <f>SUMIF(T73:T83,"&gt;0")</f>
        <v>311.5</v>
      </c>
      <c r="U84" s="60">
        <f t="shared" si="10"/>
        <v>291.01</v>
      </c>
      <c r="V84" s="60">
        <f t="shared" si="10"/>
        <v>402</v>
      </c>
      <c r="W84" s="60">
        <f t="shared" si="10"/>
        <v>226</v>
      </c>
      <c r="X84" s="60">
        <f t="shared" si="10"/>
        <v>220.9</v>
      </c>
      <c r="Y84" s="60">
        <f t="shared" si="10"/>
        <v>196.5</v>
      </c>
      <c r="Z84" s="60">
        <f t="shared" si="10"/>
        <v>157.69999999999999</v>
      </c>
      <c r="AA84" s="60">
        <f t="shared" si="10"/>
        <v>154</v>
      </c>
      <c r="AB84" s="60">
        <f t="shared" si="10"/>
        <v>90.2</v>
      </c>
      <c r="AC84" s="60">
        <f t="shared" si="10"/>
        <v>79.699999999999989</v>
      </c>
      <c r="AD84" s="60">
        <f t="shared" si="10"/>
        <v>81.099999999999994</v>
      </c>
      <c r="AE84" s="60">
        <f>SUMIF(AE73:AE83,"&gt;0")</f>
        <v>86</v>
      </c>
      <c r="AF84" s="60">
        <f>SUMIF(AF73:AF83,"&gt;0")</f>
        <v>129.9</v>
      </c>
      <c r="AG84" s="88">
        <f>SUM(AG73:AG83)</f>
        <v>0</v>
      </c>
      <c r="AH84" s="47">
        <f t="shared" si="8"/>
        <v>402</v>
      </c>
      <c r="AI84" s="48">
        <f t="shared" si="9"/>
        <v>79.699999999999989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v>1550.7400000000002</v>
      </c>
      <c r="C89" s="95">
        <f t="shared" ref="C89:AG89" si="11">C50+C54+C72+C68+C84+C88</f>
        <v>1541.44</v>
      </c>
      <c r="D89" s="95">
        <f t="shared" si="11"/>
        <v>1508.44</v>
      </c>
      <c r="E89" s="95">
        <f t="shared" si="11"/>
        <v>1531.44</v>
      </c>
      <c r="F89" s="95">
        <f t="shared" si="11"/>
        <v>1472.44</v>
      </c>
      <c r="G89" s="95">
        <f t="shared" si="11"/>
        <v>1453.8400000000001</v>
      </c>
      <c r="H89" s="95">
        <f t="shared" si="11"/>
        <v>1553.44</v>
      </c>
      <c r="I89" s="95">
        <f t="shared" si="11"/>
        <v>1457.44</v>
      </c>
      <c r="J89" s="95">
        <f t="shared" si="11"/>
        <v>1551.04</v>
      </c>
      <c r="K89" s="95">
        <f t="shared" si="11"/>
        <v>1502.74</v>
      </c>
      <c r="L89" s="95">
        <f t="shared" si="11"/>
        <v>1550.44</v>
      </c>
      <c r="M89" s="95">
        <f t="shared" si="11"/>
        <v>1588.8400000000001</v>
      </c>
      <c r="N89" s="95">
        <f t="shared" si="11"/>
        <v>1632.54</v>
      </c>
      <c r="O89" s="95">
        <f t="shared" si="11"/>
        <v>1696.3400000000001</v>
      </c>
      <c r="P89" s="95">
        <f t="shared" si="11"/>
        <v>1736.54</v>
      </c>
      <c r="Q89" s="95">
        <f t="shared" si="11"/>
        <v>1703.6399999999999</v>
      </c>
      <c r="R89" s="95">
        <f t="shared" si="11"/>
        <v>1740.54</v>
      </c>
      <c r="S89" s="95">
        <f>S50+S54+S72+S68+S84+S88</f>
        <v>1713.14</v>
      </c>
      <c r="T89" s="95">
        <f>T50+T54+T72+T68+T84+T88</f>
        <v>1711.94</v>
      </c>
      <c r="U89" s="95">
        <f t="shared" si="11"/>
        <v>1706.75</v>
      </c>
      <c r="V89" s="95">
        <f t="shared" si="11"/>
        <v>1661.64</v>
      </c>
      <c r="W89" s="95">
        <f t="shared" si="11"/>
        <v>1630.04</v>
      </c>
      <c r="X89" s="95">
        <f t="shared" si="11"/>
        <v>1547.94</v>
      </c>
      <c r="Y89" s="95">
        <f t="shared" si="11"/>
        <v>1547.54</v>
      </c>
      <c r="Z89" s="95">
        <f t="shared" si="11"/>
        <v>1617.0400000000002</v>
      </c>
      <c r="AA89" s="95">
        <f t="shared" si="11"/>
        <v>1745.3400000000001</v>
      </c>
      <c r="AB89" s="95">
        <f t="shared" si="11"/>
        <v>1679.64</v>
      </c>
      <c r="AC89" s="95">
        <f t="shared" si="11"/>
        <v>1672.0400000000002</v>
      </c>
      <c r="AD89" s="95">
        <f t="shared" si="11"/>
        <v>1657.04</v>
      </c>
      <c r="AE89" s="95">
        <f>AE50+AE54+AE72+AE68+AE84+AE88</f>
        <v>1661.54</v>
      </c>
      <c r="AF89" s="95">
        <f>AF50+AF54+AF72+AF68+AF84+AF88</f>
        <v>1636.5400000000002</v>
      </c>
      <c r="AG89" s="61">
        <f t="shared" si="11"/>
        <v>2111.5500000000002</v>
      </c>
      <c r="AH89" s="47">
        <f t="shared" si="8"/>
        <v>1745.3400000000001</v>
      </c>
      <c r="AI89" s="48">
        <f t="shared" si="9"/>
        <v>1453.8400000000001</v>
      </c>
    </row>
    <row r="90" spans="1:40" ht="15.75" thickBot="1" x14ac:dyDescent="0.3">
      <c r="A90" s="96" t="s">
        <v>99</v>
      </c>
      <c r="B90" s="97">
        <v>0</v>
      </c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>
        <v>100</v>
      </c>
      <c r="Y90" s="97">
        <v>150</v>
      </c>
      <c r="Z90" s="97">
        <v>150</v>
      </c>
      <c r="AA90" s="97">
        <v>150</v>
      </c>
      <c r="AB90" s="97">
        <v>150</v>
      </c>
      <c r="AC90" s="97">
        <v>150</v>
      </c>
      <c r="AD90" s="97">
        <v>150</v>
      </c>
      <c r="AE90" s="97">
        <v>151</v>
      </c>
      <c r="AF90" s="97">
        <v>50</v>
      </c>
      <c r="AG90" s="88"/>
      <c r="AH90" s="47">
        <f t="shared" si="8"/>
        <v>151</v>
      </c>
      <c r="AI90" s="48">
        <f t="shared" si="9"/>
        <v>0</v>
      </c>
    </row>
    <row r="91" spans="1:40" ht="15.75" thickBot="1" x14ac:dyDescent="0.3">
      <c r="A91" s="74" t="s">
        <v>100</v>
      </c>
      <c r="B91" s="95">
        <v>1550.7400000000002</v>
      </c>
      <c r="C91" s="95">
        <f t="shared" ref="C91:AD91" si="12">C89+C90</f>
        <v>1541.44</v>
      </c>
      <c r="D91" s="95">
        <f t="shared" si="12"/>
        <v>1508.44</v>
      </c>
      <c r="E91" s="95">
        <f t="shared" si="12"/>
        <v>1531.44</v>
      </c>
      <c r="F91" s="95">
        <f t="shared" si="12"/>
        <v>1472.44</v>
      </c>
      <c r="G91" s="95">
        <f t="shared" si="12"/>
        <v>1453.8400000000001</v>
      </c>
      <c r="H91" s="95">
        <f t="shared" si="12"/>
        <v>1553.44</v>
      </c>
      <c r="I91" s="95">
        <f t="shared" si="12"/>
        <v>1457.44</v>
      </c>
      <c r="J91" s="95">
        <f t="shared" si="12"/>
        <v>1551.04</v>
      </c>
      <c r="K91" s="95">
        <f t="shared" si="12"/>
        <v>1502.74</v>
      </c>
      <c r="L91" s="95">
        <f t="shared" si="12"/>
        <v>1550.44</v>
      </c>
      <c r="M91" s="95">
        <f t="shared" si="12"/>
        <v>1588.8400000000001</v>
      </c>
      <c r="N91" s="95">
        <f t="shared" si="12"/>
        <v>1632.54</v>
      </c>
      <c r="O91" s="95">
        <f t="shared" si="12"/>
        <v>1696.3400000000001</v>
      </c>
      <c r="P91" s="95">
        <f t="shared" si="12"/>
        <v>1736.54</v>
      </c>
      <c r="Q91" s="95">
        <f t="shared" si="12"/>
        <v>1703.6399999999999</v>
      </c>
      <c r="R91" s="95">
        <f t="shared" si="12"/>
        <v>1740.54</v>
      </c>
      <c r="S91" s="95">
        <f t="shared" si="12"/>
        <v>1713.14</v>
      </c>
      <c r="T91" s="95">
        <f t="shared" si="12"/>
        <v>1711.94</v>
      </c>
      <c r="U91" s="95">
        <f t="shared" si="12"/>
        <v>1706.75</v>
      </c>
      <c r="V91" s="95">
        <f t="shared" si="12"/>
        <v>1661.64</v>
      </c>
      <c r="W91" s="95">
        <f t="shared" si="12"/>
        <v>1630.04</v>
      </c>
      <c r="X91" s="95">
        <f t="shared" si="12"/>
        <v>1647.94</v>
      </c>
      <c r="Y91" s="95">
        <f t="shared" si="12"/>
        <v>1697.54</v>
      </c>
      <c r="Z91" s="95">
        <f t="shared" si="12"/>
        <v>1767.0400000000002</v>
      </c>
      <c r="AA91" s="95">
        <f t="shared" si="12"/>
        <v>1895.3400000000001</v>
      </c>
      <c r="AB91" s="95">
        <f t="shared" si="12"/>
        <v>1829.64</v>
      </c>
      <c r="AC91" s="95">
        <f t="shared" si="12"/>
        <v>1822.0400000000002</v>
      </c>
      <c r="AD91" s="95">
        <f t="shared" si="12"/>
        <v>1807.04</v>
      </c>
      <c r="AE91" s="95">
        <f>AE89+AE90</f>
        <v>1812.54</v>
      </c>
      <c r="AF91" s="95">
        <f>AF89+AF90</f>
        <v>1686.5400000000002</v>
      </c>
      <c r="AG91" s="88">
        <f>AG88+AG84+AG72+AG68+AG50+AG90</f>
        <v>1573.45</v>
      </c>
      <c r="AH91" s="47">
        <f t="shared" si="8"/>
        <v>1895.3400000000001</v>
      </c>
      <c r="AI91" s="48">
        <f t="shared" si="9"/>
        <v>1453.8400000000001</v>
      </c>
    </row>
    <row r="92" spans="1:40" ht="15.75" thickBot="1" x14ac:dyDescent="0.3">
      <c r="A92" s="74" t="s">
        <v>101</v>
      </c>
      <c r="B92" s="95">
        <v>1550.7400000000002</v>
      </c>
      <c r="C92" s="95">
        <f t="shared" ref="C92:AD92" si="13">C91-C99</f>
        <v>1541.44</v>
      </c>
      <c r="D92" s="95">
        <f t="shared" si="13"/>
        <v>1508.44</v>
      </c>
      <c r="E92" s="95">
        <f t="shared" si="13"/>
        <v>1531.44</v>
      </c>
      <c r="F92" s="95">
        <f t="shared" si="13"/>
        <v>1472.44</v>
      </c>
      <c r="G92" s="95">
        <f t="shared" si="13"/>
        <v>1453.8400000000001</v>
      </c>
      <c r="H92" s="95">
        <f t="shared" si="13"/>
        <v>1553.44</v>
      </c>
      <c r="I92" s="95">
        <f t="shared" si="13"/>
        <v>1457.44</v>
      </c>
      <c r="J92" s="95">
        <f t="shared" si="13"/>
        <v>1551.04</v>
      </c>
      <c r="K92" s="95">
        <f t="shared" si="13"/>
        <v>1502.74</v>
      </c>
      <c r="L92" s="95">
        <f t="shared" si="13"/>
        <v>1550.44</v>
      </c>
      <c r="M92" s="95">
        <f t="shared" si="13"/>
        <v>1588.8400000000001</v>
      </c>
      <c r="N92" s="95">
        <f t="shared" si="13"/>
        <v>1632.54</v>
      </c>
      <c r="O92" s="95">
        <f t="shared" si="13"/>
        <v>1696.3400000000001</v>
      </c>
      <c r="P92" s="95">
        <f t="shared" si="13"/>
        <v>1736.54</v>
      </c>
      <c r="Q92" s="95">
        <f t="shared" si="13"/>
        <v>1703.6399999999999</v>
      </c>
      <c r="R92" s="95">
        <f t="shared" si="13"/>
        <v>1740.54</v>
      </c>
      <c r="S92" s="95">
        <f t="shared" si="13"/>
        <v>1713.14</v>
      </c>
      <c r="T92" s="95">
        <f t="shared" si="13"/>
        <v>1711.94</v>
      </c>
      <c r="U92" s="95">
        <f t="shared" si="13"/>
        <v>1706.75</v>
      </c>
      <c r="V92" s="95">
        <f t="shared" si="13"/>
        <v>1661.64</v>
      </c>
      <c r="W92" s="95">
        <f t="shared" si="13"/>
        <v>1630.04</v>
      </c>
      <c r="X92" s="95">
        <f t="shared" si="13"/>
        <v>1647.94</v>
      </c>
      <c r="Y92" s="95">
        <f t="shared" si="13"/>
        <v>1697.54</v>
      </c>
      <c r="Z92" s="95">
        <f t="shared" si="13"/>
        <v>1767.0400000000002</v>
      </c>
      <c r="AA92" s="95">
        <f t="shared" si="13"/>
        <v>1895.3400000000001</v>
      </c>
      <c r="AB92" s="95">
        <f t="shared" si="13"/>
        <v>1829.64</v>
      </c>
      <c r="AC92" s="95">
        <f t="shared" si="13"/>
        <v>1822.0400000000002</v>
      </c>
      <c r="AD92" s="95">
        <f t="shared" si="13"/>
        <v>1807.04</v>
      </c>
      <c r="AE92" s="95">
        <f>AE91-AE99</f>
        <v>1812.54</v>
      </c>
      <c r="AF92" s="95">
        <f>AF91-AF99</f>
        <v>1686.5400000000002</v>
      </c>
      <c r="AG92" s="88"/>
      <c r="AH92" s="47">
        <f t="shared" si="8"/>
        <v>1895.3400000000001</v>
      </c>
      <c r="AI92" s="48">
        <f t="shared" si="9"/>
        <v>1453.8400000000001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v>101</v>
      </c>
      <c r="C100" s="60">
        <f t="shared" ref="C100:AD100" si="14">C84-C99</f>
        <v>196</v>
      </c>
      <c r="D100" s="60">
        <f t="shared" si="14"/>
        <v>223</v>
      </c>
      <c r="E100" s="60">
        <f t="shared" si="14"/>
        <v>374</v>
      </c>
      <c r="F100" s="60">
        <f t="shared" si="14"/>
        <v>301</v>
      </c>
      <c r="G100" s="60">
        <f t="shared" si="14"/>
        <v>304</v>
      </c>
      <c r="H100" s="60">
        <f t="shared" si="14"/>
        <v>309</v>
      </c>
      <c r="I100" s="60">
        <f t="shared" si="14"/>
        <v>154</v>
      </c>
      <c r="J100" s="60">
        <f t="shared" si="14"/>
        <v>209</v>
      </c>
      <c r="K100" s="60">
        <f t="shared" si="14"/>
        <v>295</v>
      </c>
      <c r="L100" s="60">
        <f t="shared" si="14"/>
        <v>301</v>
      </c>
      <c r="M100" s="60">
        <f t="shared" si="14"/>
        <v>349</v>
      </c>
      <c r="N100" s="60">
        <f t="shared" si="14"/>
        <v>379.3</v>
      </c>
      <c r="O100" s="60">
        <f t="shared" si="14"/>
        <v>359</v>
      </c>
      <c r="P100" s="60">
        <f t="shared" si="14"/>
        <v>389</v>
      </c>
      <c r="Q100" s="60">
        <f t="shared" si="14"/>
        <v>328.5</v>
      </c>
      <c r="R100" s="60">
        <f t="shared" si="14"/>
        <v>346.6</v>
      </c>
      <c r="S100" s="60">
        <f t="shared" si="14"/>
        <v>341.7</v>
      </c>
      <c r="T100" s="60">
        <f t="shared" si="14"/>
        <v>311.5</v>
      </c>
      <c r="U100" s="60">
        <f t="shared" si="14"/>
        <v>291.01</v>
      </c>
      <c r="V100" s="60">
        <f t="shared" si="14"/>
        <v>402</v>
      </c>
      <c r="W100" s="60">
        <f t="shared" si="14"/>
        <v>226</v>
      </c>
      <c r="X100" s="60">
        <f t="shared" si="14"/>
        <v>220.9</v>
      </c>
      <c r="Y100" s="60">
        <f t="shared" si="14"/>
        <v>196.5</v>
      </c>
      <c r="Z100" s="60">
        <f t="shared" si="14"/>
        <v>157.69999999999999</v>
      </c>
      <c r="AA100" s="60">
        <f t="shared" si="14"/>
        <v>154</v>
      </c>
      <c r="AB100" s="60">
        <f t="shared" si="14"/>
        <v>90.2</v>
      </c>
      <c r="AC100" s="60">
        <f t="shared" si="14"/>
        <v>79.699999999999989</v>
      </c>
      <c r="AD100" s="60">
        <f t="shared" si="14"/>
        <v>81.099999999999994</v>
      </c>
      <c r="AE100" s="60">
        <f>AE84-AE99</f>
        <v>86</v>
      </c>
      <c r="AF100" s="60">
        <f>AF84-AF99</f>
        <v>129.9</v>
      </c>
      <c r="AG100" s="88"/>
      <c r="AH100" s="47">
        <f t="shared" si="8"/>
        <v>402</v>
      </c>
      <c r="AI100" s="48">
        <f t="shared" si="9"/>
        <v>79.699999999999989</v>
      </c>
    </row>
    <row r="101" spans="1:37" x14ac:dyDescent="0.25">
      <c r="A101" s="100" t="s">
        <v>107</v>
      </c>
      <c r="B101" s="101">
        <v>50.03</v>
      </c>
      <c r="C101" s="101">
        <v>50.04</v>
      </c>
      <c r="D101" s="101">
        <v>50.07</v>
      </c>
      <c r="E101" s="101">
        <v>50.11</v>
      </c>
      <c r="F101" s="101">
        <v>50.09</v>
      </c>
      <c r="G101" s="101">
        <v>50.07</v>
      </c>
      <c r="H101" s="101">
        <v>50.09</v>
      </c>
      <c r="I101" s="101">
        <v>49.99</v>
      </c>
      <c r="J101" s="101">
        <v>49.99</v>
      </c>
      <c r="K101" s="101">
        <v>50.01</v>
      </c>
      <c r="L101" s="101">
        <v>49.97</v>
      </c>
      <c r="M101" s="101">
        <v>50.1</v>
      </c>
      <c r="N101" s="101">
        <v>50.05</v>
      </c>
      <c r="O101" s="101">
        <v>50.055999999999997</v>
      </c>
      <c r="P101" s="101">
        <v>50.14</v>
      </c>
      <c r="Q101" s="101">
        <v>49.923000000000002</v>
      </c>
      <c r="R101" s="101">
        <v>50.03</v>
      </c>
      <c r="S101" s="101">
        <v>49.994999999999997</v>
      </c>
      <c r="T101" s="101">
        <v>49.98</v>
      </c>
      <c r="U101" s="101">
        <v>50.014000000000003</v>
      </c>
      <c r="V101" s="101">
        <v>50.048999999999999</v>
      </c>
      <c r="W101" s="101">
        <v>50.052999999999997</v>
      </c>
      <c r="X101" s="101">
        <v>50</v>
      </c>
      <c r="Y101" s="101">
        <v>50.027000000000001</v>
      </c>
      <c r="Z101" s="101">
        <v>50.01</v>
      </c>
      <c r="AA101" s="101">
        <v>50.051000000000002</v>
      </c>
      <c r="AB101" s="101">
        <v>50</v>
      </c>
      <c r="AC101" s="101">
        <v>50.046999999999997</v>
      </c>
      <c r="AD101" s="101">
        <v>50.097999999999999</v>
      </c>
      <c r="AE101" s="101">
        <v>49.96</v>
      </c>
      <c r="AF101" s="101">
        <v>49.98</v>
      </c>
      <c r="AG101" s="102"/>
      <c r="AH101" s="47">
        <f t="shared" si="8"/>
        <v>50.14</v>
      </c>
      <c r="AI101" s="48">
        <f t="shared" si="9"/>
        <v>49.923000000000002</v>
      </c>
    </row>
    <row r="102" spans="1:37" x14ac:dyDescent="0.25">
      <c r="A102" s="103" t="s">
        <v>108</v>
      </c>
      <c r="B102" s="65">
        <v>125</v>
      </c>
      <c r="C102" s="65">
        <v>125</v>
      </c>
      <c r="D102" s="65">
        <v>125</v>
      </c>
      <c r="E102" s="65">
        <v>125</v>
      </c>
      <c r="F102" s="65">
        <v>125</v>
      </c>
      <c r="G102" s="65">
        <v>124.9</v>
      </c>
      <c r="H102" s="65">
        <v>124.9</v>
      </c>
      <c r="I102" s="65">
        <v>124.4</v>
      </c>
      <c r="J102" s="65">
        <v>123.5</v>
      </c>
      <c r="K102" s="65">
        <v>124.6</v>
      </c>
      <c r="L102" s="65">
        <v>124.4</v>
      </c>
      <c r="M102" s="65">
        <v>123</v>
      </c>
      <c r="N102" s="65">
        <v>123</v>
      </c>
      <c r="O102" s="65">
        <v>121.8</v>
      </c>
      <c r="P102" s="65">
        <v>119.5</v>
      </c>
      <c r="Q102" s="65">
        <v>119.7</v>
      </c>
      <c r="R102" s="65">
        <v>121.5</v>
      </c>
      <c r="S102" s="65">
        <v>122.3</v>
      </c>
      <c r="T102" s="65">
        <v>122</v>
      </c>
      <c r="U102" s="65">
        <v>123.4</v>
      </c>
      <c r="V102" s="65">
        <v>125.1</v>
      </c>
      <c r="W102" s="65">
        <v>124.4</v>
      </c>
      <c r="X102" s="65">
        <v>126.3</v>
      </c>
      <c r="Y102" s="65">
        <v>126.1</v>
      </c>
      <c r="Z102" s="65">
        <v>125.6</v>
      </c>
      <c r="AA102" s="65">
        <v>123</v>
      </c>
      <c r="AB102" s="65">
        <v>125.9</v>
      </c>
      <c r="AC102" s="65">
        <v>126.2</v>
      </c>
      <c r="AD102" s="65">
        <v>125.9</v>
      </c>
      <c r="AE102" s="65">
        <v>125.2</v>
      </c>
      <c r="AF102" s="65">
        <v>124.9</v>
      </c>
      <c r="AG102" s="104"/>
      <c r="AH102" s="47">
        <f t="shared" si="8"/>
        <v>126.3</v>
      </c>
      <c r="AI102" s="48">
        <f t="shared" si="9"/>
        <v>119.5</v>
      </c>
    </row>
    <row r="103" spans="1:37" x14ac:dyDescent="0.25">
      <c r="A103" s="103" t="s">
        <v>109</v>
      </c>
      <c r="B103" s="65">
        <v>129.6</v>
      </c>
      <c r="C103" s="65">
        <v>129.6</v>
      </c>
      <c r="D103" s="65">
        <v>129.6</v>
      </c>
      <c r="E103" s="65">
        <v>130</v>
      </c>
      <c r="F103" s="65">
        <v>130</v>
      </c>
      <c r="G103" s="65">
        <v>129.30000000000001</v>
      </c>
      <c r="H103" s="65">
        <v>129.30000000000001</v>
      </c>
      <c r="I103" s="65">
        <v>129.30000000000001</v>
      </c>
      <c r="J103" s="65">
        <v>127.5</v>
      </c>
      <c r="K103" s="65">
        <v>127.8</v>
      </c>
      <c r="L103" s="65">
        <v>127.7</v>
      </c>
      <c r="M103" s="65">
        <v>126.9</v>
      </c>
      <c r="N103" s="65">
        <v>126.9</v>
      </c>
      <c r="O103" s="65">
        <v>126.9</v>
      </c>
      <c r="P103" s="65">
        <v>124.4</v>
      </c>
      <c r="Q103" s="65">
        <v>124.9</v>
      </c>
      <c r="R103" s="65">
        <v>126.5</v>
      </c>
      <c r="S103" s="65">
        <v>126.6</v>
      </c>
      <c r="T103" s="65">
        <v>127</v>
      </c>
      <c r="U103" s="65">
        <v>127.6</v>
      </c>
      <c r="V103" s="65">
        <v>128.30000000000001</v>
      </c>
      <c r="W103" s="65">
        <v>128.19999999999999</v>
      </c>
      <c r="X103" s="65">
        <v>129.19999999999999</v>
      </c>
      <c r="Y103" s="65">
        <v>129.1</v>
      </c>
      <c r="Z103" s="65">
        <v>128.69999999999999</v>
      </c>
      <c r="AA103" s="65">
        <v>126.1</v>
      </c>
      <c r="AB103" s="65">
        <v>128.69999999999999</v>
      </c>
      <c r="AC103" s="65">
        <v>129.19999999999999</v>
      </c>
      <c r="AD103" s="65">
        <v>128.69999999999999</v>
      </c>
      <c r="AE103" s="65">
        <v>129.19999999999999</v>
      </c>
      <c r="AF103" s="65">
        <v>129.4</v>
      </c>
      <c r="AG103" s="104"/>
      <c r="AH103" s="47">
        <f t="shared" si="8"/>
        <v>130</v>
      </c>
      <c r="AI103" s="48">
        <f t="shared" si="9"/>
        <v>124.4</v>
      </c>
    </row>
    <row r="104" spans="1:37" x14ac:dyDescent="0.25">
      <c r="A104" s="103" t="s">
        <v>110</v>
      </c>
      <c r="B104" s="65">
        <v>126</v>
      </c>
      <c r="C104" s="65">
        <v>126</v>
      </c>
      <c r="D104" s="65">
        <v>126</v>
      </c>
      <c r="E104" s="65">
        <v>130.69999999999999</v>
      </c>
      <c r="F104" s="65">
        <v>130.69999999999999</v>
      </c>
      <c r="G104" s="65">
        <v>128.30000000000001</v>
      </c>
      <c r="H104" s="65">
        <v>128.30000000000001</v>
      </c>
      <c r="I104" s="65">
        <v>128.30000000000001</v>
      </c>
      <c r="J104" s="65">
        <v>125</v>
      </c>
      <c r="K104" s="65">
        <v>126.9</v>
      </c>
      <c r="L104" s="65">
        <v>129.1</v>
      </c>
      <c r="M104" s="65">
        <v>122</v>
      </c>
      <c r="N104" s="65">
        <v>122</v>
      </c>
      <c r="O104" s="65">
        <v>122</v>
      </c>
      <c r="P104" s="65">
        <v>122.5</v>
      </c>
      <c r="Q104" s="65">
        <v>125.9</v>
      </c>
      <c r="R104" s="65">
        <v>122</v>
      </c>
      <c r="S104" s="65">
        <v>124.1</v>
      </c>
      <c r="T104" s="65">
        <v>127</v>
      </c>
      <c r="U104" s="65">
        <v>123.9</v>
      </c>
      <c r="V104" s="65">
        <v>128.6</v>
      </c>
      <c r="W104" s="65">
        <v>124.9</v>
      </c>
      <c r="X104" s="65">
        <v>129.4</v>
      </c>
      <c r="Y104" s="65">
        <v>127.5</v>
      </c>
      <c r="Z104" s="65">
        <v>125</v>
      </c>
      <c r="AA104" s="65">
        <v>128.30000000000001</v>
      </c>
      <c r="AB104" s="65">
        <v>127.8</v>
      </c>
      <c r="AC104" s="65">
        <v>128.30000000000001</v>
      </c>
      <c r="AD104" s="65">
        <v>126.4</v>
      </c>
      <c r="AE104" s="65">
        <v>128.1</v>
      </c>
      <c r="AF104" s="65">
        <v>126.3</v>
      </c>
      <c r="AG104" s="104"/>
      <c r="AH104" s="47">
        <f t="shared" si="8"/>
        <v>130.69999999999999</v>
      </c>
      <c r="AI104" s="48">
        <f t="shared" si="9"/>
        <v>122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133</v>
      </c>
      <c r="C106" s="106">
        <v>133</v>
      </c>
      <c r="D106" s="106">
        <v>133</v>
      </c>
      <c r="E106" s="106">
        <v>131.69999999999999</v>
      </c>
      <c r="F106" s="106">
        <v>131.69999999999999</v>
      </c>
      <c r="G106" s="106">
        <v>129.6</v>
      </c>
      <c r="H106" s="106">
        <v>129.6</v>
      </c>
      <c r="I106" s="106">
        <v>129.6</v>
      </c>
      <c r="J106" s="106">
        <v>132</v>
      </c>
      <c r="K106" s="106">
        <v>133.6</v>
      </c>
      <c r="L106" s="106">
        <v>132.30000000000001</v>
      </c>
      <c r="M106" s="106">
        <v>131</v>
      </c>
      <c r="N106" s="106">
        <v>131</v>
      </c>
      <c r="O106" s="106">
        <v>131</v>
      </c>
      <c r="P106" s="106">
        <v>129.4</v>
      </c>
      <c r="Q106" s="106">
        <v>133.30000000000001</v>
      </c>
      <c r="R106" s="106">
        <v>135.5</v>
      </c>
      <c r="S106" s="106">
        <v>134.30000000000001</v>
      </c>
      <c r="T106" s="106">
        <v>133.19999999999999</v>
      </c>
      <c r="U106" s="106">
        <v>133.9</v>
      </c>
      <c r="V106" s="106">
        <v>131.69999999999999</v>
      </c>
      <c r="W106" s="106">
        <v>130.9</v>
      </c>
      <c r="X106" s="106">
        <v>133.6</v>
      </c>
      <c r="Y106" s="106">
        <v>134.5</v>
      </c>
      <c r="Z106" s="106">
        <v>134.9</v>
      </c>
      <c r="AA106" s="106">
        <v>127.3</v>
      </c>
      <c r="AB106" s="106">
        <v>133.80000000000001</v>
      </c>
      <c r="AC106" s="106">
        <v>133</v>
      </c>
      <c r="AD106" s="106">
        <v>134.1</v>
      </c>
      <c r="AE106" s="106">
        <v>128.80000000000001</v>
      </c>
      <c r="AF106" s="106">
        <v>132.1</v>
      </c>
      <c r="AG106" s="107"/>
      <c r="AH106" s="47">
        <f t="shared" si="8"/>
        <v>135.5</v>
      </c>
      <c r="AI106" s="48">
        <f t="shared" si="9"/>
        <v>127.3</v>
      </c>
    </row>
    <row r="107" spans="1:37" x14ac:dyDescent="0.25">
      <c r="A107" s="103" t="s">
        <v>113</v>
      </c>
      <c r="B107" s="65">
        <v>130</v>
      </c>
      <c r="C107" s="65">
        <v>130</v>
      </c>
      <c r="D107" s="65">
        <v>130</v>
      </c>
      <c r="E107" s="65">
        <v>136.80000000000001</v>
      </c>
      <c r="F107" s="65">
        <v>136.80000000000001</v>
      </c>
      <c r="G107" s="65">
        <v>127.2</v>
      </c>
      <c r="H107" s="65">
        <v>127.2</v>
      </c>
      <c r="I107" s="65">
        <v>127.2</v>
      </c>
      <c r="J107" s="65">
        <v>128.80000000000001</v>
      </c>
      <c r="K107" s="65">
        <v>133.30000000000001</v>
      </c>
      <c r="L107" s="65">
        <v>130.80000000000001</v>
      </c>
      <c r="M107" s="65">
        <v>130.9</v>
      </c>
      <c r="N107" s="65">
        <v>130.9</v>
      </c>
      <c r="O107" s="65">
        <v>130.9</v>
      </c>
      <c r="P107" s="65">
        <v>136.4</v>
      </c>
      <c r="Q107" s="65">
        <v>129.30000000000001</v>
      </c>
      <c r="R107" s="65">
        <v>134.5</v>
      </c>
      <c r="S107" s="65">
        <v>132.69999999999999</v>
      </c>
      <c r="T107" s="65">
        <v>132</v>
      </c>
      <c r="U107" s="65">
        <v>125.9</v>
      </c>
      <c r="V107" s="65">
        <v>130.1</v>
      </c>
      <c r="W107" s="65">
        <v>127</v>
      </c>
      <c r="X107" s="65">
        <v>131.19999999999999</v>
      </c>
      <c r="Y107" s="65">
        <v>132.69999999999999</v>
      </c>
      <c r="Z107" s="65">
        <v>134.19999999999999</v>
      </c>
      <c r="AA107" s="65">
        <v>125.8</v>
      </c>
      <c r="AB107" s="65">
        <v>133.6</v>
      </c>
      <c r="AC107" s="65">
        <v>126.4</v>
      </c>
      <c r="AD107" s="65">
        <v>135.5</v>
      </c>
      <c r="AE107" s="65">
        <v>130.5</v>
      </c>
      <c r="AF107" s="65">
        <v>128.30000000000001</v>
      </c>
      <c r="AG107" s="104"/>
      <c r="AH107" s="47">
        <f t="shared" si="8"/>
        <v>136.80000000000001</v>
      </c>
      <c r="AI107" s="48">
        <f t="shared" si="9"/>
        <v>125.8</v>
      </c>
    </row>
    <row r="108" spans="1:37" ht="15.75" thickBot="1" x14ac:dyDescent="0.3">
      <c r="A108" s="103" t="s">
        <v>114</v>
      </c>
      <c r="B108" s="92">
        <v>65.099999999999994</v>
      </c>
      <c r="C108" s="92">
        <v>65.099999999999994</v>
      </c>
      <c r="D108" s="92">
        <v>65.099999999999994</v>
      </c>
      <c r="E108" s="92">
        <v>65.2</v>
      </c>
      <c r="F108" s="92">
        <v>65.2</v>
      </c>
      <c r="G108" s="92">
        <v>65.099999999999994</v>
      </c>
      <c r="H108" s="92">
        <v>65.099999999999994</v>
      </c>
      <c r="I108" s="92">
        <v>65.099999999999994</v>
      </c>
      <c r="J108" s="92">
        <v>64.5</v>
      </c>
      <c r="K108" s="92">
        <v>64</v>
      </c>
      <c r="L108" s="92">
        <v>63.8</v>
      </c>
      <c r="M108" s="92">
        <v>63.5</v>
      </c>
      <c r="N108" s="92">
        <v>63.5</v>
      </c>
      <c r="O108" s="92">
        <v>63.5</v>
      </c>
      <c r="P108" s="92">
        <v>62.2</v>
      </c>
      <c r="Q108" s="92">
        <v>62</v>
      </c>
      <c r="R108" s="92">
        <v>62.9</v>
      </c>
      <c r="S108" s="92">
        <v>63.1</v>
      </c>
      <c r="T108" s="92">
        <v>63</v>
      </c>
      <c r="U108" s="92">
        <v>63.5</v>
      </c>
      <c r="V108" s="92">
        <v>64.099999999999994</v>
      </c>
      <c r="W108" s="92">
        <v>64.099999999999994</v>
      </c>
      <c r="X108" s="92">
        <v>64.599999999999994</v>
      </c>
      <c r="Y108" s="92">
        <v>64.400000000000006</v>
      </c>
      <c r="Z108" s="92">
        <v>64.3</v>
      </c>
      <c r="AA108" s="92">
        <v>63.1</v>
      </c>
      <c r="AB108" s="92">
        <v>64.3</v>
      </c>
      <c r="AC108" s="92">
        <v>64.8</v>
      </c>
      <c r="AD108" s="92">
        <v>64.3</v>
      </c>
      <c r="AE108" s="92">
        <v>64.8</v>
      </c>
      <c r="AF108" s="92">
        <v>65</v>
      </c>
      <c r="AG108" s="108"/>
      <c r="AH108" s="47">
        <f t="shared" si="8"/>
        <v>65.2</v>
      </c>
      <c r="AI108" s="48">
        <f t="shared" si="9"/>
        <v>62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v>103.10000000000002</v>
      </c>
      <c r="C110" s="111">
        <f t="shared" ref="C110:O110" si="15">SUM(C20,C26,C29:C30,C58,C60:C61,C63,C65,C111:C115,C138,C144,C150,C159,C161,C173,C180,C183:C184,C191,C193,C195,C199:C201,C203:C205,C210,C216:C217,C219:C221,C229,C234)</f>
        <v>79.04000000000002</v>
      </c>
      <c r="D110" s="111">
        <f t="shared" si="15"/>
        <v>79.04000000000002</v>
      </c>
      <c r="E110" s="111">
        <f t="shared" si="15"/>
        <v>68.44</v>
      </c>
      <c r="F110" s="111">
        <f t="shared" si="15"/>
        <v>93.840000000000018</v>
      </c>
      <c r="G110" s="111">
        <f t="shared" si="15"/>
        <v>68.44</v>
      </c>
      <c r="H110" s="111">
        <f t="shared" si="15"/>
        <v>68.44</v>
      </c>
      <c r="I110" s="111">
        <f t="shared" si="15"/>
        <v>186.14000000000001</v>
      </c>
      <c r="J110" s="111">
        <f t="shared" si="15"/>
        <v>192.64</v>
      </c>
      <c r="K110" s="111">
        <f t="shared" si="15"/>
        <v>200.83999999999997</v>
      </c>
      <c r="L110" s="111">
        <f t="shared" si="15"/>
        <v>216.14</v>
      </c>
      <c r="M110" s="111">
        <f t="shared" si="15"/>
        <v>239.54</v>
      </c>
      <c r="N110" s="111">
        <f t="shared" si="15"/>
        <v>244.54000000000002</v>
      </c>
      <c r="O110" s="111">
        <f t="shared" si="15"/>
        <v>244.54000000000002</v>
      </c>
      <c r="P110" s="111">
        <v>42</v>
      </c>
      <c r="Q110" s="111">
        <f t="shared" ref="Q110:AC110" si="16">SUM(Q20,Q26,Q29:Q30,Q58,Q60:Q61,Q63,Q65,Q111:Q115,Q138,Q144,Q150,Q159,Q161,Q173,Q180,Q183:Q184,Q191,Q193,Q195,Q199:Q201,Q203:Q205,Q210,Q216:Q217,Q219:Q221,Q229,Q234)</f>
        <v>244.09999999999997</v>
      </c>
      <c r="R110" s="111">
        <f t="shared" si="16"/>
        <v>237.4</v>
      </c>
      <c r="S110" s="111">
        <f t="shared" si="16"/>
        <v>246.29999999999998</v>
      </c>
      <c r="T110" s="111">
        <f t="shared" si="16"/>
        <v>260.5</v>
      </c>
      <c r="U110" s="111">
        <f t="shared" si="16"/>
        <v>224.59999999999997</v>
      </c>
      <c r="V110" s="111">
        <f t="shared" si="16"/>
        <v>246.7</v>
      </c>
      <c r="W110" s="111">
        <f t="shared" si="16"/>
        <v>248.7</v>
      </c>
      <c r="X110" s="111">
        <f t="shared" si="16"/>
        <v>236.29999999999998</v>
      </c>
      <c r="Y110" s="111">
        <f t="shared" si="16"/>
        <v>244.8</v>
      </c>
      <c r="Z110" s="111">
        <f t="shared" si="16"/>
        <v>279.10000000000002</v>
      </c>
      <c r="AA110" s="111">
        <f t="shared" si="16"/>
        <v>325.2</v>
      </c>
      <c r="AB110" s="111">
        <f t="shared" si="16"/>
        <v>262.2</v>
      </c>
      <c r="AC110" s="111">
        <f t="shared" si="16"/>
        <v>240.19999999999996</v>
      </c>
      <c r="AD110" s="111"/>
      <c r="AE110" s="111"/>
      <c r="AF110" s="111"/>
      <c r="AG110" s="112"/>
      <c r="AH110" s="47">
        <f t="shared" si="8"/>
        <v>325.2</v>
      </c>
      <c r="AI110" s="48">
        <f t="shared" si="9"/>
        <v>42</v>
      </c>
    </row>
    <row r="111" spans="1:37" x14ac:dyDescent="0.25">
      <c r="A111" s="100" t="s">
        <v>117</v>
      </c>
      <c r="B111" s="113">
        <v>39</v>
      </c>
      <c r="C111" s="113">
        <v>32</v>
      </c>
      <c r="D111" s="113">
        <v>32</v>
      </c>
      <c r="E111" s="113">
        <v>10.9</v>
      </c>
      <c r="F111" s="113">
        <v>12</v>
      </c>
      <c r="G111" s="113">
        <v>10.9</v>
      </c>
      <c r="H111" s="113">
        <v>10.9</v>
      </c>
      <c r="I111" s="113">
        <v>36.4</v>
      </c>
      <c r="J111" s="113">
        <v>37.299999999999997</v>
      </c>
      <c r="K111" s="113">
        <v>39.4</v>
      </c>
      <c r="L111" s="113">
        <v>45.8</v>
      </c>
      <c r="M111" s="113">
        <v>45.5</v>
      </c>
      <c r="N111" s="113">
        <v>39.6</v>
      </c>
      <c r="O111" s="113">
        <v>39.6</v>
      </c>
      <c r="P111" s="113">
        <v>30.9</v>
      </c>
      <c r="Q111" s="113">
        <v>31.5</v>
      </c>
      <c r="R111" s="113">
        <v>30.4</v>
      </c>
      <c r="S111" s="113">
        <v>29.3</v>
      </c>
      <c r="T111" s="113">
        <v>35</v>
      </c>
      <c r="U111" s="113">
        <v>27.2</v>
      </c>
      <c r="V111" s="113">
        <v>34.5</v>
      </c>
      <c r="W111" s="113">
        <v>42.5</v>
      </c>
      <c r="X111" s="113">
        <v>41.4</v>
      </c>
      <c r="Y111" s="113">
        <v>41.6</v>
      </c>
      <c r="Z111" s="113">
        <v>45</v>
      </c>
      <c r="AA111" s="113">
        <v>39</v>
      </c>
      <c r="AB111" s="113">
        <v>40.799999999999997</v>
      </c>
      <c r="AC111" s="113">
        <v>39.799999999999997</v>
      </c>
      <c r="AD111" s="113">
        <v>43.8</v>
      </c>
      <c r="AE111" s="113">
        <v>34.700000000000003</v>
      </c>
      <c r="AF111" s="113">
        <v>19.399999999999999</v>
      </c>
      <c r="AG111" s="114">
        <v>75</v>
      </c>
      <c r="AH111" s="47">
        <f t="shared" si="8"/>
        <v>45.8</v>
      </c>
      <c r="AI111" s="48">
        <f t="shared" si="9"/>
        <v>10.9</v>
      </c>
    </row>
    <row r="112" spans="1:37" x14ac:dyDescent="0.25">
      <c r="A112" s="103" t="s">
        <v>118</v>
      </c>
      <c r="B112" s="115">
        <v>20</v>
      </c>
      <c r="C112" s="115">
        <v>15</v>
      </c>
      <c r="D112" s="115">
        <v>15</v>
      </c>
      <c r="E112" s="115">
        <v>26</v>
      </c>
      <c r="F112" s="115">
        <v>28</v>
      </c>
      <c r="G112" s="115">
        <v>26</v>
      </c>
      <c r="H112" s="115">
        <v>26</v>
      </c>
      <c r="I112" s="115">
        <v>58</v>
      </c>
      <c r="J112" s="115">
        <v>58.9</v>
      </c>
      <c r="K112" s="115">
        <v>61.1</v>
      </c>
      <c r="L112" s="115">
        <v>63.3</v>
      </c>
      <c r="M112" s="115">
        <v>65.599999999999994</v>
      </c>
      <c r="N112" s="115">
        <v>56.8</v>
      </c>
      <c r="O112" s="115">
        <v>56.8</v>
      </c>
      <c r="P112" s="115">
        <v>44.9</v>
      </c>
      <c r="Q112" s="115">
        <v>46.8</v>
      </c>
      <c r="R112" s="115">
        <v>46.5</v>
      </c>
      <c r="S112" s="115">
        <v>42.6</v>
      </c>
      <c r="T112" s="115">
        <v>53</v>
      </c>
      <c r="U112" s="115">
        <v>55.7</v>
      </c>
      <c r="V112" s="115">
        <v>50</v>
      </c>
      <c r="W112" s="115">
        <v>62</v>
      </c>
      <c r="X112" s="115">
        <v>60</v>
      </c>
      <c r="Y112" s="115">
        <v>60.4</v>
      </c>
      <c r="Z112" s="115">
        <v>64.900000000000006</v>
      </c>
      <c r="AA112" s="115">
        <v>56</v>
      </c>
      <c r="AB112" s="115">
        <v>60</v>
      </c>
      <c r="AC112" s="115">
        <v>59.3</v>
      </c>
      <c r="AD112" s="115">
        <v>63.8</v>
      </c>
      <c r="AE112" s="115">
        <v>54.8</v>
      </c>
      <c r="AF112" s="115">
        <v>38.200000000000003</v>
      </c>
      <c r="AG112" s="114">
        <v>240</v>
      </c>
      <c r="AH112" s="47">
        <f t="shared" si="8"/>
        <v>65.599999999999994</v>
      </c>
      <c r="AI112" s="48">
        <f t="shared" si="9"/>
        <v>15</v>
      </c>
    </row>
    <row r="113" spans="1:37" x14ac:dyDescent="0.25">
      <c r="A113" s="103" t="s">
        <v>119</v>
      </c>
      <c r="B113" s="115">
        <v>-93</v>
      </c>
      <c r="C113" s="115">
        <v>-92</v>
      </c>
      <c r="D113" s="115">
        <v>-92</v>
      </c>
      <c r="E113" s="115">
        <f>-39.6-42.3</f>
        <v>-81.900000000000006</v>
      </c>
      <c r="F113" s="115">
        <f>-29.7-32</f>
        <v>-61.7</v>
      </c>
      <c r="G113" s="115">
        <f>-39.6-42.3</f>
        <v>-81.900000000000006</v>
      </c>
      <c r="H113" s="115">
        <f>-39.6-42.3</f>
        <v>-81.900000000000006</v>
      </c>
      <c r="I113" s="115">
        <f>-17.4-18.8</f>
        <v>-36.200000000000003</v>
      </c>
      <c r="J113" s="115">
        <f>-18.9-19.4</f>
        <v>-38.299999999999997</v>
      </c>
      <c r="K113" s="115">
        <f>-32-15.4</f>
        <v>-47.4</v>
      </c>
      <c r="L113" s="115">
        <f>-29.7-13.1</f>
        <v>-42.8</v>
      </c>
      <c r="M113" s="115">
        <v>-25</v>
      </c>
      <c r="N113" s="115">
        <v>-46</v>
      </c>
      <c r="O113" s="115">
        <v>-46</v>
      </c>
      <c r="P113" s="115">
        <v>-66</v>
      </c>
      <c r="Q113" s="115">
        <v>-67</v>
      </c>
      <c r="R113" s="115">
        <v>-73</v>
      </c>
      <c r="S113" s="115">
        <v>-67</v>
      </c>
      <c r="T113" s="115">
        <v>-66</v>
      </c>
      <c r="U113" s="115">
        <v>-97.9</v>
      </c>
      <c r="V113" s="115">
        <v>-55</v>
      </c>
      <c r="W113" s="115">
        <v>-67</v>
      </c>
      <c r="X113" s="115">
        <v>-58</v>
      </c>
      <c r="Y113" s="115">
        <v>-56</v>
      </c>
      <c r="Z113" s="115">
        <v>-50</v>
      </c>
      <c r="AA113" s="115">
        <v>-35</v>
      </c>
      <c r="AB113" s="115">
        <v>-70.400000000000006</v>
      </c>
      <c r="AC113" s="115">
        <v>-81</v>
      </c>
      <c r="AD113" s="115">
        <v>-77</v>
      </c>
      <c r="AE113" s="115">
        <f>-37.4-44</f>
        <v>-81.400000000000006</v>
      </c>
      <c r="AF113" s="115">
        <f>-41-47</f>
        <v>-88</v>
      </c>
      <c r="AG113" s="114">
        <v>240</v>
      </c>
      <c r="AH113" s="47">
        <f t="shared" si="8"/>
        <v>-25</v>
      </c>
      <c r="AI113" s="48">
        <f t="shared" si="9"/>
        <v>-97.9</v>
      </c>
    </row>
    <row r="114" spans="1:37" x14ac:dyDescent="0.25">
      <c r="A114" s="103" t="s">
        <v>120</v>
      </c>
      <c r="B114" s="115">
        <v>-6.2</v>
      </c>
      <c r="C114" s="115">
        <v>-2</v>
      </c>
      <c r="D114" s="115">
        <v>-2</v>
      </c>
      <c r="E114" s="115">
        <v>-12.6</v>
      </c>
      <c r="F114" s="115">
        <v>-10.5</v>
      </c>
      <c r="G114" s="115">
        <v>-12.6</v>
      </c>
      <c r="H114" s="115">
        <v>-12.6</v>
      </c>
      <c r="I114" s="115">
        <v>1.9</v>
      </c>
      <c r="J114" s="115">
        <v>8.6999999999999993</v>
      </c>
      <c r="K114" s="115">
        <v>21.7</v>
      </c>
      <c r="L114" s="115">
        <v>23.8</v>
      </c>
      <c r="M114" s="115">
        <v>21.6</v>
      </c>
      <c r="N114" s="115">
        <v>24.3</v>
      </c>
      <c r="O114" s="115">
        <v>24.3</v>
      </c>
      <c r="P114" s="115">
        <v>13.4</v>
      </c>
      <c r="Q114" s="115">
        <v>16.2</v>
      </c>
      <c r="R114" s="115">
        <v>10</v>
      </c>
      <c r="S114" s="115">
        <v>14.2</v>
      </c>
      <c r="T114" s="115">
        <v>17.3</v>
      </c>
      <c r="U114" s="115">
        <v>30.3</v>
      </c>
      <c r="V114" s="115">
        <v>27</v>
      </c>
      <c r="W114" s="115">
        <v>25</v>
      </c>
      <c r="X114" s="115">
        <v>15.1</v>
      </c>
      <c r="Y114" s="115">
        <v>16.399999999999999</v>
      </c>
      <c r="Z114" s="115">
        <v>20</v>
      </c>
      <c r="AA114" s="115">
        <v>25</v>
      </c>
      <c r="AB114" s="115">
        <v>26.3</v>
      </c>
      <c r="AC114" s="115">
        <v>24.7</v>
      </c>
      <c r="AD114" s="115">
        <v>27.6</v>
      </c>
      <c r="AE114" s="115">
        <v>12.4</v>
      </c>
      <c r="AF114" s="115">
        <v>7.3</v>
      </c>
      <c r="AG114" s="114">
        <v>60</v>
      </c>
      <c r="AH114" s="47">
        <f t="shared" si="8"/>
        <v>30.3</v>
      </c>
      <c r="AI114" s="48">
        <f t="shared" si="9"/>
        <v>-12.6</v>
      </c>
    </row>
    <row r="115" spans="1:37" x14ac:dyDescent="0.25">
      <c r="A115" s="116" t="s">
        <v>121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30</v>
      </c>
      <c r="O115" s="117">
        <v>30</v>
      </c>
      <c r="P115" s="117">
        <v>90.8</v>
      </c>
      <c r="Q115" s="117">
        <v>78.2</v>
      </c>
      <c r="R115" s="117">
        <v>85.1</v>
      </c>
      <c r="S115" s="117">
        <v>90</v>
      </c>
      <c r="T115" s="117">
        <v>84</v>
      </c>
      <c r="U115" s="117">
        <v>68.3</v>
      </c>
      <c r="V115" s="117">
        <v>61</v>
      </c>
      <c r="W115" s="117">
        <v>57</v>
      </c>
      <c r="X115" s="117">
        <v>53.6</v>
      </c>
      <c r="Y115" s="117">
        <v>58.2</v>
      </c>
      <c r="Z115" s="117">
        <v>67</v>
      </c>
      <c r="AA115" s="117">
        <v>108</v>
      </c>
      <c r="AB115" s="117">
        <v>73.3</v>
      </c>
      <c r="AC115" s="117">
        <v>63.6</v>
      </c>
      <c r="AD115" s="117">
        <v>0</v>
      </c>
      <c r="AE115" s="117">
        <v>0</v>
      </c>
      <c r="AF115" s="117">
        <v>0</v>
      </c>
      <c r="AG115" s="118">
        <v>120</v>
      </c>
      <c r="AH115" s="47">
        <f t="shared" si="8"/>
        <v>108</v>
      </c>
      <c r="AI115" s="48">
        <f t="shared" si="9"/>
        <v>0</v>
      </c>
    </row>
    <row r="116" spans="1:37" x14ac:dyDescent="0.25">
      <c r="A116" s="116" t="s">
        <v>122</v>
      </c>
      <c r="B116" s="117">
        <v>74</v>
      </c>
      <c r="C116" s="117">
        <v>78</v>
      </c>
      <c r="D116" s="117">
        <v>79</v>
      </c>
      <c r="E116" s="117">
        <v>93.2</v>
      </c>
      <c r="F116" s="117">
        <v>95</v>
      </c>
      <c r="G116" s="117">
        <v>93.2</v>
      </c>
      <c r="H116" s="117">
        <v>93.2</v>
      </c>
      <c r="I116" s="117">
        <v>90</v>
      </c>
      <c r="J116" s="117">
        <v>96.4</v>
      </c>
      <c r="K116" s="117">
        <v>83</v>
      </c>
      <c r="L116" s="117">
        <v>89</v>
      </c>
      <c r="M116" s="117">
        <v>97.8</v>
      </c>
      <c r="N116" s="117">
        <v>94.8</v>
      </c>
      <c r="O116" s="117">
        <v>94.8</v>
      </c>
      <c r="P116" s="117">
        <v>99</v>
      </c>
      <c r="Q116" s="117">
        <v>87.7</v>
      </c>
      <c r="R116" s="117">
        <v>94.9</v>
      </c>
      <c r="S116" s="117">
        <v>96</v>
      </c>
      <c r="T116" s="117">
        <v>89</v>
      </c>
      <c r="U116" s="117">
        <v>79</v>
      </c>
      <c r="V116" s="117">
        <v>74</v>
      </c>
      <c r="W116" s="117">
        <v>69</v>
      </c>
      <c r="X116" s="117">
        <v>59</v>
      </c>
      <c r="Y116" s="117">
        <v>61</v>
      </c>
      <c r="Z116" s="117">
        <v>60</v>
      </c>
      <c r="AA116" s="117">
        <v>86</v>
      </c>
      <c r="AB116" s="117">
        <v>57</v>
      </c>
      <c r="AC116" s="117">
        <v>57.5</v>
      </c>
      <c r="AD116" s="117">
        <v>75.3</v>
      </c>
      <c r="AE116" s="117">
        <v>85.4</v>
      </c>
      <c r="AF116" s="117">
        <v>74</v>
      </c>
      <c r="AG116" s="118"/>
      <c r="AH116" s="47">
        <f t="shared" si="8"/>
        <v>99</v>
      </c>
      <c r="AI116" s="48">
        <f t="shared" si="9"/>
        <v>57</v>
      </c>
    </row>
    <row r="117" spans="1:37" x14ac:dyDescent="0.25">
      <c r="A117" s="116" t="s">
        <v>123</v>
      </c>
      <c r="B117" s="117"/>
      <c r="C117" s="117">
        <v>70</v>
      </c>
      <c r="D117" s="117">
        <v>80</v>
      </c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>
        <v>43</v>
      </c>
      <c r="T117" s="117">
        <v>33</v>
      </c>
      <c r="U117" s="117">
        <v>26.9</v>
      </c>
      <c r="V117" s="117">
        <v>29</v>
      </c>
      <c r="W117" s="117">
        <v>22</v>
      </c>
      <c r="X117" s="117">
        <v>27</v>
      </c>
      <c r="Y117" s="117">
        <v>24</v>
      </c>
      <c r="Z117" s="117">
        <v>18</v>
      </c>
      <c r="AA117" s="117">
        <v>36</v>
      </c>
      <c r="AB117" s="117">
        <v>32.1</v>
      </c>
      <c r="AC117" s="117">
        <v>33.200000000000003</v>
      </c>
      <c r="AD117" s="117">
        <v>33.4</v>
      </c>
      <c r="AE117" s="117">
        <v>42.6</v>
      </c>
      <c r="AF117" s="117">
        <v>51.1</v>
      </c>
      <c r="AG117" s="119"/>
      <c r="AH117" s="47">
        <f t="shared" si="8"/>
        <v>80</v>
      </c>
      <c r="AI117" s="48">
        <f t="shared" si="9"/>
        <v>18</v>
      </c>
    </row>
    <row r="118" spans="1:37" x14ac:dyDescent="0.25">
      <c r="A118" s="120" t="s">
        <v>124</v>
      </c>
      <c r="B118" s="106">
        <v>-13</v>
      </c>
      <c r="C118" s="106">
        <v>-8</v>
      </c>
      <c r="D118" s="106">
        <v>-8</v>
      </c>
      <c r="E118" s="106">
        <v>-6.7</v>
      </c>
      <c r="F118" s="106">
        <v>-2.2999999999999998</v>
      </c>
      <c r="G118" s="106">
        <v>-2.2999999999999998</v>
      </c>
      <c r="H118" s="106">
        <v>-2.2999999999999998</v>
      </c>
      <c r="I118" s="106">
        <v>-4.3</v>
      </c>
      <c r="J118" s="106">
        <v>-5.7</v>
      </c>
      <c r="K118" s="106">
        <v>-9.4</v>
      </c>
      <c r="L118" s="106">
        <v>-3.9</v>
      </c>
      <c r="M118" s="106">
        <v>-17.3</v>
      </c>
      <c r="N118" s="106">
        <v>-19</v>
      </c>
      <c r="O118" s="106">
        <v>-19</v>
      </c>
      <c r="P118" s="106">
        <v>-18.600000000000001</v>
      </c>
      <c r="Q118" s="106">
        <v>-12.9</v>
      </c>
      <c r="R118" s="106">
        <v>-14</v>
      </c>
      <c r="S118" s="106">
        <v>-16</v>
      </c>
      <c r="T118" s="106">
        <v>-17</v>
      </c>
      <c r="U118" s="106">
        <v>-15.1</v>
      </c>
      <c r="V118" s="106">
        <v>-18</v>
      </c>
      <c r="W118" s="106">
        <v>-18</v>
      </c>
      <c r="X118" s="106">
        <v>-21</v>
      </c>
      <c r="Y118" s="106">
        <v>-24</v>
      </c>
      <c r="Z118" s="106">
        <v>-30</v>
      </c>
      <c r="AA118" s="106">
        <v>-27</v>
      </c>
      <c r="AB118" s="106">
        <v>-35</v>
      </c>
      <c r="AC118" s="106">
        <v>-30.6</v>
      </c>
      <c r="AD118" s="106">
        <v>-29.7</v>
      </c>
      <c r="AE118" s="106">
        <v>-22</v>
      </c>
      <c r="AF118" s="106">
        <v>-17.100000000000001</v>
      </c>
      <c r="AG118" s="119"/>
      <c r="AH118" s="47">
        <f t="shared" si="8"/>
        <v>-2.2999999999999998</v>
      </c>
      <c r="AI118" s="48">
        <f t="shared" si="9"/>
        <v>-35</v>
      </c>
    </row>
    <row r="119" spans="1:37" x14ac:dyDescent="0.25">
      <c r="A119" s="175" t="s">
        <v>265</v>
      </c>
      <c r="B119" s="106">
        <v>100</v>
      </c>
      <c r="C119" s="106">
        <v>102</v>
      </c>
      <c r="D119" s="106">
        <v>95</v>
      </c>
      <c r="E119" s="106">
        <v>62.7</v>
      </c>
      <c r="F119" s="106">
        <v>46.1</v>
      </c>
      <c r="G119" s="106">
        <v>76.2</v>
      </c>
      <c r="H119" s="106">
        <v>76.2</v>
      </c>
      <c r="I119" s="106">
        <v>28.3</v>
      </c>
      <c r="J119" s="106">
        <v>32.799999999999997</v>
      </c>
      <c r="K119" s="106">
        <v>48.8</v>
      </c>
      <c r="L119" s="106">
        <v>43.1</v>
      </c>
      <c r="M119" s="106">
        <v>54.3</v>
      </c>
      <c r="N119" s="106">
        <v>56</v>
      </c>
      <c r="O119" s="106">
        <v>56</v>
      </c>
      <c r="P119" s="106">
        <v>63.6</v>
      </c>
      <c r="Q119" s="106">
        <v>80.8</v>
      </c>
      <c r="R119" s="106">
        <v>80.900000000000006</v>
      </c>
      <c r="S119" s="106">
        <v>70</v>
      </c>
      <c r="T119" s="106">
        <v>75</v>
      </c>
      <c r="U119" s="106">
        <v>99.8</v>
      </c>
      <c r="V119" s="106">
        <v>74</v>
      </c>
      <c r="W119" s="106">
        <v>95</v>
      </c>
      <c r="X119" s="106">
        <v>70</v>
      </c>
      <c r="Y119" s="106">
        <v>67</v>
      </c>
      <c r="Z119" s="106">
        <v>64</v>
      </c>
      <c r="AA119" s="106">
        <v>91</v>
      </c>
      <c r="AB119" s="106">
        <v>67.400000000000006</v>
      </c>
      <c r="AC119" s="106">
        <v>88.4</v>
      </c>
      <c r="AD119" s="106">
        <v>59.7</v>
      </c>
      <c r="AE119" s="106">
        <v>101.8</v>
      </c>
      <c r="AF119" s="106">
        <v>94.5</v>
      </c>
      <c r="AG119" s="119"/>
      <c r="AH119" s="47">
        <f t="shared" si="8"/>
        <v>102</v>
      </c>
      <c r="AI119" s="48">
        <f t="shared" si="9"/>
        <v>28.3</v>
      </c>
    </row>
    <row r="120" spans="1:37" ht="15.75" thickBot="1" x14ac:dyDescent="0.3">
      <c r="A120" s="120" t="s">
        <v>125</v>
      </c>
      <c r="B120" s="106">
        <v>104</v>
      </c>
      <c r="C120" s="106">
        <v>103</v>
      </c>
      <c r="D120" s="106">
        <v>96</v>
      </c>
      <c r="E120" s="106">
        <v>93</v>
      </c>
      <c r="F120" s="106">
        <v>80</v>
      </c>
      <c r="G120" s="106">
        <v>76.400000000000006</v>
      </c>
      <c r="H120" s="106">
        <v>76.400000000000006</v>
      </c>
      <c r="I120" s="106">
        <v>90</v>
      </c>
      <c r="J120" s="106">
        <v>92.5</v>
      </c>
      <c r="K120" s="106">
        <v>92.5</v>
      </c>
      <c r="L120" s="106">
        <v>82.3</v>
      </c>
      <c r="M120" s="106">
        <v>99.8</v>
      </c>
      <c r="N120" s="106">
        <v>59</v>
      </c>
      <c r="O120" s="106">
        <v>59</v>
      </c>
      <c r="P120" s="106">
        <v>99.4</v>
      </c>
      <c r="Q120" s="106">
        <v>90.1</v>
      </c>
      <c r="R120" s="106">
        <v>101.2</v>
      </c>
      <c r="S120" s="106">
        <v>96</v>
      </c>
      <c r="T120" s="106">
        <v>102</v>
      </c>
      <c r="U120" s="106">
        <v>99.3</v>
      </c>
      <c r="V120" s="106">
        <v>95</v>
      </c>
      <c r="W120" s="106">
        <v>89</v>
      </c>
      <c r="X120" s="106">
        <v>84</v>
      </c>
      <c r="Y120" s="106">
        <v>83</v>
      </c>
      <c r="Z120" s="106">
        <v>94</v>
      </c>
      <c r="AA120" s="106">
        <v>93</v>
      </c>
      <c r="AB120" s="106">
        <v>111.6</v>
      </c>
      <c r="AC120" s="106">
        <v>108.6</v>
      </c>
      <c r="AD120" s="106">
        <v>106.5</v>
      </c>
      <c r="AE120" s="106">
        <v>108.8</v>
      </c>
      <c r="AF120" s="106">
        <v>110.2</v>
      </c>
      <c r="AG120" s="119"/>
      <c r="AH120" s="47">
        <f t="shared" si="8"/>
        <v>111.6</v>
      </c>
      <c r="AI120" s="48">
        <f t="shared" si="9"/>
        <v>59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123.21900000000009</v>
      </c>
      <c r="N231" s="128">
        <f t="shared" ca="1" si="19"/>
        <v>119.19900000000008</v>
      </c>
      <c r="O231" s="128">
        <f t="shared" ca="1" si="19"/>
        <v>119.19900000000008</v>
      </c>
      <c r="P231" s="128">
        <f t="shared" ca="1" si="19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121.23900000000009</v>
      </c>
      <c r="M235" s="136">
        <f t="shared" ca="1" si="20"/>
        <v>125.2590000000001</v>
      </c>
      <c r="N235" s="136">
        <f t="shared" ca="1" si="20"/>
        <v>121.23900000000009</v>
      </c>
      <c r="O235" s="136">
        <f t="shared" ca="1" si="20"/>
        <v>121.23900000000009</v>
      </c>
      <c r="P235" s="136">
        <f t="shared" ca="1" si="20"/>
        <v>121.23900000000009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1632.54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16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2080/02/16)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2080/02/16)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1550.7400000000002</v>
      </c>
      <c r="U249" s="170">
        <f t="shared" si="21"/>
        <v>1541.44</v>
      </c>
      <c r="V249" s="170">
        <f t="shared" si="21"/>
        <v>1508.44</v>
      </c>
      <c r="W249" s="170">
        <f t="shared" si="21"/>
        <v>1531.44</v>
      </c>
      <c r="X249" s="170">
        <f t="shared" si="21"/>
        <v>1472.44</v>
      </c>
      <c r="Y249" s="170">
        <f t="shared" si="21"/>
        <v>1453.8400000000001</v>
      </c>
      <c r="Z249" s="170">
        <f t="shared" si="21"/>
        <v>1553.44</v>
      </c>
      <c r="AA249" s="170">
        <f t="shared" si="21"/>
        <v>1457.44</v>
      </c>
      <c r="AB249" s="170">
        <f t="shared" si="21"/>
        <v>1551.04</v>
      </c>
      <c r="AC249" s="170">
        <f t="shared" si="21"/>
        <v>1502.74</v>
      </c>
      <c r="AD249" s="170">
        <f t="shared" si="21"/>
        <v>1550.44</v>
      </c>
      <c r="AE249" s="170">
        <f t="shared" si="21"/>
        <v>1588.8400000000001</v>
      </c>
      <c r="AF249" s="170">
        <f t="shared" si="21"/>
        <v>1632.54</v>
      </c>
      <c r="AG249" s="170">
        <f t="shared" si="21"/>
        <v>1696.3400000000001</v>
      </c>
      <c r="AH249" s="170">
        <f t="shared" si="21"/>
        <v>1736.54</v>
      </c>
      <c r="AI249" s="170">
        <f t="shared" si="21"/>
        <v>1703.6399999999999</v>
      </c>
      <c r="AJ249" s="170">
        <f t="shared" si="21"/>
        <v>1740.54</v>
      </c>
      <c r="AK249" s="170">
        <f t="shared" si="21"/>
        <v>1713.14</v>
      </c>
      <c r="AL249" s="170">
        <f t="shared" si="21"/>
        <v>1711.94</v>
      </c>
      <c r="AM249" s="170">
        <f t="shared" si="21"/>
        <v>1706.75</v>
      </c>
      <c r="AN249" s="170">
        <f t="shared" si="21"/>
        <v>1661.64</v>
      </c>
      <c r="AO249" s="170">
        <f t="shared" si="21"/>
        <v>1630.04</v>
      </c>
      <c r="AP249" s="170">
        <f t="shared" si="21"/>
        <v>1647.94</v>
      </c>
      <c r="AQ249" s="170">
        <f t="shared" si="21"/>
        <v>1697.54</v>
      </c>
      <c r="AR249" s="170">
        <f t="shared" si="21"/>
        <v>1767.0400000000002</v>
      </c>
      <c r="AS249" s="170">
        <f t="shared" si="21"/>
        <v>1895.3400000000001</v>
      </c>
      <c r="AT249" s="170">
        <f t="shared" si="21"/>
        <v>1829.64</v>
      </c>
      <c r="AU249" s="170">
        <f t="shared" si="21"/>
        <v>1822.0400000000002</v>
      </c>
      <c r="AV249" s="170">
        <f t="shared" si="21"/>
        <v>1807.04</v>
      </c>
      <c r="AW249" s="170">
        <f t="shared" si="21"/>
        <v>1812.54</v>
      </c>
      <c r="AX249" s="170">
        <f t="shared" si="21"/>
        <v>1686.5400000000002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E111:AF111 E113:AF119 B14:AF17 B12:AF12">
    <cfRule type="expression" dxfId="7788" priority="409">
      <formula>B$9&gt;=20/24</formula>
    </cfRule>
    <cfRule type="expression" dxfId="7787" priority="410">
      <formula>AND(B$9&gt;=14/24,B$9&lt;20/24)</formula>
    </cfRule>
    <cfRule type="expression" dxfId="7786" priority="411">
      <formula>AND(B$9&gt;=8/24,B$9&lt;14/24)</formula>
    </cfRule>
    <cfRule type="expression" dxfId="7785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G67 B14:AF17 B12:AF12">
    <cfRule type="expression" dxfId="7784" priority="407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7783" priority="406">
      <formula>$AH12=0</formula>
    </cfRule>
  </conditionalFormatting>
  <conditionalFormatting sqref="A116">
    <cfRule type="expression" dxfId="7782" priority="405">
      <formula>$AH116=0</formula>
    </cfRule>
  </conditionalFormatting>
  <conditionalFormatting sqref="AL44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7781" priority="403">
      <formula>$AH47=0</formula>
    </cfRule>
  </conditionalFormatting>
  <conditionalFormatting sqref="A100">
    <cfRule type="expression" dxfId="7780" priority="402">
      <formula>$AH100=0</formula>
    </cfRule>
  </conditionalFormatting>
  <conditionalFormatting sqref="A20">
    <cfRule type="expression" dxfId="7779" priority="401">
      <formula>$AH20=0</formula>
    </cfRule>
  </conditionalFormatting>
  <conditionalFormatting sqref="A199:A204">
    <cfRule type="expression" dxfId="7778" priority="400">
      <formula>$AH199=0</formula>
    </cfRule>
  </conditionalFormatting>
  <conditionalFormatting sqref="A193:A198">
    <cfRule type="expression" dxfId="7777" priority="399">
      <formula>$AH193=0</formula>
    </cfRule>
  </conditionalFormatting>
  <conditionalFormatting sqref="A60">
    <cfRule type="expression" dxfId="7776" priority="398">
      <formula>$AH60=0</formula>
    </cfRule>
  </conditionalFormatting>
  <conditionalFormatting sqref="A96">
    <cfRule type="expression" dxfId="7775" priority="397">
      <formula>$AH96=0</formula>
    </cfRule>
  </conditionalFormatting>
  <conditionalFormatting sqref="E101:Y101 AD101:AF101">
    <cfRule type="expression" dxfId="7774" priority="393">
      <formula>E$9&gt;=20/24</formula>
    </cfRule>
    <cfRule type="expression" dxfId="7773" priority="394">
      <formula>AND(E$9&gt;=14/24,E$9&lt;20/24)</formula>
    </cfRule>
    <cfRule type="expression" dxfId="7772" priority="395">
      <formula>AND(E$9&gt;=8/24,E$9&lt;14/24)</formula>
    </cfRule>
    <cfRule type="expression" dxfId="7771" priority="396">
      <formula>E$9&lt;8/24</formula>
    </cfRule>
  </conditionalFormatting>
  <conditionalFormatting sqref="AL45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770" priority="415">
      <formula>C$9&gt;=20/24</formula>
    </cfRule>
    <cfRule type="expression" dxfId="7769" priority="416">
      <formula>AND(C$9&gt;=14/24,C$9&lt;20/24)</formula>
    </cfRule>
    <cfRule type="expression" dxfId="7768" priority="417">
      <formula>AND(C$9&gt;=8/24,C$9&lt;14/24)</formula>
    </cfRule>
    <cfRule type="expression" dxfId="7767" priority="418">
      <formula>C$9&lt;8/24</formula>
    </cfRule>
  </conditionalFormatting>
  <conditionalFormatting sqref="A236">
    <cfRule type="expression" dxfId="7766" priority="419">
      <formula>$AH236=0</formula>
    </cfRule>
  </conditionalFormatting>
  <conditionalFormatting sqref="AG248">
    <cfRule type="expression" dxfId="7765" priority="420">
      <formula>B$9&gt;=20/24</formula>
    </cfRule>
    <cfRule type="expression" dxfId="7764" priority="421">
      <formula>AND(B$9&gt;=14/24,B$9&lt;20/24)</formula>
    </cfRule>
    <cfRule type="expression" dxfId="7763" priority="422">
      <formula>AND(B$9&gt;=8/24,B$9&lt;14/24)</formula>
    </cfRule>
    <cfRule type="expression" dxfId="7762" priority="423">
      <formula>B$9&lt;8/24</formula>
    </cfRule>
  </conditionalFormatting>
  <conditionalFormatting sqref="S8">
    <cfRule type="expression" dxfId="7761" priority="388">
      <formula>U$9&gt;=20/24</formula>
    </cfRule>
    <cfRule type="expression" dxfId="7760" priority="389">
      <formula>AND(U$9&gt;=14/24,U$9&lt;20/24)</formula>
    </cfRule>
    <cfRule type="expression" dxfId="7759" priority="390">
      <formula>AND(U$9&gt;=8/24,U$9&lt;14/24)</formula>
    </cfRule>
    <cfRule type="expression" dxfId="7758" priority="391">
      <formula>U$9&lt;8/24</formula>
    </cfRule>
  </conditionalFormatting>
  <conditionalFormatting sqref="AB8">
    <cfRule type="expression" dxfId="7757" priority="384">
      <formula>AD$9&gt;=20/24</formula>
    </cfRule>
    <cfRule type="expression" dxfId="7756" priority="385">
      <formula>AND(AD$9&gt;=14/24,AD$9&lt;20/24)</formula>
    </cfRule>
    <cfRule type="expression" dxfId="7755" priority="386">
      <formula>AND(AD$9&gt;=8/24,AD$9&lt;14/24)</formula>
    </cfRule>
    <cfRule type="expression" dxfId="7754" priority="387">
      <formula>AD$9&lt;8/24</formula>
    </cfRule>
  </conditionalFormatting>
  <conditionalFormatting sqref="AH248:AX248">
    <cfRule type="expression" dxfId="7753" priority="424">
      <formula>AG$9&gt;=20/24</formula>
    </cfRule>
    <cfRule type="expression" dxfId="7752" priority="425">
      <formula>AND(AG$9&gt;=14/24,AG$9&lt;20/24)</formula>
    </cfRule>
    <cfRule type="expression" dxfId="7751" priority="426">
      <formula>AND(AG$9&gt;=8/24,AG$9&lt;14/24)</formula>
    </cfRule>
    <cfRule type="expression" dxfId="7750" priority="427">
      <formula>AG$9&lt;8/24</formula>
    </cfRule>
  </conditionalFormatting>
  <conditionalFormatting sqref="T248">
    <cfRule type="expression" dxfId="7749" priority="428">
      <formula>AX$9&gt;=20/24</formula>
    </cfRule>
    <cfRule type="expression" dxfId="7748" priority="429">
      <formula>AND(AX$9&gt;=14/24,AX$9&lt;20/24)</formula>
    </cfRule>
    <cfRule type="expression" dxfId="7747" priority="430">
      <formula>AND(AX$9&gt;=8/24,AX$9&lt;14/24)</formula>
    </cfRule>
    <cfRule type="expression" dxfId="7746" priority="431">
      <formula>AX$9&lt;8/24</formula>
    </cfRule>
  </conditionalFormatting>
  <conditionalFormatting sqref="A117:A119">
    <cfRule type="expression" dxfId="7745" priority="383">
      <formula>$AH117=0</formula>
    </cfRule>
  </conditionalFormatting>
  <conditionalFormatting sqref="M56:P57 N59 M58:N58 O58:P59 Q56:R59 J73:AF73">
    <cfRule type="expression" dxfId="7744" priority="379">
      <formula>J$9&gt;=20/24</formula>
    </cfRule>
    <cfRule type="expression" dxfId="7743" priority="380">
      <formula>AND(J$9&gt;=14/24,J$9&lt;20/24)</formula>
    </cfRule>
    <cfRule type="expression" dxfId="7742" priority="381">
      <formula>AND(J$9&gt;=8/24,J$9&lt;14/24)</formula>
    </cfRule>
    <cfRule type="expression" dxfId="7741" priority="382">
      <formula>J$9&lt;8/24</formula>
    </cfRule>
  </conditionalFormatting>
  <conditionalFormatting sqref="M55:R55">
    <cfRule type="expression" dxfId="7740" priority="375">
      <formula>M$9&gt;=20/24</formula>
    </cfRule>
    <cfRule type="expression" dxfId="7739" priority="376">
      <formula>AND(M$9&gt;=14/24,M$9&lt;20/24)</formula>
    </cfRule>
    <cfRule type="expression" dxfId="7738" priority="377">
      <formula>AND(M$9&gt;=8/24,M$9&lt;14/24)</formula>
    </cfRule>
    <cfRule type="expression" dxfId="7737" priority="378">
      <formula>M$9&lt;8/24</formula>
    </cfRule>
  </conditionalFormatting>
  <conditionalFormatting sqref="M55:P57 N59 M58:N58 O58:P59 Q55:R59">
    <cfRule type="expression" dxfId="7736" priority="374">
      <formula>M55&gt;$AG55</formula>
    </cfRule>
  </conditionalFormatting>
  <conditionalFormatting sqref="J74:Q74 H75:Q75 M102:Y108 R74:AC75 D88:AF88 X98:AF98 AD74:AF76 X49:AF49 AB69:AF71">
    <cfRule type="expression" dxfId="7735" priority="370">
      <formula>D$9&gt;=20/24</formula>
    </cfRule>
    <cfRule type="expression" dxfId="7734" priority="371">
      <formula>AND(D$9&gt;=14/24,D$9&lt;20/24)</formula>
    </cfRule>
    <cfRule type="expression" dxfId="7733" priority="372">
      <formula>AND(D$9&gt;=8/24,D$9&lt;14/24)</formula>
    </cfRule>
    <cfRule type="expression" dxfId="7732" priority="373">
      <formula>D$9&lt;8/24</formula>
    </cfRule>
  </conditionalFormatting>
  <conditionalFormatting sqref="X49:AF49 AB69:AF71">
    <cfRule type="expression" dxfId="7731" priority="369">
      <formula>X49&gt;$AG49</formula>
    </cfRule>
  </conditionalFormatting>
  <conditionalFormatting sqref="S55:T59 U55:AF60">
    <cfRule type="expression" dxfId="7730" priority="365">
      <formula>S$9&gt;=20/24</formula>
    </cfRule>
    <cfRule type="expression" dxfId="7729" priority="366">
      <formula>AND(S$9&gt;=14/24,S$9&lt;20/24)</formula>
    </cfRule>
    <cfRule type="expression" dxfId="7728" priority="367">
      <formula>AND(S$9&gt;=8/24,S$9&lt;14/24)</formula>
    </cfRule>
    <cfRule type="expression" dxfId="7727" priority="368">
      <formula>S$9&lt;8/24</formula>
    </cfRule>
  </conditionalFormatting>
  <conditionalFormatting sqref="S55:T59 U55:AF60">
    <cfRule type="expression" dxfId="7726" priority="364">
      <formula>S55&gt;$AG55</formula>
    </cfRule>
  </conditionalFormatting>
  <conditionalFormatting sqref="C99:AF99 D90:AF90">
    <cfRule type="expression" dxfId="7725" priority="360">
      <formula>C$9&gt;=20/24</formula>
    </cfRule>
    <cfRule type="expression" dxfId="7724" priority="361">
      <formula>AND(C$9&gt;=14/24,C$9&lt;20/24)</formula>
    </cfRule>
    <cfRule type="expression" dxfId="7723" priority="362">
      <formula>AND(C$9&gt;=8/24,C$9&lt;14/24)</formula>
    </cfRule>
    <cfRule type="expression" dxfId="7722" priority="363">
      <formula>C$9&lt;8/24</formula>
    </cfRule>
  </conditionalFormatting>
  <conditionalFormatting sqref="T49:W49">
    <cfRule type="expression" dxfId="7721" priority="356">
      <formula>T$9&gt;=20/24</formula>
    </cfRule>
    <cfRule type="expression" dxfId="7720" priority="357">
      <formula>AND(T$9&gt;=14/24,T$9&lt;20/24)</formula>
    </cfRule>
    <cfRule type="expression" dxfId="7719" priority="358">
      <formula>AND(T$9&gt;=8/24,T$9&lt;14/24)</formula>
    </cfRule>
    <cfRule type="expression" dxfId="7718" priority="359">
      <formula>T$9&lt;8/24</formula>
    </cfRule>
  </conditionalFormatting>
  <conditionalFormatting sqref="T49:W49">
    <cfRule type="expression" dxfId="7717" priority="355">
      <formula>T49&gt;$AG49</formula>
    </cfRule>
  </conditionalFormatting>
  <conditionalFormatting sqref="E56:L57">
    <cfRule type="expression" dxfId="7716" priority="351">
      <formula>E$9&gt;=20/24</formula>
    </cfRule>
    <cfRule type="expression" dxfId="7715" priority="352">
      <formula>AND(E$9&gt;=14/24,E$9&lt;20/24)</formula>
    </cfRule>
    <cfRule type="expression" dxfId="7714" priority="353">
      <formula>AND(E$9&gt;=8/24,E$9&lt;14/24)</formula>
    </cfRule>
    <cfRule type="expression" dxfId="7713" priority="354">
      <formula>E$9&lt;8/24</formula>
    </cfRule>
  </conditionalFormatting>
  <conditionalFormatting sqref="E55:L55">
    <cfRule type="expression" dxfId="7712" priority="347">
      <formula>E$9&gt;=20/24</formula>
    </cfRule>
    <cfRule type="expression" dxfId="7711" priority="348">
      <formula>AND(E$9&gt;=14/24,E$9&lt;20/24)</formula>
    </cfRule>
    <cfRule type="expression" dxfId="7710" priority="349">
      <formula>AND(E$9&gt;=8/24,E$9&lt;14/24)</formula>
    </cfRule>
    <cfRule type="expression" dxfId="7709" priority="350">
      <formula>E$9&lt;8/24</formula>
    </cfRule>
  </conditionalFormatting>
  <conditionalFormatting sqref="E55:L57">
    <cfRule type="expression" dxfId="7708" priority="346">
      <formula>E55&gt;$AG55</formula>
    </cfRule>
  </conditionalFormatting>
  <conditionalFormatting sqref="AG72 AG89 E102:L108">
    <cfRule type="expression" dxfId="7707" priority="342">
      <formula>E$9&gt;=20/24</formula>
    </cfRule>
    <cfRule type="expression" dxfId="7706" priority="343">
      <formula>AND(E$9&gt;=14/24,E$9&lt;20/24)</formula>
    </cfRule>
    <cfRule type="expression" dxfId="7705" priority="344">
      <formula>AND(E$9&gt;=8/24,E$9&lt;14/24)</formula>
    </cfRule>
    <cfRule type="expression" dxfId="7704" priority="345">
      <formula>E$9&lt;8/24</formula>
    </cfRule>
  </conditionalFormatting>
  <conditionalFormatting sqref="AG50 AG68 AG72">
    <cfRule type="expression" dxfId="7703" priority="341">
      <formula>AG50&gt;$AG50</formula>
    </cfRule>
  </conditionalFormatting>
  <conditionalFormatting sqref="A45">
    <cfRule type="expression" dxfId="7702" priority="335">
      <formula>$AH45=0</formula>
    </cfRule>
  </conditionalFormatting>
  <conditionalFormatting sqref="X93:AF97">
    <cfRule type="expression" dxfId="7701" priority="331">
      <formula>X$9&gt;=20/24</formula>
    </cfRule>
    <cfRule type="expression" dxfId="7700" priority="332">
      <formula>AND(X$9&gt;=14/24,X$9&lt;20/24)</formula>
    </cfRule>
    <cfRule type="expression" dxfId="7699" priority="333">
      <formula>AND(X$9&gt;=8/24,X$9&lt;14/24)</formula>
    </cfRule>
    <cfRule type="expression" dxfId="7698" priority="334">
      <formula>X$9&lt;8/24</formula>
    </cfRule>
  </conditionalFormatting>
  <conditionalFormatting sqref="AL47 AL43 AL24:AL34 AL40:AL41 AL19:AL22 AL36:AL38 AL7:AL17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7697" priority="327">
      <formula>E$9&gt;=20/24</formula>
    </cfRule>
    <cfRule type="expression" dxfId="7696" priority="328">
      <formula>AND(E$9&gt;=14/24,E$9&lt;20/24)</formula>
    </cfRule>
    <cfRule type="expression" dxfId="7695" priority="329">
      <formula>AND(E$9&gt;=8/24,E$9&lt;14/24)</formula>
    </cfRule>
    <cfRule type="expression" dxfId="7694" priority="330">
      <formula>E$9&lt;8/24</formula>
    </cfRule>
  </conditionalFormatting>
  <conditionalFormatting sqref="E51:AF53">
    <cfRule type="expression" dxfId="7693" priority="326">
      <formula>E51&gt;$AG51</formula>
    </cfRule>
  </conditionalFormatting>
  <conditionalFormatting sqref="AG54">
    <cfRule type="expression" dxfId="7692" priority="322">
      <formula>AG$9&gt;=20/24</formula>
    </cfRule>
    <cfRule type="expression" dxfId="7691" priority="323">
      <formula>AND(AG$9&gt;=14/24,AG$9&lt;20/24)</formula>
    </cfRule>
    <cfRule type="expression" dxfId="7690" priority="324">
      <formula>AND(AG$9&gt;=8/24,AG$9&lt;14/24)</formula>
    </cfRule>
    <cfRule type="expression" dxfId="7689" priority="325">
      <formula>AG$9&lt;8/24</formula>
    </cfRule>
  </conditionalFormatting>
  <conditionalFormatting sqref="AG54">
    <cfRule type="expression" dxfId="7688" priority="321">
      <formula>AG54&gt;$AG54</formula>
    </cfRule>
  </conditionalFormatting>
  <conditionalFormatting sqref="C109:AF109">
    <cfRule type="expression" dxfId="7687" priority="317">
      <formula>C$9&gt;=20/24</formula>
    </cfRule>
    <cfRule type="expression" dxfId="7686" priority="318">
      <formula>AND(C$9&gt;=14/24,C$9&lt;20/24)</formula>
    </cfRule>
    <cfRule type="expression" dxfId="7685" priority="319">
      <formula>AND(C$9&gt;=8/24,C$9&lt;14/24)</formula>
    </cfRule>
    <cfRule type="expression" dxfId="7684" priority="320">
      <formula>C$9&lt;8/24</formula>
    </cfRule>
  </conditionalFormatting>
  <conditionalFormatting sqref="AL42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7683" priority="315">
      <formula>$AH42=0</formula>
    </cfRule>
  </conditionalFormatting>
  <conditionalFormatting sqref="A92">
    <cfRule type="expression" dxfId="7682" priority="313">
      <formula>$AH92=0</formula>
    </cfRule>
  </conditionalFormatting>
  <conditionalFormatting sqref="A89">
    <cfRule type="expression" dxfId="7681" priority="314">
      <formula>$AH89=0</formula>
    </cfRule>
  </conditionalFormatting>
  <conditionalFormatting sqref="E112:AF112">
    <cfRule type="expression" dxfId="7680" priority="309">
      <formula>E$9&gt;=20/24</formula>
    </cfRule>
    <cfRule type="expression" dxfId="7679" priority="310">
      <formula>AND(E$9&gt;=14/24,E$9&lt;20/24)</formula>
    </cfRule>
    <cfRule type="expression" dxfId="7678" priority="311">
      <formula>AND(E$9&gt;=8/24,E$9&lt;14/24)</formula>
    </cfRule>
    <cfRule type="expression" dxfId="7677" priority="312">
      <formula>E$9&lt;8/24</formula>
    </cfRule>
  </conditionalFormatting>
  <conditionalFormatting sqref="A112">
    <cfRule type="expression" dxfId="7676" priority="308">
      <formula>$AH112=0</formula>
    </cfRule>
  </conditionalFormatting>
  <conditionalFormatting sqref="A23">
    <cfRule type="expression" dxfId="7675" priority="306">
      <formula>$AH23=0</formula>
    </cfRule>
  </conditionalFormatting>
  <conditionalFormatting sqref="AL2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7674" priority="304">
      <formula>$AH39=0</formula>
    </cfRule>
  </conditionalFormatting>
  <conditionalFormatting sqref="AL39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7673" priority="300">
      <formula>Z$9&gt;=20/24</formula>
    </cfRule>
    <cfRule type="expression" dxfId="7672" priority="301">
      <formula>AND(Z$9&gt;=14/24,Z$9&lt;20/24)</formula>
    </cfRule>
    <cfRule type="expression" dxfId="7671" priority="302">
      <formula>AND(Z$9&gt;=8/24,Z$9&lt;14/24)</formula>
    </cfRule>
    <cfRule type="expression" dxfId="7670" priority="303">
      <formula>Z$9&lt;8/24</formula>
    </cfRule>
  </conditionalFormatting>
  <conditionalFormatting sqref="Z102:AG108">
    <cfRule type="expression" dxfId="7669" priority="296">
      <formula>Z$9&gt;=20/24</formula>
    </cfRule>
    <cfRule type="expression" dxfId="7668" priority="297">
      <formula>AND(Z$9&gt;=14/24,Z$9&lt;20/24)</formula>
    </cfRule>
    <cfRule type="expression" dxfId="7667" priority="298">
      <formula>AND(Z$9&gt;=8/24,Z$9&lt;14/24)</formula>
    </cfRule>
    <cfRule type="expression" dxfId="7666" priority="299">
      <formula>Z$9&lt;8/24</formula>
    </cfRule>
  </conditionalFormatting>
  <conditionalFormatting sqref="Z20:AA20 C111:D111 C113:D119 AA19 AA21:AA30 AA36:AF45 AA32:AF34 AB19:AF30">
    <cfRule type="expression" dxfId="7665" priority="292">
      <formula>C$9&gt;=20/24</formula>
    </cfRule>
    <cfRule type="expression" dxfId="7664" priority="293">
      <formula>AND(C$9&gt;=14/24,C$9&lt;20/24)</formula>
    </cfRule>
    <cfRule type="expression" dxfId="7663" priority="294">
      <formula>AND(C$9&gt;=8/24,C$9&lt;14/24)</formula>
    </cfRule>
    <cfRule type="expression" dxfId="7662" priority="295">
      <formula>C$9&lt;8/24</formula>
    </cfRule>
  </conditionalFormatting>
  <conditionalFormatting sqref="E49:S49">
    <cfRule type="expression" dxfId="7661" priority="288">
      <formula>E$9&gt;=20/24</formula>
    </cfRule>
    <cfRule type="expression" dxfId="7660" priority="289">
      <formula>AND(E$9&gt;=14/24,E$9&lt;20/24)</formula>
    </cfRule>
    <cfRule type="expression" dxfId="7659" priority="290">
      <formula>AND(E$9&gt;=8/24,E$9&lt;14/24)</formula>
    </cfRule>
    <cfRule type="expression" dxfId="7658" priority="291">
      <formula>E$9&lt;8/24</formula>
    </cfRule>
  </conditionalFormatting>
  <conditionalFormatting sqref="E49:S49 Z20:AA20 AA19 AA21:AA30 AA36:AF45 AA32:AF34 AB19:AF30">
    <cfRule type="expression" dxfId="7657" priority="287">
      <formula>E19&gt;$AG19</formula>
    </cfRule>
  </conditionalFormatting>
  <conditionalFormatting sqref="C101:D101">
    <cfRule type="expression" dxfId="7656" priority="283">
      <formula>C$9&gt;=20/24</formula>
    </cfRule>
    <cfRule type="expression" dxfId="7655" priority="284">
      <formula>AND(C$9&gt;=14/24,C$9&lt;20/24)</formula>
    </cfRule>
    <cfRule type="expression" dxfId="7654" priority="285">
      <formula>AND(C$9&gt;=8/24,C$9&lt;14/24)</formula>
    </cfRule>
    <cfRule type="expression" dxfId="7653" priority="286">
      <formula>C$9&lt;8/24</formula>
    </cfRule>
  </conditionalFormatting>
  <conditionalFormatting sqref="C88 C98:W98 K76:Q76 N78:P78 K77:P77 Q77:Q78 AB76:AC76 J69:AA71 R76:AA78 C85:AF87 AB77:AF78">
    <cfRule type="expression" dxfId="7652" priority="279">
      <formula>C$9&gt;=20/24</formula>
    </cfRule>
    <cfRule type="expression" dxfId="7651" priority="280">
      <formula>AND(C$9&gt;=14/24,C$9&lt;20/24)</formula>
    </cfRule>
    <cfRule type="expression" dxfId="7650" priority="281">
      <formula>AND(C$9&gt;=8/24,C$9&lt;14/24)</formula>
    </cfRule>
    <cfRule type="expression" dxfId="7649" priority="282">
      <formula>C$9&lt;8/24</formula>
    </cfRule>
  </conditionalFormatting>
  <conditionalFormatting sqref="J69:AA71">
    <cfRule type="expression" dxfId="7648" priority="278">
      <formula>J69&gt;$AG69</formula>
    </cfRule>
  </conditionalFormatting>
  <conditionalFormatting sqref="D56:D57 C73:I73">
    <cfRule type="expression" dxfId="7647" priority="220">
      <formula>C$9&gt;=20/24</formula>
    </cfRule>
    <cfRule type="expression" dxfId="7646" priority="221">
      <formula>AND(C$9&gt;=14/24,C$9&lt;20/24)</formula>
    </cfRule>
    <cfRule type="expression" dxfId="7645" priority="222">
      <formula>AND(C$9&gt;=8/24,C$9&lt;14/24)</formula>
    </cfRule>
    <cfRule type="expression" dxfId="7644" priority="223">
      <formula>C$9&lt;8/24</formula>
    </cfRule>
  </conditionalFormatting>
  <conditionalFormatting sqref="C89:AF89 C91:AF91 C100:AF100 C72:AF72">
    <cfRule type="expression" dxfId="7643" priority="274">
      <formula>C$9&gt;=20/24</formula>
    </cfRule>
    <cfRule type="expression" dxfId="7642" priority="275">
      <formula>AND(C$9&gt;=14/24,C$9&lt;20/24)</formula>
    </cfRule>
    <cfRule type="expression" dxfId="7641" priority="276">
      <formula>AND(C$9&gt;=8/24,C$9&lt;14/24)</formula>
    </cfRule>
    <cfRule type="expression" dxfId="7640" priority="277">
      <formula>C$9&lt;8/24</formula>
    </cfRule>
  </conditionalFormatting>
  <conditionalFormatting sqref="C72:AF72 D67:AF68">
    <cfRule type="expression" dxfId="7639" priority="273">
      <formula>C67&gt;$AG67</formula>
    </cfRule>
  </conditionalFormatting>
  <conditionalFormatting sqref="C84:AF84">
    <cfRule type="expression" dxfId="7638" priority="269">
      <formula>C$9&gt;=20/24</formula>
    </cfRule>
    <cfRule type="expression" dxfId="7637" priority="270">
      <formula>AND(C$9&gt;=14/24,C$9&lt;20/24)</formula>
    </cfRule>
    <cfRule type="expression" dxfId="7636" priority="271">
      <formula>AND(C$9&gt;=8/24,C$9&lt;14/24)</formula>
    </cfRule>
    <cfRule type="expression" dxfId="7635" priority="272">
      <formula>C$9&lt;8/24</formula>
    </cfRule>
  </conditionalFormatting>
  <conditionalFormatting sqref="C93:W97">
    <cfRule type="expression" dxfId="7634" priority="265">
      <formula>C$9&gt;=20/24</formula>
    </cfRule>
    <cfRule type="expression" dxfId="7633" priority="266">
      <formula>AND(C$9&gt;=14/24,C$9&lt;20/24)</formula>
    </cfRule>
    <cfRule type="expression" dxfId="7632" priority="267">
      <formula>AND(C$9&gt;=8/24,C$9&lt;14/24)</formula>
    </cfRule>
    <cfRule type="expression" dxfId="7631" priority="268">
      <formula>C$9&lt;8/24</formula>
    </cfRule>
  </conditionalFormatting>
  <conditionalFormatting sqref="D54:AF54">
    <cfRule type="expression" dxfId="7630" priority="261">
      <formula>D$9&gt;=20/24</formula>
    </cfRule>
    <cfRule type="expression" dxfId="7629" priority="262">
      <formula>AND(D$9&gt;=14/24,D$9&lt;20/24)</formula>
    </cfRule>
    <cfRule type="expression" dxfId="7628" priority="263">
      <formula>AND(D$9&gt;=8/24,D$9&lt;14/24)</formula>
    </cfRule>
    <cfRule type="expression" dxfId="7627" priority="264">
      <formula>D$9&lt;8/24</formula>
    </cfRule>
  </conditionalFormatting>
  <conditionalFormatting sqref="D54:AF54">
    <cfRule type="expression" dxfId="7626" priority="260">
      <formula>D54&gt;$AG54</formula>
    </cfRule>
  </conditionalFormatting>
  <conditionalFormatting sqref="C112:D112">
    <cfRule type="expression" dxfId="7625" priority="252">
      <formula>C$9&gt;=20/24</formula>
    </cfRule>
    <cfRule type="expression" dxfId="7624" priority="253">
      <formula>AND(C$9&gt;=14/24,C$9&lt;20/24)</formula>
    </cfRule>
    <cfRule type="expression" dxfId="7623" priority="254">
      <formula>AND(C$9&gt;=8/24,C$9&lt;14/24)</formula>
    </cfRule>
    <cfRule type="expression" dxfId="7622" priority="255">
      <formula>C$9&lt;8/24</formula>
    </cfRule>
  </conditionalFormatting>
  <conditionalFormatting sqref="AC61:AF66">
    <cfRule type="expression" dxfId="7621" priority="248">
      <formula>AC$9&gt;=20/24</formula>
    </cfRule>
    <cfRule type="expression" dxfId="7620" priority="249">
      <formula>AND(AC$9&gt;=14/24,AC$9&lt;20/24)</formula>
    </cfRule>
    <cfRule type="expression" dxfId="7619" priority="250">
      <formula>AND(AC$9&gt;=8/24,AC$9&lt;14/24)</formula>
    </cfRule>
    <cfRule type="expression" dxfId="7618" priority="251">
      <formula>AC$9&lt;8/24</formula>
    </cfRule>
  </conditionalFormatting>
  <conditionalFormatting sqref="AC61:AF66">
    <cfRule type="expression" dxfId="7617" priority="247">
      <formula>AC61&gt;$AG61</formula>
    </cfRule>
  </conditionalFormatting>
  <conditionalFormatting sqref="AA47:AF47">
    <cfRule type="expression" dxfId="7616" priority="246">
      <formula>AA47&gt;$AG47</formula>
    </cfRule>
  </conditionalFormatting>
  <conditionalFormatting sqref="AA13:AF13">
    <cfRule type="expression" dxfId="7615" priority="242">
      <formula>AA$9&gt;=20/24</formula>
    </cfRule>
    <cfRule type="expression" dxfId="7614" priority="243">
      <formula>AND(AA$9&gt;=14/24,AA$9&lt;20/24)</formula>
    </cfRule>
    <cfRule type="expression" dxfId="7613" priority="244">
      <formula>AND(AA$9&gt;=8/24,AA$9&lt;14/24)</formula>
    </cfRule>
    <cfRule type="expression" dxfId="7612" priority="245">
      <formula>AA$9&lt;8/24</formula>
    </cfRule>
  </conditionalFormatting>
  <conditionalFormatting sqref="AA13:AF13">
    <cfRule type="expression" dxfId="7611" priority="241">
      <formula>AA13&gt;$AG13</formula>
    </cfRule>
  </conditionalFormatting>
  <conditionalFormatting sqref="AA47:AF47">
    <cfRule type="expression" dxfId="7610" priority="237">
      <formula>AA$9&gt;=20/24</formula>
    </cfRule>
    <cfRule type="expression" dxfId="7609" priority="238">
      <formula>AND(AA$9&gt;=14/24,AA$9&lt;20/24)</formula>
    </cfRule>
    <cfRule type="expression" dxfId="7608" priority="239">
      <formula>AND(AA$9&gt;=8/24,AA$9&lt;14/24)</formula>
    </cfRule>
    <cfRule type="expression" dxfId="7607" priority="240">
      <formula>AA$9&lt;8/24</formula>
    </cfRule>
  </conditionalFormatting>
  <conditionalFormatting sqref="U79:AG83">
    <cfRule type="expression" dxfId="7606" priority="233">
      <formula>U$9&gt;=20/24</formula>
    </cfRule>
    <cfRule type="expression" dxfId="7605" priority="234">
      <formula>AND(U$9&gt;=14/24,U$9&lt;20/24)</formula>
    </cfRule>
    <cfRule type="expression" dxfId="7604" priority="235">
      <formula>AND(U$9&gt;=8/24,U$9&lt;14/24)</formula>
    </cfRule>
    <cfRule type="expression" dxfId="7603" priority="236">
      <formula>U$9&lt;8/24</formula>
    </cfRule>
  </conditionalFormatting>
  <conditionalFormatting sqref="AL80:AN80 AL86:AN86 AN81:AN82">
    <cfRule type="expression" dxfId="7602" priority="229">
      <formula>AL$9&gt;=20/24</formula>
    </cfRule>
    <cfRule type="expression" dxfId="7601" priority="230">
      <formula>AND(AL$9&gt;=14/24,AL$9&lt;20/24)</formula>
    </cfRule>
    <cfRule type="expression" dxfId="7600" priority="231">
      <formula>AND(AL$9&gt;=8/24,AL$9&lt;14/24)</formula>
    </cfRule>
    <cfRule type="expression" dxfId="7599" priority="232">
      <formula>AL$9&lt;8/24</formula>
    </cfRule>
  </conditionalFormatting>
  <conditionalFormatting sqref="AN83:AN84">
    <cfRule type="expression" dxfId="7598" priority="225">
      <formula>AN$9&gt;=20/24</formula>
    </cfRule>
    <cfRule type="expression" dxfId="7597" priority="226">
      <formula>AND(AN$9&gt;=14/24,AN$9&lt;20/24)</formula>
    </cfRule>
    <cfRule type="expression" dxfId="7596" priority="227">
      <formula>AND(AN$9&gt;=8/24,AN$9&lt;14/24)</formula>
    </cfRule>
    <cfRule type="expression" dxfId="7595" priority="228">
      <formula>AN$9&lt;8/24</formula>
    </cfRule>
  </conditionalFormatting>
  <conditionalFormatting sqref="AL81:AM85">
    <cfRule type="expression" dxfId="7594" priority="433">
      <formula>AJ$9&gt;=20/24</formula>
    </cfRule>
    <cfRule type="expression" dxfId="7593" priority="434">
      <formula>AND(AJ$9&gt;=14/24,AJ$9&lt;20/24)</formula>
    </cfRule>
    <cfRule type="expression" dxfId="7592" priority="435">
      <formula>AND(AJ$9&gt;=8/24,AJ$9&lt;14/24)</formula>
    </cfRule>
    <cfRule type="expression" dxfId="7591" priority="436">
      <formula>AJ$9&lt;8/24</formula>
    </cfRule>
  </conditionalFormatting>
  <conditionalFormatting sqref="A120">
    <cfRule type="expression" dxfId="7590" priority="224">
      <formula>$AH120=0</formula>
    </cfRule>
  </conditionalFormatting>
  <conditionalFormatting sqref="D55">
    <cfRule type="expression" dxfId="7589" priority="216">
      <formula>D$9&gt;=20/24</formula>
    </cfRule>
    <cfRule type="expression" dxfId="7588" priority="217">
      <formula>AND(D$9&gt;=14/24,D$9&lt;20/24)</formula>
    </cfRule>
    <cfRule type="expression" dxfId="7587" priority="218">
      <formula>AND(D$9&gt;=8/24,D$9&lt;14/24)</formula>
    </cfRule>
    <cfRule type="expression" dxfId="7586" priority="219">
      <formula>D$9&lt;8/24</formula>
    </cfRule>
  </conditionalFormatting>
  <conditionalFormatting sqref="D55:D57">
    <cfRule type="expression" dxfId="7585" priority="215">
      <formula>D55&gt;$AG55</formula>
    </cfRule>
  </conditionalFormatting>
  <conditionalFormatting sqref="C74:G75 D69:I71 H74:I74">
    <cfRule type="expression" dxfId="7584" priority="211">
      <formula>C$9&gt;=20/24</formula>
    </cfRule>
    <cfRule type="expression" dxfId="7583" priority="212">
      <formula>AND(C$9&gt;=14/24,C$9&lt;20/24)</formula>
    </cfRule>
    <cfRule type="expression" dxfId="7582" priority="213">
      <formula>AND(C$9&gt;=8/24,C$9&lt;14/24)</formula>
    </cfRule>
    <cfRule type="expression" dxfId="7581" priority="214">
      <formula>C$9&lt;8/24</formula>
    </cfRule>
  </conditionalFormatting>
  <conditionalFormatting sqref="D69:I71">
    <cfRule type="expression" dxfId="7580" priority="210">
      <formula>D69&gt;$AG69</formula>
    </cfRule>
  </conditionalFormatting>
  <conditionalFormatting sqref="C90">
    <cfRule type="expression" dxfId="7579" priority="206">
      <formula>C$9&gt;=20/24</formula>
    </cfRule>
    <cfRule type="expression" dxfId="7578" priority="207">
      <formula>AND(C$9&gt;=14/24,C$9&lt;20/24)</formula>
    </cfRule>
    <cfRule type="expression" dxfId="7577" priority="208">
      <formula>AND(C$9&gt;=8/24,C$9&lt;14/24)</formula>
    </cfRule>
    <cfRule type="expression" dxfId="7576" priority="209">
      <formula>C$9&lt;8/24</formula>
    </cfRule>
  </conditionalFormatting>
  <conditionalFormatting sqref="AA48:AF48">
    <cfRule type="expression" dxfId="7575" priority="202">
      <formula>AA$9&gt;=20/24</formula>
    </cfRule>
    <cfRule type="expression" dxfId="7574" priority="203">
      <formula>AND(AA$9&gt;=14/24,AA$9&lt;20/24)</formula>
    </cfRule>
    <cfRule type="expression" dxfId="7573" priority="204">
      <formula>AND(AA$9&gt;=8/24,AA$9&lt;14/24)</formula>
    </cfRule>
    <cfRule type="expression" dxfId="7572" priority="205">
      <formula>AA$9&lt;8/24</formula>
    </cfRule>
  </conditionalFormatting>
  <conditionalFormatting sqref="AA48:AF48">
    <cfRule type="expression" dxfId="7571" priority="201">
      <formula>AA48&gt;$AG48</formula>
    </cfRule>
  </conditionalFormatting>
  <conditionalFormatting sqref="N60:T60">
    <cfRule type="expression" dxfId="7570" priority="197">
      <formula>N$9&gt;=20/24</formula>
    </cfRule>
    <cfRule type="expression" dxfId="7569" priority="198">
      <formula>AND(N$9&gt;=14/24,N$9&lt;20/24)</formula>
    </cfRule>
    <cfRule type="expression" dxfId="7568" priority="199">
      <formula>AND(N$9&gt;=8/24,N$9&lt;14/24)</formula>
    </cfRule>
    <cfRule type="expression" dxfId="7567" priority="200">
      <formula>N$9&lt;8/24</formula>
    </cfRule>
  </conditionalFormatting>
  <conditionalFormatting sqref="N60:T60">
    <cfRule type="expression" dxfId="7566" priority="196">
      <formula>N60&gt;$AG60</formula>
    </cfRule>
  </conditionalFormatting>
  <conditionalFormatting sqref="B88 B98 B74:B76 B69:C71 B49:D49 B102:D108 C76:J76">
    <cfRule type="expression" dxfId="7565" priority="126">
      <formula>B$9&gt;=20/24</formula>
    </cfRule>
    <cfRule type="expression" dxfId="7564" priority="127">
      <formula>AND(B$9&gt;=14/24,B$9&lt;20/24)</formula>
    </cfRule>
    <cfRule type="expression" dxfId="7563" priority="128">
      <formula>AND(B$9&gt;=8/24,B$9&lt;14/24)</formula>
    </cfRule>
    <cfRule type="expression" dxfId="7562" priority="129">
      <formula>B$9&lt;8/24</formula>
    </cfRule>
  </conditionalFormatting>
  <conditionalFormatting sqref="B60:M60">
    <cfRule type="expression" dxfId="7561" priority="117">
      <formula>B$9&gt;=20/24</formula>
    </cfRule>
    <cfRule type="expression" dxfId="7560" priority="118">
      <formula>AND(B$9&gt;=14/24,B$9&lt;20/24)</formula>
    </cfRule>
    <cfRule type="expression" dxfId="7559" priority="119">
      <formula>AND(B$9&gt;=8/24,B$9&lt;14/24)</formula>
    </cfRule>
    <cfRule type="expression" dxfId="7558" priority="120">
      <formula>B$9&lt;8/24</formula>
    </cfRule>
  </conditionalFormatting>
  <conditionalFormatting sqref="E50:AF50">
    <cfRule type="expression" dxfId="7557" priority="191">
      <formula>E50&gt;$AG50</formula>
    </cfRule>
  </conditionalFormatting>
  <conditionalFormatting sqref="U61:AB66">
    <cfRule type="expression" dxfId="7556" priority="187">
      <formula>U$9&gt;=20/24</formula>
    </cfRule>
    <cfRule type="expression" dxfId="7555" priority="188">
      <formula>AND(U$9&gt;=14/24,U$9&lt;20/24)</formula>
    </cfRule>
    <cfRule type="expression" dxfId="7554" priority="189">
      <formula>AND(U$9&gt;=8/24,U$9&lt;14/24)</formula>
    </cfRule>
    <cfRule type="expression" dxfId="7553" priority="190">
      <formula>U$9&lt;8/24</formula>
    </cfRule>
  </conditionalFormatting>
  <conditionalFormatting sqref="U61:AB66">
    <cfRule type="expression" dxfId="7552" priority="186">
      <formula>U61&gt;$AG61</formula>
    </cfRule>
  </conditionalFormatting>
  <conditionalFormatting sqref="A11">
    <cfRule type="expression" dxfId="7551" priority="181">
      <formula>$AH11=0</formula>
    </cfRule>
  </conditionalFormatting>
  <conditionalFormatting sqref="AA11:AF11">
    <cfRule type="expression" dxfId="7550" priority="177">
      <formula>AA$9&gt;=20/24</formula>
    </cfRule>
    <cfRule type="expression" dxfId="7549" priority="178">
      <formula>AND(AA$9&gt;=14/24,AA$9&lt;20/24)</formula>
    </cfRule>
    <cfRule type="expression" dxfId="7548" priority="179">
      <formula>AND(AA$9&gt;=8/24,AA$9&lt;14/24)</formula>
    </cfRule>
    <cfRule type="expression" dxfId="7547" priority="180">
      <formula>AA$9&lt;8/24</formula>
    </cfRule>
  </conditionalFormatting>
  <conditionalFormatting sqref="AA11:AF11">
    <cfRule type="expression" dxfId="7546" priority="176">
      <formula>AA11&gt;$AG11</formula>
    </cfRule>
  </conditionalFormatting>
  <conditionalFormatting sqref="A18">
    <cfRule type="expression" dxfId="7545" priority="174">
      <formula>$AH18=0</formula>
    </cfRule>
  </conditionalFormatting>
  <conditionalFormatting sqref="AL1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7544" priority="170">
      <formula>AA$9&gt;=20/24</formula>
    </cfRule>
    <cfRule type="expression" dxfId="7543" priority="171">
      <formula>AND(AA$9&gt;=14/24,AA$9&lt;20/24)</formula>
    </cfRule>
    <cfRule type="expression" dxfId="7542" priority="172">
      <formula>AND(AA$9&gt;=8/24,AA$9&lt;14/24)</formula>
    </cfRule>
    <cfRule type="expression" dxfId="7541" priority="173">
      <formula>AA$9&lt;8/24</formula>
    </cfRule>
  </conditionalFormatting>
  <conditionalFormatting sqref="AA18:AF18">
    <cfRule type="expression" dxfId="7540" priority="169">
      <formula>AA18&gt;$AG18</formula>
    </cfRule>
  </conditionalFormatting>
  <conditionalFormatting sqref="A35">
    <cfRule type="expression" dxfId="7539" priority="167">
      <formula>$AH35=0</formula>
    </cfRule>
  </conditionalFormatting>
  <conditionalFormatting sqref="AL3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7538" priority="163">
      <formula>AA$9&gt;=20/24</formula>
    </cfRule>
    <cfRule type="expression" dxfId="7537" priority="164">
      <formula>AND(AA$9&gt;=14/24,AA$9&lt;20/24)</formula>
    </cfRule>
    <cfRule type="expression" dxfId="7536" priority="165">
      <formula>AND(AA$9&gt;=8/24,AA$9&lt;14/24)</formula>
    </cfRule>
    <cfRule type="expression" dxfId="7535" priority="166">
      <formula>AA$9&lt;8/24</formula>
    </cfRule>
  </conditionalFormatting>
  <conditionalFormatting sqref="AA35:AF35">
    <cfRule type="expression" dxfId="7534" priority="162">
      <formula>AA35&gt;$AG35</formula>
    </cfRule>
  </conditionalFormatting>
  <conditionalFormatting sqref="A46">
    <cfRule type="expression" dxfId="7533" priority="160">
      <formula>$AH46=0</formula>
    </cfRule>
  </conditionalFormatting>
  <conditionalFormatting sqref="AL4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7532" priority="159">
      <formula>AA46&gt;$AG46</formula>
    </cfRule>
  </conditionalFormatting>
  <conditionalFormatting sqref="AA46:AF46">
    <cfRule type="expression" dxfId="7531" priority="155">
      <formula>AA$9&gt;=20/24</formula>
    </cfRule>
    <cfRule type="expression" dxfId="7530" priority="156">
      <formula>AND(AA$9&gt;=14/24,AA$9&lt;20/24)</formula>
    </cfRule>
    <cfRule type="expression" dxfId="7529" priority="157">
      <formula>AND(AA$9&gt;=8/24,AA$9&lt;14/24)</formula>
    </cfRule>
    <cfRule type="expression" dxfId="7528" priority="158">
      <formula>AA$9&lt;8/24</formula>
    </cfRule>
  </conditionalFormatting>
  <conditionalFormatting sqref="B120">
    <cfRule type="expression" dxfId="7527" priority="27">
      <formula>B$9&gt;=20/24</formula>
    </cfRule>
    <cfRule type="expression" dxfId="7526" priority="28">
      <formula>AND(B$9&gt;=14/24,B$9&lt;20/24)</formula>
    </cfRule>
    <cfRule type="expression" dxfId="7525" priority="29">
      <formula>AND(B$9&gt;=8/24,B$9&lt;14/24)</formula>
    </cfRule>
    <cfRule type="expression" dxfId="7524" priority="30">
      <formula>B$9&lt;8/24</formula>
    </cfRule>
  </conditionalFormatting>
  <conditionalFormatting sqref="E120:AF120">
    <cfRule type="expression" dxfId="7523" priority="151">
      <formula>E$9&gt;=20/24</formula>
    </cfRule>
    <cfRule type="expression" dxfId="7522" priority="152">
      <formula>AND(E$9&gt;=14/24,E$9&lt;20/24)</formula>
    </cfRule>
    <cfRule type="expression" dxfId="7521" priority="153">
      <formula>AND(E$9&gt;=8/24,E$9&lt;14/24)</formula>
    </cfRule>
    <cfRule type="expression" dxfId="7520" priority="154">
      <formula>E$9&lt;8/24</formula>
    </cfRule>
  </conditionalFormatting>
  <conditionalFormatting sqref="C120:D120">
    <cfRule type="expression" dxfId="7519" priority="147">
      <formula>C$9&gt;=20/24</formula>
    </cfRule>
    <cfRule type="expression" dxfId="7518" priority="148">
      <formula>AND(C$9&gt;=14/24,C$9&lt;20/24)</formula>
    </cfRule>
    <cfRule type="expression" dxfId="7517" priority="149">
      <formula>AND(C$9&gt;=8/24,C$9&lt;14/24)</formula>
    </cfRule>
    <cfRule type="expression" dxfId="7516" priority="150">
      <formula>C$9&lt;8/24</formula>
    </cfRule>
  </conditionalFormatting>
  <conditionalFormatting sqref="B111 B113:B119">
    <cfRule type="expression" dxfId="7515" priority="143">
      <formula>B$9&gt;=20/24</formula>
    </cfRule>
    <cfRule type="expression" dxfId="7514" priority="144">
      <formula>AND(B$9&gt;=14/24,B$9&lt;20/24)</formula>
    </cfRule>
    <cfRule type="expression" dxfId="7513" priority="145">
      <formula>AND(B$9&gt;=8/24,B$9&lt;14/24)</formula>
    </cfRule>
    <cfRule type="expression" dxfId="7512" priority="146">
      <formula>B$9&lt;8/24</formula>
    </cfRule>
  </conditionalFormatting>
  <conditionalFormatting sqref="B101">
    <cfRule type="expression" dxfId="7511" priority="139">
      <formula>B$9&gt;=20/24</formula>
    </cfRule>
    <cfRule type="expression" dxfId="7510" priority="140">
      <formula>AND(B$9&gt;=14/24,B$9&lt;20/24)</formula>
    </cfRule>
    <cfRule type="expression" dxfId="7509" priority="141">
      <formula>AND(B$9&gt;=8/24,B$9&lt;14/24)</formula>
    </cfRule>
    <cfRule type="expression" dxfId="7508" priority="142">
      <formula>B$9&lt;8/24</formula>
    </cfRule>
  </conditionalFormatting>
  <conditionalFormatting sqref="B73 B56:C59 D58:L59 M59">
    <cfRule type="expression" dxfId="7507" priority="135">
      <formula>B$9&gt;=20/24</formula>
    </cfRule>
    <cfRule type="expression" dxfId="7506" priority="136">
      <formula>AND(B$9&gt;=14/24,B$9&lt;20/24)</formula>
    </cfRule>
    <cfRule type="expression" dxfId="7505" priority="137">
      <formula>AND(B$9&gt;=8/24,B$9&lt;14/24)</formula>
    </cfRule>
    <cfRule type="expression" dxfId="7504" priority="138">
      <formula>B$9&lt;8/24</formula>
    </cfRule>
  </conditionalFormatting>
  <conditionalFormatting sqref="B55:C55">
    <cfRule type="expression" dxfId="7503" priority="131">
      <formula>B$9&gt;=20/24</formula>
    </cfRule>
    <cfRule type="expression" dxfId="7502" priority="132">
      <formula>AND(B$9&gt;=14/24,B$9&lt;20/24)</formula>
    </cfRule>
    <cfRule type="expression" dxfId="7501" priority="133">
      <formula>AND(B$9&gt;=8/24,B$9&lt;14/24)</formula>
    </cfRule>
    <cfRule type="expression" dxfId="7500" priority="134">
      <formula>B$9&lt;8/24</formula>
    </cfRule>
  </conditionalFormatting>
  <conditionalFormatting sqref="B55:C59 D58:L59 M59">
    <cfRule type="expression" dxfId="7499" priority="130">
      <formula>B55&gt;$AG55</formula>
    </cfRule>
  </conditionalFormatting>
  <conditionalFormatting sqref="B69:C71 B49:D49">
    <cfRule type="expression" dxfId="7498" priority="125">
      <formula>B49&gt;$AG49</formula>
    </cfRule>
  </conditionalFormatting>
  <conditionalFormatting sqref="B99 B90">
    <cfRule type="expression" dxfId="7497" priority="121">
      <formula>B$9&gt;=20/24</formula>
    </cfRule>
    <cfRule type="expression" dxfId="7496" priority="122">
      <formula>AND(B$9&gt;=14/24,B$9&lt;20/24)</formula>
    </cfRule>
    <cfRule type="expression" dxfId="7495" priority="123">
      <formula>AND(B$9&gt;=8/24,B$9&lt;14/24)</formula>
    </cfRule>
    <cfRule type="expression" dxfId="7494" priority="124">
      <formula>B$9&lt;8/24</formula>
    </cfRule>
  </conditionalFormatting>
  <conditionalFormatting sqref="B60:M60">
    <cfRule type="expression" dxfId="7493" priority="116">
      <formula>B60&gt;$AG60</formula>
    </cfRule>
  </conditionalFormatting>
  <conditionalFormatting sqref="B93:B97">
    <cfRule type="expression" dxfId="7492" priority="112">
      <formula>B$9&gt;=20/24</formula>
    </cfRule>
    <cfRule type="expression" dxfId="7491" priority="113">
      <formula>AND(B$9&gt;=14/24,B$9&lt;20/24)</formula>
    </cfRule>
    <cfRule type="expression" dxfId="7490" priority="114">
      <formula>AND(B$9&gt;=8/24,B$9&lt;14/24)</formula>
    </cfRule>
    <cfRule type="expression" dxfId="7489" priority="115">
      <formula>B$9&lt;8/24</formula>
    </cfRule>
  </conditionalFormatting>
  <conditionalFormatting sqref="B51:D53">
    <cfRule type="expression" dxfId="7488" priority="108">
      <formula>B$9&gt;=20/24</formula>
    </cfRule>
    <cfRule type="expression" dxfId="7487" priority="109">
      <formula>AND(B$9&gt;=14/24,B$9&lt;20/24)</formula>
    </cfRule>
    <cfRule type="expression" dxfId="7486" priority="110">
      <formula>AND(B$9&gt;=8/24,B$9&lt;14/24)</formula>
    </cfRule>
    <cfRule type="expression" dxfId="7485" priority="111">
      <formula>B$9&lt;8/24</formula>
    </cfRule>
  </conditionalFormatting>
  <conditionalFormatting sqref="B51:D53">
    <cfRule type="expression" dxfId="7484" priority="107">
      <formula>B51&gt;$AG51</formula>
    </cfRule>
  </conditionalFormatting>
  <conditionalFormatting sqref="B109">
    <cfRule type="expression" dxfId="7483" priority="103">
      <formula>B$9&gt;=20/24</formula>
    </cfRule>
    <cfRule type="expression" dxfId="7482" priority="104">
      <formula>AND(B$9&gt;=14/24,B$9&lt;20/24)</formula>
    </cfRule>
    <cfRule type="expression" dxfId="7481" priority="105">
      <formula>AND(B$9&gt;=8/24,B$9&lt;14/24)</formula>
    </cfRule>
    <cfRule type="expression" dxfId="7480" priority="106">
      <formula>B$9&lt;8/24</formula>
    </cfRule>
  </conditionalFormatting>
  <conditionalFormatting sqref="B112">
    <cfRule type="expression" dxfId="7479" priority="99">
      <formula>B$9&gt;=20/24</formula>
    </cfRule>
    <cfRule type="expression" dxfId="7478" priority="100">
      <formula>AND(B$9&gt;=14/24,B$9&lt;20/24)</formula>
    </cfRule>
    <cfRule type="expression" dxfId="7477" priority="101">
      <formula>AND(B$9&gt;=8/24,B$9&lt;14/24)</formula>
    </cfRule>
    <cfRule type="expression" dxfId="7476" priority="102">
      <formula>B$9&lt;8/24</formula>
    </cfRule>
  </conditionalFormatting>
  <conditionalFormatting sqref="B19:Y34 Z19 B36:Z45 Z21:Z34 AA31:AF31">
    <cfRule type="expression" dxfId="7475" priority="95">
      <formula>B$9&gt;=20/24</formula>
    </cfRule>
    <cfRule type="expression" dxfId="7474" priority="96">
      <formula>AND(B$9&gt;=14/24,B$9&lt;20/24)</formula>
    </cfRule>
    <cfRule type="expression" dxfId="7473" priority="97">
      <formula>AND(B$9&gt;=8/24,B$9&lt;14/24)</formula>
    </cfRule>
    <cfRule type="expression" dxfId="7472" priority="98">
      <formula>B$9&lt;8/24</formula>
    </cfRule>
  </conditionalFormatting>
  <conditionalFormatting sqref="B19:Y34 Z19 B36:Z45 Z21:Z34 AA31:AF31">
    <cfRule type="expression" dxfId="7471" priority="94">
      <formula>B19&gt;$AG19</formula>
    </cfRule>
  </conditionalFormatting>
  <conditionalFormatting sqref="B85:B87 B77:J83 K78:M83 N79:T83">
    <cfRule type="expression" dxfId="7470" priority="90">
      <formula>B$9&gt;=20/24</formula>
    </cfRule>
    <cfRule type="expression" dxfId="7469" priority="91">
      <formula>AND(B$9&gt;=14/24,B$9&lt;20/24)</formula>
    </cfRule>
    <cfRule type="expression" dxfId="7468" priority="92">
      <formula>AND(B$9&gt;=8/24,B$9&lt;14/24)</formula>
    </cfRule>
    <cfRule type="expression" dxfId="7467" priority="93">
      <formula>B$9&lt;8/24</formula>
    </cfRule>
  </conditionalFormatting>
  <conditionalFormatting sqref="B89 B91 B100 B72">
    <cfRule type="expression" dxfId="7466" priority="86">
      <formula>B$9&gt;=20/24</formula>
    </cfRule>
    <cfRule type="expression" dxfId="7465" priority="87">
      <formula>AND(B$9&gt;=14/24,B$9&lt;20/24)</formula>
    </cfRule>
    <cfRule type="expression" dxfId="7464" priority="88">
      <formula>AND(B$9&gt;=8/24,B$9&lt;14/24)</formula>
    </cfRule>
    <cfRule type="expression" dxfId="7463" priority="89">
      <formula>B$9&lt;8/24</formula>
    </cfRule>
  </conditionalFormatting>
  <conditionalFormatting sqref="B72 B67:C68">
    <cfRule type="expression" dxfId="7462" priority="85">
      <formula>B67&gt;$AG67</formula>
    </cfRule>
  </conditionalFormatting>
  <conditionalFormatting sqref="B84">
    <cfRule type="expression" dxfId="7461" priority="81">
      <formula>B$9&gt;=20/24</formula>
    </cfRule>
    <cfRule type="expression" dxfId="7460" priority="82">
      <formula>AND(B$9&gt;=14/24,B$9&lt;20/24)</formula>
    </cfRule>
    <cfRule type="expression" dxfId="7459" priority="83">
      <formula>AND(B$9&gt;=8/24,B$9&lt;14/24)</formula>
    </cfRule>
    <cfRule type="expression" dxfId="7458" priority="84">
      <formula>B$9&lt;8/24</formula>
    </cfRule>
  </conditionalFormatting>
  <conditionalFormatting sqref="B54:C54">
    <cfRule type="expression" dxfId="7457" priority="77">
      <formula>B$9&gt;=20/24</formula>
    </cfRule>
    <cfRule type="expression" dxfId="7456" priority="78">
      <formula>AND(B$9&gt;=14/24,B$9&lt;20/24)</formula>
    </cfRule>
    <cfRule type="expression" dxfId="7455" priority="79">
      <formula>AND(B$9&gt;=8/24,B$9&lt;14/24)</formula>
    </cfRule>
    <cfRule type="expression" dxfId="7454" priority="80">
      <formula>B$9&lt;8/24</formula>
    </cfRule>
  </conditionalFormatting>
  <conditionalFormatting sqref="B54:C54">
    <cfRule type="expression" dxfId="7453" priority="76">
      <formula>B54&gt;$AG54</formula>
    </cfRule>
  </conditionalFormatting>
  <conditionalFormatting sqref="B61:T66">
    <cfRule type="expression" dxfId="7452" priority="68">
      <formula>B$9&gt;=20/24</formula>
    </cfRule>
    <cfRule type="expression" dxfId="7451" priority="69">
      <formula>AND(B$9&gt;=14/24,B$9&lt;20/24)</formula>
    </cfRule>
    <cfRule type="expression" dxfId="7450" priority="70">
      <formula>AND(B$9&gt;=8/24,B$9&lt;14/24)</formula>
    </cfRule>
    <cfRule type="expression" dxfId="7449" priority="71">
      <formula>B$9&lt;8/24</formula>
    </cfRule>
  </conditionalFormatting>
  <conditionalFormatting sqref="B61:T66">
    <cfRule type="expression" dxfId="7448" priority="67">
      <formula>B61&gt;$AG61</formula>
    </cfRule>
  </conditionalFormatting>
  <conditionalFormatting sqref="B47:Z47">
    <cfRule type="expression" dxfId="7447" priority="66">
      <formula>B47&gt;$AG47</formula>
    </cfRule>
  </conditionalFormatting>
  <conditionalFormatting sqref="B13:Z13">
    <cfRule type="expression" dxfId="7446" priority="62">
      <formula>B$9&gt;=20/24</formula>
    </cfRule>
    <cfRule type="expression" dxfId="7445" priority="63">
      <formula>AND(B$9&gt;=14/24,B$9&lt;20/24)</formula>
    </cfRule>
    <cfRule type="expression" dxfId="7444" priority="64">
      <formula>AND(B$9&gt;=8/24,B$9&lt;14/24)</formula>
    </cfRule>
    <cfRule type="expression" dxfId="7443" priority="65">
      <formula>B$9&lt;8/24</formula>
    </cfRule>
  </conditionalFormatting>
  <conditionalFormatting sqref="B13:Z13">
    <cfRule type="expression" dxfId="7442" priority="61">
      <formula>B13&gt;$AG13</formula>
    </cfRule>
  </conditionalFormatting>
  <conditionalFormatting sqref="B47:Z47">
    <cfRule type="expression" dxfId="7441" priority="57">
      <formula>B$9&gt;=20/24</formula>
    </cfRule>
    <cfRule type="expression" dxfId="7440" priority="58">
      <formula>AND(B$9&gt;=14/24,B$9&lt;20/24)</formula>
    </cfRule>
    <cfRule type="expression" dxfId="7439" priority="59">
      <formula>AND(B$9&gt;=8/24,B$9&lt;14/24)</formula>
    </cfRule>
    <cfRule type="expression" dxfId="7438" priority="60">
      <formula>B$9&lt;8/24</formula>
    </cfRule>
  </conditionalFormatting>
  <conditionalFormatting sqref="B48:Z48">
    <cfRule type="expression" dxfId="7437" priority="53">
      <formula>B$9&gt;=20/24</formula>
    </cfRule>
    <cfRule type="expression" dxfId="7436" priority="54">
      <formula>AND(B$9&gt;=14/24,B$9&lt;20/24)</formula>
    </cfRule>
    <cfRule type="expression" dxfId="7435" priority="55">
      <formula>AND(B$9&gt;=8/24,B$9&lt;14/24)</formula>
    </cfRule>
    <cfRule type="expression" dxfId="7434" priority="56">
      <formula>B$9&lt;8/24</formula>
    </cfRule>
  </conditionalFormatting>
  <conditionalFormatting sqref="B48:Z48">
    <cfRule type="expression" dxfId="7433" priority="52">
      <formula>B48&gt;$AG48</formula>
    </cfRule>
  </conditionalFormatting>
  <conditionalFormatting sqref="B50:D50">
    <cfRule type="expression" dxfId="7432" priority="51">
      <formula>B50&gt;$AG50</formula>
    </cfRule>
  </conditionalFormatting>
  <conditionalFormatting sqref="B11:Z11">
    <cfRule type="expression" dxfId="7431" priority="47">
      <formula>B$9&gt;=20/24</formula>
    </cfRule>
    <cfRule type="expression" dxfId="7430" priority="48">
      <formula>AND(B$9&gt;=14/24,B$9&lt;20/24)</formula>
    </cfRule>
    <cfRule type="expression" dxfId="7429" priority="49">
      <formula>AND(B$9&gt;=8/24,B$9&lt;14/24)</formula>
    </cfRule>
    <cfRule type="expression" dxfId="7428" priority="50">
      <formula>B$9&lt;8/24</formula>
    </cfRule>
  </conditionalFormatting>
  <conditionalFormatting sqref="B11:Z11">
    <cfRule type="expression" dxfId="7427" priority="46">
      <formula>B11&gt;$AG11</formula>
    </cfRule>
  </conditionalFormatting>
  <conditionalFormatting sqref="B18:Z18">
    <cfRule type="expression" dxfId="7426" priority="42">
      <formula>B$9&gt;=20/24</formula>
    </cfRule>
    <cfRule type="expression" dxfId="7425" priority="43">
      <formula>AND(B$9&gt;=14/24,B$9&lt;20/24)</formula>
    </cfRule>
    <cfRule type="expression" dxfId="7424" priority="44">
      <formula>AND(B$9&gt;=8/24,B$9&lt;14/24)</formula>
    </cfRule>
    <cfRule type="expression" dxfId="7423" priority="45">
      <formula>B$9&lt;8/24</formula>
    </cfRule>
  </conditionalFormatting>
  <conditionalFormatting sqref="B18:Z18">
    <cfRule type="expression" dxfId="7422" priority="41">
      <formula>B18&gt;$AG18</formula>
    </cfRule>
  </conditionalFormatting>
  <conditionalFormatting sqref="B35:Z35">
    <cfRule type="expression" dxfId="7421" priority="37">
      <formula>B$9&gt;=20/24</formula>
    </cfRule>
    <cfRule type="expression" dxfId="7420" priority="38">
      <formula>AND(B$9&gt;=14/24,B$9&lt;20/24)</formula>
    </cfRule>
    <cfRule type="expression" dxfId="7419" priority="39">
      <formula>AND(B$9&gt;=8/24,B$9&lt;14/24)</formula>
    </cfRule>
    <cfRule type="expression" dxfId="7418" priority="40">
      <formula>B$9&lt;8/24</formula>
    </cfRule>
  </conditionalFormatting>
  <conditionalFormatting sqref="B35:Z35">
    <cfRule type="expression" dxfId="7417" priority="36">
      <formula>B35&gt;$AG35</formula>
    </cfRule>
  </conditionalFormatting>
  <conditionalFormatting sqref="B46:Z46">
    <cfRule type="expression" dxfId="7416" priority="35">
      <formula>B46&gt;$AG46</formula>
    </cfRule>
  </conditionalFormatting>
  <conditionalFormatting sqref="B46:Z46">
    <cfRule type="expression" dxfId="7415" priority="31">
      <formula>B$9&gt;=20/24</formula>
    </cfRule>
    <cfRule type="expression" dxfId="7414" priority="32">
      <formula>AND(B$9&gt;=14/24,B$9&lt;20/24)</formula>
    </cfRule>
    <cfRule type="expression" dxfId="7413" priority="33">
      <formula>AND(B$9&gt;=8/24,B$9&lt;14/24)</formula>
    </cfRule>
    <cfRule type="expression" dxfId="7412" priority="3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6" id="{A8FDC98C-F378-4FD1-A013-F2659F5A271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7" id="{F33F912F-5BEA-4467-9BF5-2B9BB304952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8" id="{75294015-585C-451F-A6B6-2E1A2D8039E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9" id="{DB4AACFD-8124-40A1-9B1B-DF2E1A50964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2" id="{8BB57692-E87F-493A-AF02-6BF3BE6D607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7FCEC35F-C192-48FB-86B1-3789529A764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7FB80DCB-2BC5-4AB5-BC94-6F7A7123A45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03609F35-7371-4C7D-9D79-CC7DDB6AD69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CJ281"/>
  <sheetViews>
    <sheetView zoomScale="98" zoomScaleNormal="98" workbookViewId="0">
      <pane ySplit="10" topLeftCell="A36" activePane="bottomLeft" state="frozen"/>
      <selection activeCell="Z85" sqref="Z85"/>
      <selection pane="bottomLeft" activeCell="L99" sqref="L9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3" width="6" style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2080/02/17</v>
      </c>
      <c r="C4" s="191"/>
      <c r="D4" s="191"/>
      <c r="E4" s="192" t="str">
        <f ca="1">"2079/"&amp;"12/"&amp;INT(MID(CELL("filename",G6),FIND("]",CELL("filename",G6))+1,200))</f>
        <v>2079/12/17</v>
      </c>
      <c r="F4" s="192"/>
      <c r="G4" s="192"/>
      <c r="H4" s="192" t="str">
        <f ca="1">TEXT(E4,"dddd")</f>
        <v>Sunday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99.399999999999991</v>
      </c>
      <c r="C5" s="30">
        <f t="shared" si="0"/>
        <v>140.1</v>
      </c>
      <c r="D5" s="30">
        <f t="shared" si="0"/>
        <v>184.1</v>
      </c>
      <c r="E5" s="30">
        <f t="shared" si="0"/>
        <v>179.8</v>
      </c>
      <c r="F5" s="30">
        <f t="shared" si="0"/>
        <v>177.20000000000002</v>
      </c>
      <c r="G5" s="30">
        <f t="shared" si="0"/>
        <v>190.7</v>
      </c>
      <c r="H5" s="30">
        <f t="shared" si="0"/>
        <v>241.8</v>
      </c>
      <c r="I5" s="30">
        <f t="shared" si="0"/>
        <v>285.7</v>
      </c>
      <c r="J5" s="30">
        <f t="shared" si="0"/>
        <v>379.8</v>
      </c>
      <c r="K5" s="30">
        <f t="shared" si="0"/>
        <v>389.20000000000005</v>
      </c>
      <c r="L5" s="30">
        <f t="shared" si="0"/>
        <v>447.6</v>
      </c>
      <c r="M5" s="30">
        <f t="shared" si="0"/>
        <v>452.59999999999997</v>
      </c>
      <c r="N5" s="30">
        <f t="shared" si="0"/>
        <v>400.2</v>
      </c>
      <c r="O5" s="30">
        <f t="shared" si="0"/>
        <v>401.5</v>
      </c>
      <c r="P5" s="30">
        <f t="shared" si="0"/>
        <v>410.3</v>
      </c>
      <c r="Q5" s="30">
        <f t="shared" si="0"/>
        <v>407.3</v>
      </c>
      <c r="R5" s="30">
        <f t="shared" si="0"/>
        <v>408</v>
      </c>
      <c r="S5" s="30">
        <f t="shared" si="0"/>
        <v>346</v>
      </c>
      <c r="T5" s="30">
        <f t="shared" si="0"/>
        <v>358.6</v>
      </c>
      <c r="U5" s="30">
        <f t="shared" si="0"/>
        <v>341.7</v>
      </c>
      <c r="V5" s="30">
        <f t="shared" si="0"/>
        <v>379</v>
      </c>
      <c r="W5" s="30">
        <f t="shared" si="0"/>
        <v>321</v>
      </c>
      <c r="X5" s="30">
        <f t="shared" si="0"/>
        <v>298</v>
      </c>
      <c r="Y5" s="30">
        <f t="shared" si="0"/>
        <v>322</v>
      </c>
      <c r="Z5" s="30">
        <f t="shared" si="0"/>
        <v>164.3</v>
      </c>
      <c r="AA5" s="30">
        <f t="shared" si="0"/>
        <v>149</v>
      </c>
      <c r="AB5" s="30">
        <f t="shared" si="0"/>
        <v>156.19999999999999</v>
      </c>
      <c r="AC5" s="30">
        <f t="shared" si="0"/>
        <v>143.30000000000001</v>
      </c>
      <c r="AD5" s="30">
        <f t="shared" si="0"/>
        <v>100.9</v>
      </c>
      <c r="AE5" s="30">
        <f t="shared" si="0"/>
        <v>164.5</v>
      </c>
      <c r="AF5" s="30">
        <f>B84</f>
        <v>142.1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1739MW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Load=1494</v>
      </c>
      <c r="B7" s="35">
        <f t="shared" ref="B7:AF7" si="1">B91</f>
        <v>1593.34</v>
      </c>
      <c r="C7" s="35">
        <f t="shared" si="1"/>
        <v>1547.0400000000002</v>
      </c>
      <c r="D7" s="35">
        <f t="shared" si="1"/>
        <v>1576.24</v>
      </c>
      <c r="E7" s="35">
        <f t="shared" si="1"/>
        <v>1550.34</v>
      </c>
      <c r="F7" s="35">
        <f t="shared" si="1"/>
        <v>1517.24</v>
      </c>
      <c r="G7" s="35">
        <f t="shared" si="1"/>
        <v>1526.74</v>
      </c>
      <c r="H7" s="35">
        <f t="shared" si="1"/>
        <v>1494.44</v>
      </c>
      <c r="I7" s="35">
        <f t="shared" si="1"/>
        <v>1533.04</v>
      </c>
      <c r="J7" s="35">
        <f t="shared" si="1"/>
        <v>1576.74</v>
      </c>
      <c r="K7" s="35">
        <f t="shared" si="1"/>
        <v>1644.54</v>
      </c>
      <c r="L7" s="35">
        <f t="shared" si="1"/>
        <v>1691.94</v>
      </c>
      <c r="M7" s="35">
        <f t="shared" si="1"/>
        <v>1738.8400000000001</v>
      </c>
      <c r="N7" s="35">
        <f>N91</f>
        <v>1687.54</v>
      </c>
      <c r="O7" s="35">
        <f t="shared" si="1"/>
        <v>1709.64</v>
      </c>
      <c r="P7" s="35">
        <f t="shared" si="1"/>
        <v>1791.44</v>
      </c>
      <c r="Q7" s="35">
        <f t="shared" si="1"/>
        <v>1762.34</v>
      </c>
      <c r="R7" s="35">
        <f t="shared" si="1"/>
        <v>1782.54</v>
      </c>
      <c r="S7" s="35">
        <f t="shared" si="1"/>
        <v>1796.74</v>
      </c>
      <c r="T7" s="35">
        <f t="shared" si="1"/>
        <v>1751.74</v>
      </c>
      <c r="U7" s="35">
        <f t="shared" si="1"/>
        <v>1802.3400000000001</v>
      </c>
      <c r="V7" s="35">
        <f t="shared" si="1"/>
        <v>1745.04</v>
      </c>
      <c r="W7" s="35">
        <f t="shared" si="1"/>
        <v>1728.24</v>
      </c>
      <c r="X7" s="35">
        <f t="shared" si="1"/>
        <v>1843.74</v>
      </c>
      <c r="Y7" s="35">
        <f t="shared" si="1"/>
        <v>1823.54</v>
      </c>
      <c r="Z7" s="35">
        <f t="shared" si="1"/>
        <v>1884.74</v>
      </c>
      <c r="AA7" s="35">
        <f t="shared" si="1"/>
        <v>2021.14</v>
      </c>
      <c r="AB7" s="35">
        <f t="shared" si="1"/>
        <v>2019.84</v>
      </c>
      <c r="AC7" s="35">
        <f t="shared" si="1"/>
        <v>1990.44</v>
      </c>
      <c r="AD7" s="35">
        <f t="shared" si="1"/>
        <v>2021.74</v>
      </c>
      <c r="AE7" s="35">
        <f t="shared" si="1"/>
        <v>1880.1399999999999</v>
      </c>
      <c r="AF7" s="35">
        <f t="shared" si="1"/>
        <v>1768.2399999999998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28.5</v>
      </c>
      <c r="C11" s="45">
        <v>28.5</v>
      </c>
      <c r="D11" s="45">
        <v>28.5</v>
      </c>
      <c r="E11" s="45">
        <v>28.5</v>
      </c>
      <c r="F11" s="45">
        <v>28.5</v>
      </c>
      <c r="G11" s="45">
        <v>28.5</v>
      </c>
      <c r="H11" s="45">
        <v>28.5</v>
      </c>
      <c r="I11" s="45">
        <v>28.5</v>
      </c>
      <c r="J11" s="45">
        <v>28.5</v>
      </c>
      <c r="K11" s="45">
        <v>28.5</v>
      </c>
      <c r="L11" s="45">
        <v>28.5</v>
      </c>
      <c r="M11" s="45">
        <v>28.5</v>
      </c>
      <c r="N11" s="45">
        <v>29</v>
      </c>
      <c r="O11" s="45">
        <v>29</v>
      </c>
      <c r="P11" s="45">
        <v>29</v>
      </c>
      <c r="Q11" s="45">
        <v>28</v>
      </c>
      <c r="R11" s="45">
        <v>28</v>
      </c>
      <c r="S11" s="45">
        <v>28</v>
      </c>
      <c r="T11" s="45">
        <v>28</v>
      </c>
      <c r="U11" s="45">
        <v>28</v>
      </c>
      <c r="V11" s="45">
        <v>28.5</v>
      </c>
      <c r="W11" s="45">
        <v>28.5</v>
      </c>
      <c r="X11" s="45">
        <v>28.5</v>
      </c>
      <c r="Y11" s="45">
        <v>28.5</v>
      </c>
      <c r="Z11" s="45">
        <v>28.5</v>
      </c>
      <c r="AA11" s="45">
        <v>36</v>
      </c>
      <c r="AB11" s="45">
        <v>36</v>
      </c>
      <c r="AC11" s="45">
        <v>36</v>
      </c>
      <c r="AD11" s="45">
        <v>36</v>
      </c>
      <c r="AE11" s="45">
        <v>36</v>
      </c>
      <c r="AF11" s="45">
        <v>36</v>
      </c>
      <c r="AG11" s="46">
        <v>86</v>
      </c>
      <c r="AH11" s="47">
        <f t="shared" ref="AH11:AH76" si="2">MAX(B11:AF11)</f>
        <v>36</v>
      </c>
      <c r="AI11" s="48">
        <f t="shared" ref="AI11:AI76" si="3">MIN(B11:AF11)</f>
        <v>28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25</v>
      </c>
      <c r="C12" s="45">
        <v>25</v>
      </c>
      <c r="D12" s="45">
        <v>25</v>
      </c>
      <c r="E12" s="45">
        <v>34</v>
      </c>
      <c r="F12" s="45">
        <v>30</v>
      </c>
      <c r="G12" s="45">
        <v>25</v>
      </c>
      <c r="H12" s="45">
        <v>25</v>
      </c>
      <c r="I12" s="45">
        <v>25</v>
      </c>
      <c r="J12" s="45">
        <v>25</v>
      </c>
      <c r="K12" s="45">
        <v>30</v>
      </c>
      <c r="L12" s="45">
        <v>34</v>
      </c>
      <c r="M12" s="45">
        <v>34</v>
      </c>
      <c r="N12" s="45">
        <v>34</v>
      </c>
      <c r="O12" s="45">
        <v>34</v>
      </c>
      <c r="P12" s="45">
        <v>34</v>
      </c>
      <c r="Q12" s="45">
        <v>34</v>
      </c>
      <c r="R12" s="45">
        <v>34</v>
      </c>
      <c r="S12" s="45">
        <v>34</v>
      </c>
      <c r="T12" s="45">
        <v>34</v>
      </c>
      <c r="U12" s="45">
        <v>34</v>
      </c>
      <c r="V12" s="45">
        <v>34</v>
      </c>
      <c r="W12" s="45">
        <v>34</v>
      </c>
      <c r="X12" s="45">
        <v>34</v>
      </c>
      <c r="Y12" s="45">
        <v>34</v>
      </c>
      <c r="Z12" s="45">
        <v>34</v>
      </c>
      <c r="AA12" s="45">
        <v>25</v>
      </c>
      <c r="AB12" s="45">
        <v>34</v>
      </c>
      <c r="AC12" s="45">
        <v>3.4</v>
      </c>
      <c r="AD12" s="45">
        <v>34</v>
      </c>
      <c r="AE12" s="45">
        <v>38</v>
      </c>
      <c r="AF12" s="45">
        <v>38</v>
      </c>
      <c r="AG12" s="50">
        <v>54</v>
      </c>
      <c r="AH12" s="47">
        <f t="shared" si="2"/>
        <v>38</v>
      </c>
      <c r="AI12" s="48">
        <f t="shared" si="3"/>
        <v>3.4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24.2</v>
      </c>
      <c r="C13" s="45">
        <v>27.6</v>
      </c>
      <c r="D13" s="45">
        <v>27.9</v>
      </c>
      <c r="E13" s="45">
        <v>27.9</v>
      </c>
      <c r="F13" s="45">
        <v>27.9</v>
      </c>
      <c r="G13" s="45">
        <v>27.9</v>
      </c>
      <c r="H13" s="45">
        <v>27.9</v>
      </c>
      <c r="I13" s="45">
        <v>24</v>
      </c>
      <c r="J13" s="45">
        <v>24</v>
      </c>
      <c r="K13" s="45">
        <v>24</v>
      </c>
      <c r="L13" s="45">
        <v>24</v>
      </c>
      <c r="M13" s="45">
        <v>24</v>
      </c>
      <c r="N13" s="45">
        <v>23</v>
      </c>
      <c r="O13" s="45">
        <v>23</v>
      </c>
      <c r="P13" s="45">
        <v>23</v>
      </c>
      <c r="Q13" s="45">
        <v>22</v>
      </c>
      <c r="R13" s="45">
        <v>22</v>
      </c>
      <c r="S13" s="45">
        <v>22</v>
      </c>
      <c r="T13" s="45">
        <v>22</v>
      </c>
      <c r="U13" s="45">
        <v>22</v>
      </c>
      <c r="V13" s="45">
        <v>22</v>
      </c>
      <c r="W13" s="45">
        <v>22</v>
      </c>
      <c r="X13" s="45">
        <v>22</v>
      </c>
      <c r="Y13" s="45">
        <v>22</v>
      </c>
      <c r="Z13" s="45">
        <v>22</v>
      </c>
      <c r="AA13" s="45">
        <v>34</v>
      </c>
      <c r="AB13" s="45">
        <v>20.5</v>
      </c>
      <c r="AC13" s="45">
        <v>20.5</v>
      </c>
      <c r="AD13" s="45">
        <v>20.5</v>
      </c>
      <c r="AE13" s="45">
        <v>21</v>
      </c>
      <c r="AF13" s="45">
        <v>21</v>
      </c>
      <c r="AG13" s="46">
        <v>52.4</v>
      </c>
      <c r="AH13" s="47">
        <f t="shared" si="2"/>
        <v>34</v>
      </c>
      <c r="AI13" s="48">
        <f t="shared" si="3"/>
        <v>20.5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50.7</v>
      </c>
      <c r="C14" s="45">
        <v>50.6</v>
      </c>
      <c r="D14" s="45">
        <v>50.6</v>
      </c>
      <c r="E14" s="45">
        <v>50.6</v>
      </c>
      <c r="F14" s="45">
        <v>50.6</v>
      </c>
      <c r="G14" s="45">
        <v>50.6</v>
      </c>
      <c r="H14" s="45">
        <v>50.6</v>
      </c>
      <c r="I14" s="45">
        <v>50.6</v>
      </c>
      <c r="J14" s="45">
        <v>50.6</v>
      </c>
      <c r="K14" s="45">
        <v>50.6</v>
      </c>
      <c r="L14" s="45">
        <v>50.6</v>
      </c>
      <c r="M14" s="45">
        <v>50.6</v>
      </c>
      <c r="N14" s="58">
        <v>50.5</v>
      </c>
      <c r="O14" s="58">
        <v>50.5</v>
      </c>
      <c r="P14" s="58">
        <v>50.5</v>
      </c>
      <c r="Q14" s="58">
        <v>50.5</v>
      </c>
      <c r="R14" s="58">
        <v>50.5</v>
      </c>
      <c r="S14" s="58">
        <v>50.5</v>
      </c>
      <c r="T14" s="58">
        <v>50.5</v>
      </c>
      <c r="U14" s="58">
        <v>50.5</v>
      </c>
      <c r="V14" s="58">
        <v>50.5</v>
      </c>
      <c r="W14" s="58">
        <v>50.5</v>
      </c>
      <c r="X14" s="58">
        <v>50.5</v>
      </c>
      <c r="Y14" s="58">
        <v>50.5</v>
      </c>
      <c r="Z14" s="58">
        <v>50.5</v>
      </c>
      <c r="AA14" s="45">
        <v>50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50">
        <v>50</v>
      </c>
      <c r="AH14" s="47">
        <f t="shared" si="2"/>
        <v>50.7</v>
      </c>
      <c r="AI14" s="48">
        <f t="shared" si="3"/>
        <v>50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25.9</v>
      </c>
      <c r="C15" s="45">
        <v>34.799999999999997</v>
      </c>
      <c r="D15" s="45">
        <v>34.799999999999997</v>
      </c>
      <c r="E15" s="45">
        <v>34.799999999999997</v>
      </c>
      <c r="F15" s="45">
        <v>34.799999999999997</v>
      </c>
      <c r="G15" s="45">
        <v>34.799999999999997</v>
      </c>
      <c r="H15" s="45">
        <v>34.799999999999997</v>
      </c>
      <c r="I15" s="45">
        <v>29.8</v>
      </c>
      <c r="J15" s="45">
        <v>29.8</v>
      </c>
      <c r="K15" s="45">
        <v>29.8</v>
      </c>
      <c r="L15" s="45">
        <v>29.8</v>
      </c>
      <c r="M15" s="45">
        <v>29.8</v>
      </c>
      <c r="N15" s="45">
        <v>28.3</v>
      </c>
      <c r="O15" s="45">
        <v>28.3</v>
      </c>
      <c r="P15" s="45">
        <v>28.3</v>
      </c>
      <c r="Q15" s="45">
        <v>28.3</v>
      </c>
      <c r="R15" s="45">
        <v>28.3</v>
      </c>
      <c r="S15" s="45">
        <v>28.3</v>
      </c>
      <c r="T15" s="45">
        <v>28.3</v>
      </c>
      <c r="U15" s="45">
        <v>28.3</v>
      </c>
      <c r="V15" s="45">
        <v>28.3</v>
      </c>
      <c r="W15" s="45">
        <v>28.3</v>
      </c>
      <c r="X15" s="45">
        <v>28.3</v>
      </c>
      <c r="Y15" s="45">
        <v>28.3</v>
      </c>
      <c r="Z15" s="45">
        <v>28.3</v>
      </c>
      <c r="AA15" s="45">
        <v>32</v>
      </c>
      <c r="AB15" s="45">
        <v>32.9</v>
      </c>
      <c r="AC15" s="45">
        <v>32.9</v>
      </c>
      <c r="AD15" s="45">
        <v>32.9</v>
      </c>
      <c r="AE15" s="45">
        <v>35</v>
      </c>
      <c r="AF15" s="45">
        <v>35</v>
      </c>
      <c r="AG15" s="50">
        <v>45</v>
      </c>
      <c r="AH15" s="47">
        <f t="shared" si="2"/>
        <v>35</v>
      </c>
      <c r="AI15" s="48">
        <f t="shared" si="3"/>
        <v>25.9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27</v>
      </c>
      <c r="C16" s="45">
        <v>27</v>
      </c>
      <c r="D16" s="45">
        <v>27</v>
      </c>
      <c r="E16" s="45">
        <v>27</v>
      </c>
      <c r="F16" s="45">
        <v>27</v>
      </c>
      <c r="G16" s="45">
        <v>27</v>
      </c>
      <c r="H16" s="45">
        <v>27</v>
      </c>
      <c r="I16" s="45">
        <v>27</v>
      </c>
      <c r="J16" s="45">
        <v>27</v>
      </c>
      <c r="K16" s="45">
        <v>27</v>
      </c>
      <c r="L16" s="45">
        <v>27</v>
      </c>
      <c r="M16" s="45">
        <v>27</v>
      </c>
      <c r="N16" s="45">
        <v>27</v>
      </c>
      <c r="O16" s="45">
        <v>27</v>
      </c>
      <c r="P16" s="45">
        <v>27</v>
      </c>
      <c r="Q16" s="45">
        <v>27</v>
      </c>
      <c r="R16" s="45">
        <v>27</v>
      </c>
      <c r="S16" s="45">
        <v>27</v>
      </c>
      <c r="T16" s="45">
        <v>27</v>
      </c>
      <c r="U16" s="45">
        <v>27</v>
      </c>
      <c r="V16" s="45">
        <v>27</v>
      </c>
      <c r="W16" s="45">
        <v>27</v>
      </c>
      <c r="X16" s="45">
        <v>27</v>
      </c>
      <c r="Y16" s="45">
        <v>27</v>
      </c>
      <c r="Z16" s="45">
        <v>27</v>
      </c>
      <c r="AA16" s="45">
        <v>27</v>
      </c>
      <c r="AB16" s="45">
        <v>27</v>
      </c>
      <c r="AC16" s="45">
        <v>27</v>
      </c>
      <c r="AD16" s="45">
        <v>27</v>
      </c>
      <c r="AE16" s="45">
        <v>27</v>
      </c>
      <c r="AF16" s="45">
        <v>27</v>
      </c>
      <c r="AG16" s="50">
        <v>44</v>
      </c>
      <c r="AH16" s="47">
        <f>MAX(B16:AG16)</f>
        <v>44</v>
      </c>
      <c r="AI16" s="48">
        <f>MIN(B16:AG16)</f>
        <v>27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28</v>
      </c>
      <c r="C17" s="45">
        <v>28</v>
      </c>
      <c r="D17" s="45">
        <v>27</v>
      </c>
      <c r="E17" s="45">
        <v>27</v>
      </c>
      <c r="F17" s="45">
        <v>27</v>
      </c>
      <c r="G17" s="45">
        <v>27</v>
      </c>
      <c r="H17" s="45">
        <v>27</v>
      </c>
      <c r="I17" s="45">
        <v>26</v>
      </c>
      <c r="J17" s="45">
        <v>26</v>
      </c>
      <c r="K17" s="45">
        <v>26</v>
      </c>
      <c r="L17" s="45">
        <v>26</v>
      </c>
      <c r="M17" s="45">
        <v>26</v>
      </c>
      <c r="N17" s="45">
        <v>25</v>
      </c>
      <c r="O17" s="45">
        <v>25</v>
      </c>
      <c r="P17" s="45">
        <v>25</v>
      </c>
      <c r="Q17" s="45">
        <v>25</v>
      </c>
      <c r="R17" s="45">
        <v>25</v>
      </c>
      <c r="S17" s="45">
        <v>25</v>
      </c>
      <c r="T17" s="45">
        <v>25</v>
      </c>
      <c r="U17" s="45">
        <v>25</v>
      </c>
      <c r="V17" s="45">
        <v>27</v>
      </c>
      <c r="W17" s="45">
        <v>27</v>
      </c>
      <c r="X17" s="45">
        <v>27</v>
      </c>
      <c r="Y17" s="45">
        <v>27</v>
      </c>
      <c r="Z17" s="45">
        <v>27</v>
      </c>
      <c r="AA17" s="45">
        <v>30</v>
      </c>
      <c r="AB17" s="45">
        <v>32</v>
      </c>
      <c r="AC17" s="45">
        <v>32</v>
      </c>
      <c r="AD17" s="45">
        <v>32</v>
      </c>
      <c r="AE17" s="45">
        <v>32</v>
      </c>
      <c r="AF17" s="45">
        <v>32</v>
      </c>
      <c r="AG17" s="50">
        <v>42</v>
      </c>
      <c r="AH17" s="47">
        <f t="shared" si="2"/>
        <v>32</v>
      </c>
      <c r="AI17" s="48">
        <f t="shared" si="3"/>
        <v>25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7</v>
      </c>
      <c r="C18" s="45">
        <v>7</v>
      </c>
      <c r="D18" s="45">
        <v>7</v>
      </c>
      <c r="E18" s="45">
        <v>7</v>
      </c>
      <c r="F18" s="45">
        <v>7</v>
      </c>
      <c r="G18" s="45">
        <v>7</v>
      </c>
      <c r="H18" s="45">
        <v>7</v>
      </c>
      <c r="I18" s="45">
        <v>7</v>
      </c>
      <c r="J18" s="45">
        <v>7</v>
      </c>
      <c r="K18" s="45">
        <v>7</v>
      </c>
      <c r="L18" s="45">
        <v>7</v>
      </c>
      <c r="M18" s="45">
        <v>7</v>
      </c>
      <c r="N18" s="45">
        <v>7</v>
      </c>
      <c r="O18" s="45">
        <v>7</v>
      </c>
      <c r="P18" s="45">
        <v>7</v>
      </c>
      <c r="Q18" s="45">
        <v>7</v>
      </c>
      <c r="R18" s="45">
        <v>7</v>
      </c>
      <c r="S18" s="45">
        <v>7</v>
      </c>
      <c r="T18" s="45">
        <v>0</v>
      </c>
      <c r="U18" s="45">
        <v>0</v>
      </c>
      <c r="V18" s="45">
        <v>25</v>
      </c>
      <c r="W18" s="45">
        <v>25</v>
      </c>
      <c r="X18" s="45">
        <v>25</v>
      </c>
      <c r="Y18" s="45">
        <v>25</v>
      </c>
      <c r="Z18" s="45">
        <v>25</v>
      </c>
      <c r="AA18" s="45">
        <v>27</v>
      </c>
      <c r="AB18" s="45">
        <v>27</v>
      </c>
      <c r="AC18" s="45">
        <v>27</v>
      </c>
      <c r="AD18" s="45">
        <v>27</v>
      </c>
      <c r="AE18" s="45">
        <v>27</v>
      </c>
      <c r="AF18" s="45">
        <v>27</v>
      </c>
      <c r="AG18" s="50">
        <v>38.46</v>
      </c>
      <c r="AH18" s="47">
        <f t="shared" si="2"/>
        <v>27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19</v>
      </c>
      <c r="C19" s="45">
        <v>19</v>
      </c>
      <c r="D19" s="45">
        <v>19</v>
      </c>
      <c r="E19" s="45">
        <v>19</v>
      </c>
      <c r="F19" s="45">
        <v>19</v>
      </c>
      <c r="G19" s="45">
        <v>19</v>
      </c>
      <c r="H19" s="45">
        <v>19</v>
      </c>
      <c r="I19" s="45">
        <v>19</v>
      </c>
      <c r="J19" s="45">
        <v>19</v>
      </c>
      <c r="K19" s="45">
        <v>19</v>
      </c>
      <c r="L19" s="45">
        <v>19</v>
      </c>
      <c r="M19" s="45">
        <v>19</v>
      </c>
      <c r="N19" s="45">
        <v>19</v>
      </c>
      <c r="O19" s="45">
        <v>19</v>
      </c>
      <c r="P19" s="45">
        <v>19</v>
      </c>
      <c r="Q19" s="45">
        <v>19</v>
      </c>
      <c r="R19" s="45">
        <v>19</v>
      </c>
      <c r="S19" s="45">
        <v>19</v>
      </c>
      <c r="T19" s="45">
        <v>19</v>
      </c>
      <c r="U19" s="45">
        <v>19</v>
      </c>
      <c r="V19" s="45">
        <v>19</v>
      </c>
      <c r="W19" s="45">
        <v>19</v>
      </c>
      <c r="X19" s="45">
        <v>19</v>
      </c>
      <c r="Y19" s="45">
        <v>19</v>
      </c>
      <c r="Z19" s="45">
        <v>19</v>
      </c>
      <c r="AA19" s="45">
        <v>27</v>
      </c>
      <c r="AB19" s="45">
        <v>27</v>
      </c>
      <c r="AC19" s="45">
        <v>27</v>
      </c>
      <c r="AD19" s="45">
        <v>27</v>
      </c>
      <c r="AE19" s="45">
        <v>27</v>
      </c>
      <c r="AF19" s="45">
        <v>27</v>
      </c>
      <c r="AG19" s="50">
        <v>36</v>
      </c>
      <c r="AH19" s="47">
        <f t="shared" si="2"/>
        <v>27</v>
      </c>
      <c r="AI19" s="48">
        <f t="shared" si="3"/>
        <v>19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19.2</v>
      </c>
      <c r="C20" s="45">
        <v>19.3</v>
      </c>
      <c r="D20" s="45">
        <v>18.399999999999999</v>
      </c>
      <c r="E20" s="45">
        <v>18.399999999999999</v>
      </c>
      <c r="F20" s="45">
        <v>15</v>
      </c>
      <c r="G20" s="45">
        <v>12</v>
      </c>
      <c r="H20" s="45">
        <v>12</v>
      </c>
      <c r="I20" s="45">
        <v>15</v>
      </c>
      <c r="J20" s="45">
        <v>15</v>
      </c>
      <c r="K20" s="45">
        <v>18</v>
      </c>
      <c r="L20" s="45">
        <v>18</v>
      </c>
      <c r="M20" s="45">
        <v>18</v>
      </c>
      <c r="N20" s="45">
        <v>17.5</v>
      </c>
      <c r="O20" s="45">
        <v>17.5</v>
      </c>
      <c r="P20" s="45">
        <v>17.5</v>
      </c>
      <c r="Q20" s="45">
        <v>17.5</v>
      </c>
      <c r="R20" s="45">
        <v>17.5</v>
      </c>
      <c r="S20" s="45">
        <v>17.5</v>
      </c>
      <c r="T20" s="45">
        <v>17.5</v>
      </c>
      <c r="U20" s="45">
        <v>17.5</v>
      </c>
      <c r="V20" s="45">
        <v>19.5</v>
      </c>
      <c r="W20" s="45">
        <v>19.5</v>
      </c>
      <c r="X20" s="45">
        <v>19.5</v>
      </c>
      <c r="Y20" s="45">
        <v>19.5</v>
      </c>
      <c r="Z20" s="45">
        <v>19.5</v>
      </c>
      <c r="AA20" s="45">
        <v>18</v>
      </c>
      <c r="AB20" s="45">
        <v>18.8</v>
      </c>
      <c r="AC20" s="45">
        <v>18.8</v>
      </c>
      <c r="AD20" s="45">
        <v>18.8</v>
      </c>
      <c r="AE20" s="45">
        <v>16</v>
      </c>
      <c r="AF20" s="45">
        <v>16</v>
      </c>
      <c r="AG20" s="51">
        <v>30</v>
      </c>
      <c r="AH20" s="47">
        <f t="shared" si="2"/>
        <v>19.5</v>
      </c>
      <c r="AI20" s="48">
        <f t="shared" si="3"/>
        <v>12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15.3</v>
      </c>
      <c r="C21" s="45">
        <v>15.3</v>
      </c>
      <c r="D21" s="45">
        <v>13.2</v>
      </c>
      <c r="E21" s="45">
        <v>13.2</v>
      </c>
      <c r="F21" s="45">
        <v>13.2</v>
      </c>
      <c r="G21" s="45">
        <v>13.2</v>
      </c>
      <c r="H21" s="45">
        <v>13.2</v>
      </c>
      <c r="I21" s="45">
        <v>13.2</v>
      </c>
      <c r="J21" s="45">
        <v>13.2</v>
      </c>
      <c r="K21" s="45">
        <v>13.2</v>
      </c>
      <c r="L21" s="45">
        <v>13.2</v>
      </c>
      <c r="M21" s="45">
        <v>13.2</v>
      </c>
      <c r="N21" s="45">
        <v>12.2</v>
      </c>
      <c r="O21" s="45">
        <v>12.2</v>
      </c>
      <c r="P21" s="45">
        <v>12.2</v>
      </c>
      <c r="Q21" s="45">
        <v>12.2</v>
      </c>
      <c r="R21" s="45">
        <v>12.2</v>
      </c>
      <c r="S21" s="45">
        <v>12.2</v>
      </c>
      <c r="T21" s="45">
        <v>12.2</v>
      </c>
      <c r="U21" s="45">
        <v>12.2</v>
      </c>
      <c r="V21" s="45">
        <v>12.2</v>
      </c>
      <c r="W21" s="45">
        <v>12.2</v>
      </c>
      <c r="X21" s="45">
        <v>12.2</v>
      </c>
      <c r="Y21" s="45">
        <v>12.2</v>
      </c>
      <c r="Z21" s="45">
        <v>12.2</v>
      </c>
      <c r="AA21" s="45">
        <v>11</v>
      </c>
      <c r="AB21" s="45">
        <v>11</v>
      </c>
      <c r="AC21" s="45">
        <v>11</v>
      </c>
      <c r="AD21" s="45">
        <v>11</v>
      </c>
      <c r="AE21" s="45">
        <v>11</v>
      </c>
      <c r="AF21" s="45">
        <v>11</v>
      </c>
      <c r="AG21" s="50">
        <v>24.2</v>
      </c>
      <c r="AH21" s="47">
        <f t="shared" si="2"/>
        <v>15.3</v>
      </c>
      <c r="AI21" s="48">
        <f t="shared" si="3"/>
        <v>11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19.5</v>
      </c>
      <c r="AB22" s="45">
        <v>19.5</v>
      </c>
      <c r="AC22" s="45">
        <v>19.5</v>
      </c>
      <c r="AD22" s="45">
        <v>19.5</v>
      </c>
      <c r="AE22" s="45">
        <v>19.5</v>
      </c>
      <c r="AF22" s="45">
        <v>19.5</v>
      </c>
      <c r="AG22" s="50">
        <v>28</v>
      </c>
      <c r="AH22" s="47">
        <f t="shared" si="2"/>
        <v>19.5</v>
      </c>
      <c r="AI22" s="48">
        <f t="shared" si="3"/>
        <v>12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15</v>
      </c>
      <c r="C23" s="45">
        <v>15</v>
      </c>
      <c r="D23" s="45">
        <v>15</v>
      </c>
      <c r="E23" s="45">
        <v>15</v>
      </c>
      <c r="F23" s="45">
        <v>11</v>
      </c>
      <c r="G23" s="45">
        <v>9</v>
      </c>
      <c r="H23" s="45">
        <v>9</v>
      </c>
      <c r="I23" s="45">
        <v>12</v>
      </c>
      <c r="J23" s="45">
        <v>12</v>
      </c>
      <c r="K23" s="45">
        <v>14</v>
      </c>
      <c r="L23" s="45">
        <v>14</v>
      </c>
      <c r="M23" s="45">
        <v>14</v>
      </c>
      <c r="N23" s="45">
        <v>14</v>
      </c>
      <c r="O23" s="45">
        <v>14</v>
      </c>
      <c r="P23" s="45">
        <v>14</v>
      </c>
      <c r="Q23" s="45">
        <v>14</v>
      </c>
      <c r="R23" s="45">
        <v>14</v>
      </c>
      <c r="S23" s="45">
        <v>14</v>
      </c>
      <c r="T23" s="45">
        <v>14</v>
      </c>
      <c r="U23" s="45">
        <v>14</v>
      </c>
      <c r="V23" s="45">
        <v>14</v>
      </c>
      <c r="W23" s="45">
        <v>14</v>
      </c>
      <c r="X23" s="45">
        <v>14</v>
      </c>
      <c r="Y23" s="45">
        <v>14</v>
      </c>
      <c r="Z23" s="45">
        <v>14</v>
      </c>
      <c r="AA23" s="45">
        <v>12.2</v>
      </c>
      <c r="AB23" s="45">
        <v>12.2</v>
      </c>
      <c r="AC23" s="45">
        <v>12.2</v>
      </c>
      <c r="AD23" s="45">
        <v>12.2</v>
      </c>
      <c r="AE23" s="45">
        <v>12.2</v>
      </c>
      <c r="AF23" s="45">
        <v>12.2</v>
      </c>
      <c r="AG23" s="51">
        <v>30</v>
      </c>
      <c r="AH23" s="47">
        <f t="shared" si="2"/>
        <v>15</v>
      </c>
      <c r="AI23" s="48">
        <f t="shared" si="3"/>
        <v>9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17</v>
      </c>
      <c r="C24" s="45">
        <v>17.399999999999999</v>
      </c>
      <c r="D24" s="45">
        <v>17.2</v>
      </c>
      <c r="E24" s="45">
        <v>17.2</v>
      </c>
      <c r="F24" s="45">
        <v>17.2</v>
      </c>
      <c r="G24" s="45">
        <v>17.2</v>
      </c>
      <c r="H24" s="45">
        <v>17.2</v>
      </c>
      <c r="I24" s="45">
        <v>16.2</v>
      </c>
      <c r="J24" s="45">
        <v>16.2</v>
      </c>
      <c r="K24" s="45">
        <v>16.2</v>
      </c>
      <c r="L24" s="45">
        <v>16.2</v>
      </c>
      <c r="M24" s="45">
        <v>16.2</v>
      </c>
      <c r="N24" s="45">
        <v>16.2</v>
      </c>
      <c r="O24" s="45">
        <v>16.2</v>
      </c>
      <c r="P24" s="45">
        <v>16.2</v>
      </c>
      <c r="Q24" s="45">
        <v>16.2</v>
      </c>
      <c r="R24" s="45">
        <v>16.2</v>
      </c>
      <c r="S24" s="45">
        <v>16.2</v>
      </c>
      <c r="T24" s="45">
        <v>16.2</v>
      </c>
      <c r="U24" s="45">
        <v>16.2</v>
      </c>
      <c r="V24" s="45">
        <v>16.2</v>
      </c>
      <c r="W24" s="45">
        <v>16.2</v>
      </c>
      <c r="X24" s="45">
        <v>16.2</v>
      </c>
      <c r="Y24" s="45">
        <v>16.2</v>
      </c>
      <c r="Z24" s="45">
        <v>16.2</v>
      </c>
      <c r="AA24" s="45">
        <v>12</v>
      </c>
      <c r="AB24" s="45">
        <v>16.399999999999999</v>
      </c>
      <c r="AC24" s="45">
        <v>16.399999999999999</v>
      </c>
      <c r="AD24" s="45">
        <v>16.399999999999999</v>
      </c>
      <c r="AE24" s="45">
        <v>16.399999999999999</v>
      </c>
      <c r="AF24" s="45">
        <v>16.399999999999999</v>
      </c>
      <c r="AG24" s="50">
        <v>25</v>
      </c>
      <c r="AH24" s="47">
        <f t="shared" si="2"/>
        <v>17.399999999999999</v>
      </c>
      <c r="AI24" s="48">
        <f t="shared" si="3"/>
        <v>12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13</v>
      </c>
      <c r="C25" s="45">
        <v>13</v>
      </c>
      <c r="D25" s="45">
        <v>13</v>
      </c>
      <c r="E25" s="45">
        <v>13</v>
      </c>
      <c r="F25" s="45">
        <v>13</v>
      </c>
      <c r="G25" s="45">
        <v>13</v>
      </c>
      <c r="H25" s="45">
        <v>13</v>
      </c>
      <c r="I25" s="45">
        <v>13</v>
      </c>
      <c r="J25" s="45">
        <v>13</v>
      </c>
      <c r="K25" s="45">
        <v>13</v>
      </c>
      <c r="L25" s="45">
        <v>13</v>
      </c>
      <c r="M25" s="45">
        <v>13</v>
      </c>
      <c r="N25" s="45">
        <v>13</v>
      </c>
      <c r="O25" s="45">
        <v>13</v>
      </c>
      <c r="P25" s="45">
        <v>13</v>
      </c>
      <c r="Q25" s="45">
        <v>13</v>
      </c>
      <c r="R25" s="45">
        <v>13</v>
      </c>
      <c r="S25" s="45">
        <v>13</v>
      </c>
      <c r="T25" s="45">
        <v>13</v>
      </c>
      <c r="U25" s="45">
        <v>13</v>
      </c>
      <c r="V25" s="45">
        <v>13</v>
      </c>
      <c r="W25" s="45">
        <v>13</v>
      </c>
      <c r="X25" s="45">
        <v>13</v>
      </c>
      <c r="Y25" s="45">
        <v>13</v>
      </c>
      <c r="Z25" s="45">
        <v>13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13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9</v>
      </c>
      <c r="C26" s="45">
        <v>9</v>
      </c>
      <c r="D26" s="45">
        <v>9</v>
      </c>
      <c r="E26" s="45">
        <v>9</v>
      </c>
      <c r="F26" s="45">
        <v>9</v>
      </c>
      <c r="G26" s="45">
        <v>9</v>
      </c>
      <c r="H26" s="45">
        <v>9</v>
      </c>
      <c r="I26" s="45">
        <v>9</v>
      </c>
      <c r="J26" s="45">
        <v>9</v>
      </c>
      <c r="K26" s="45">
        <v>9</v>
      </c>
      <c r="L26" s="45">
        <v>9</v>
      </c>
      <c r="M26" s="45">
        <v>9</v>
      </c>
      <c r="N26" s="45">
        <v>9</v>
      </c>
      <c r="O26" s="45">
        <v>9</v>
      </c>
      <c r="P26" s="45">
        <v>9</v>
      </c>
      <c r="Q26" s="45">
        <v>9</v>
      </c>
      <c r="R26" s="45">
        <v>9</v>
      </c>
      <c r="S26" s="45">
        <v>9</v>
      </c>
      <c r="T26" s="45">
        <v>9</v>
      </c>
      <c r="U26" s="45">
        <v>9</v>
      </c>
      <c r="V26" s="45">
        <v>9</v>
      </c>
      <c r="W26" s="45">
        <v>9</v>
      </c>
      <c r="X26" s="45">
        <v>9</v>
      </c>
      <c r="Y26" s="45">
        <v>9</v>
      </c>
      <c r="Z26" s="45">
        <v>9</v>
      </c>
      <c r="AA26" s="45">
        <v>16.2</v>
      </c>
      <c r="AB26" s="45">
        <v>16.2</v>
      </c>
      <c r="AC26" s="45">
        <v>16.2</v>
      </c>
      <c r="AD26" s="45">
        <v>16.2</v>
      </c>
      <c r="AE26" s="45">
        <v>16.2</v>
      </c>
      <c r="AF26" s="45">
        <v>16.2</v>
      </c>
      <c r="AG26" s="50">
        <v>25</v>
      </c>
      <c r="AH26" s="47">
        <f t="shared" si="2"/>
        <v>16.2</v>
      </c>
      <c r="AI26" s="48">
        <f t="shared" si="3"/>
        <v>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13</v>
      </c>
      <c r="C27" s="45">
        <v>13</v>
      </c>
      <c r="D27" s="45">
        <v>13</v>
      </c>
      <c r="E27" s="45">
        <v>18</v>
      </c>
      <c r="F27" s="45">
        <v>12</v>
      </c>
      <c r="G27" s="45">
        <v>12</v>
      </c>
      <c r="H27" s="45">
        <v>12</v>
      </c>
      <c r="I27" s="45">
        <v>15</v>
      </c>
      <c r="J27" s="45">
        <v>15</v>
      </c>
      <c r="K27" s="45">
        <v>18</v>
      </c>
      <c r="L27" s="45">
        <v>18</v>
      </c>
      <c r="M27" s="45">
        <v>18</v>
      </c>
      <c r="N27" s="45">
        <v>18</v>
      </c>
      <c r="O27" s="45">
        <v>18</v>
      </c>
      <c r="P27" s="45">
        <v>18</v>
      </c>
      <c r="Q27" s="45">
        <v>18</v>
      </c>
      <c r="R27" s="45">
        <v>18</v>
      </c>
      <c r="S27" s="45">
        <v>18</v>
      </c>
      <c r="T27" s="45">
        <v>18</v>
      </c>
      <c r="U27" s="45">
        <v>18</v>
      </c>
      <c r="V27" s="45">
        <v>18</v>
      </c>
      <c r="W27" s="45">
        <v>18</v>
      </c>
      <c r="X27" s="45">
        <v>18</v>
      </c>
      <c r="Y27" s="45">
        <v>18</v>
      </c>
      <c r="Z27" s="45">
        <v>18</v>
      </c>
      <c r="AA27" s="45">
        <v>13</v>
      </c>
      <c r="AB27" s="45">
        <v>13</v>
      </c>
      <c r="AC27" s="45">
        <v>13</v>
      </c>
      <c r="AD27" s="45">
        <v>13</v>
      </c>
      <c r="AE27" s="45">
        <v>13</v>
      </c>
      <c r="AF27" s="45">
        <v>13</v>
      </c>
      <c r="AG27" s="50">
        <v>25</v>
      </c>
      <c r="AH27" s="47">
        <f t="shared" si="2"/>
        <v>18</v>
      </c>
      <c r="AI27" s="48">
        <f t="shared" si="3"/>
        <v>12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8</v>
      </c>
      <c r="C28" s="45">
        <v>8.5</v>
      </c>
      <c r="D28" s="45">
        <v>8.5</v>
      </c>
      <c r="E28" s="45">
        <v>8.5</v>
      </c>
      <c r="F28" s="45">
        <v>8.5</v>
      </c>
      <c r="G28" s="45">
        <v>8.5</v>
      </c>
      <c r="H28" s="45">
        <v>8.5</v>
      </c>
      <c r="I28" s="45">
        <v>8.5</v>
      </c>
      <c r="J28" s="45">
        <v>8.5</v>
      </c>
      <c r="K28" s="45">
        <v>8.5</v>
      </c>
      <c r="L28" s="45">
        <v>8.5</v>
      </c>
      <c r="M28" s="45">
        <v>8.5</v>
      </c>
      <c r="N28" s="45">
        <v>8.5</v>
      </c>
      <c r="O28" s="45">
        <v>8.5</v>
      </c>
      <c r="P28" s="45">
        <v>8.5</v>
      </c>
      <c r="Q28" s="45">
        <v>8.5</v>
      </c>
      <c r="R28" s="45">
        <v>8.5</v>
      </c>
      <c r="S28" s="45">
        <v>8.5</v>
      </c>
      <c r="T28" s="45">
        <v>8.5</v>
      </c>
      <c r="U28" s="45">
        <v>8.5</v>
      </c>
      <c r="V28" s="45">
        <v>8.5</v>
      </c>
      <c r="W28" s="45">
        <v>8.5</v>
      </c>
      <c r="X28" s="45">
        <v>8.5</v>
      </c>
      <c r="Y28" s="45">
        <v>8.5</v>
      </c>
      <c r="Z28" s="45">
        <v>8.5</v>
      </c>
      <c r="AA28" s="45">
        <v>9</v>
      </c>
      <c r="AB28" s="45">
        <v>9</v>
      </c>
      <c r="AC28" s="45">
        <v>9</v>
      </c>
      <c r="AD28" s="45">
        <v>9</v>
      </c>
      <c r="AE28" s="45">
        <v>9</v>
      </c>
      <c r="AF28" s="45">
        <v>9</v>
      </c>
      <c r="AG28" s="50">
        <v>23.5</v>
      </c>
      <c r="AH28" s="47">
        <f t="shared" si="2"/>
        <v>9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</v>
      </c>
      <c r="C29" s="45">
        <v>3</v>
      </c>
      <c r="D29" s="45">
        <v>3</v>
      </c>
      <c r="E29" s="45">
        <v>3</v>
      </c>
      <c r="F29" s="45">
        <v>3</v>
      </c>
      <c r="G29" s="45">
        <v>3</v>
      </c>
      <c r="H29" s="45">
        <v>3</v>
      </c>
      <c r="I29" s="45">
        <v>3</v>
      </c>
      <c r="J29" s="45">
        <v>3</v>
      </c>
      <c r="K29" s="45">
        <v>3</v>
      </c>
      <c r="L29" s="45">
        <v>3</v>
      </c>
      <c r="M29" s="45">
        <v>3</v>
      </c>
      <c r="N29" s="45">
        <v>3</v>
      </c>
      <c r="O29" s="45">
        <v>3</v>
      </c>
      <c r="P29" s="45">
        <v>3</v>
      </c>
      <c r="Q29" s="45">
        <v>3</v>
      </c>
      <c r="R29" s="45">
        <v>3</v>
      </c>
      <c r="S29" s="45">
        <v>3</v>
      </c>
      <c r="T29" s="45">
        <v>3</v>
      </c>
      <c r="U29" s="45">
        <v>3</v>
      </c>
      <c r="V29" s="45">
        <v>3</v>
      </c>
      <c r="W29" s="45">
        <v>3</v>
      </c>
      <c r="X29" s="45">
        <v>3</v>
      </c>
      <c r="Y29" s="45">
        <v>3</v>
      </c>
      <c r="Z29" s="45">
        <v>3</v>
      </c>
      <c r="AA29" s="45">
        <v>18</v>
      </c>
      <c r="AB29" s="45">
        <v>18</v>
      </c>
      <c r="AC29" s="45">
        <v>18</v>
      </c>
      <c r="AD29" s="45">
        <v>18</v>
      </c>
      <c r="AE29" s="45">
        <v>18</v>
      </c>
      <c r="AF29" s="45">
        <v>18</v>
      </c>
      <c r="AG29" s="50">
        <v>22.2</v>
      </c>
      <c r="AH29" s="47">
        <f t="shared" si="2"/>
        <v>18</v>
      </c>
      <c r="AI29" s="48">
        <f t="shared" si="3"/>
        <v>3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3.6</v>
      </c>
      <c r="C30" s="45">
        <v>3.6</v>
      </c>
      <c r="D30" s="45">
        <v>3.6</v>
      </c>
      <c r="E30" s="45">
        <v>3.6</v>
      </c>
      <c r="F30" s="45">
        <v>3.6</v>
      </c>
      <c r="G30" s="45">
        <v>3.6</v>
      </c>
      <c r="H30" s="45">
        <v>3.6</v>
      </c>
      <c r="I30" s="45">
        <v>3.6</v>
      </c>
      <c r="J30" s="45">
        <v>3.6</v>
      </c>
      <c r="K30" s="45">
        <v>3.6</v>
      </c>
      <c r="L30" s="45">
        <v>3.6</v>
      </c>
      <c r="M30" s="45">
        <v>3.6</v>
      </c>
      <c r="N30" s="45">
        <v>3.6</v>
      </c>
      <c r="O30" s="45">
        <v>3.6</v>
      </c>
      <c r="P30" s="45">
        <v>3.6</v>
      </c>
      <c r="Q30" s="45">
        <v>3.6</v>
      </c>
      <c r="R30" s="45">
        <v>3.6</v>
      </c>
      <c r="S30" s="45">
        <v>3.6</v>
      </c>
      <c r="T30" s="45">
        <v>3.6</v>
      </c>
      <c r="U30" s="45">
        <v>3.6</v>
      </c>
      <c r="V30" s="45">
        <v>3.6</v>
      </c>
      <c r="W30" s="45">
        <v>3.6</v>
      </c>
      <c r="X30" s="45">
        <v>3.6</v>
      </c>
      <c r="Y30" s="45">
        <v>3.6</v>
      </c>
      <c r="Z30" s="45">
        <v>3.6</v>
      </c>
      <c r="AA30" s="45">
        <v>8.5</v>
      </c>
      <c r="AB30" s="45">
        <v>8.5</v>
      </c>
      <c r="AC30" s="45">
        <v>8.5</v>
      </c>
      <c r="AD30" s="45">
        <v>8.5</v>
      </c>
      <c r="AE30" s="45">
        <v>8.5</v>
      </c>
      <c r="AF30" s="45">
        <v>8.5</v>
      </c>
      <c r="AG30" s="50">
        <v>22.1</v>
      </c>
      <c r="AH30" s="47">
        <f t="shared" si="2"/>
        <v>8.5</v>
      </c>
      <c r="AI30" s="48">
        <f t="shared" si="3"/>
        <v>3.6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50">
        <v>22</v>
      </c>
      <c r="AH31" s="47">
        <f t="shared" si="2"/>
        <v>3</v>
      </c>
      <c r="AI31" s="48">
        <f t="shared" si="3"/>
        <v>3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11</v>
      </c>
      <c r="C32" s="45">
        <v>10</v>
      </c>
      <c r="D32" s="45">
        <v>9</v>
      </c>
      <c r="E32" s="45">
        <v>9</v>
      </c>
      <c r="F32" s="45">
        <v>9</v>
      </c>
      <c r="G32" s="45">
        <v>9</v>
      </c>
      <c r="H32" s="45">
        <v>9</v>
      </c>
      <c r="I32" s="45">
        <v>9</v>
      </c>
      <c r="J32" s="45">
        <v>9</v>
      </c>
      <c r="K32" s="45">
        <v>9</v>
      </c>
      <c r="L32" s="45">
        <v>9</v>
      </c>
      <c r="M32" s="45">
        <v>9</v>
      </c>
      <c r="N32" s="45">
        <v>9</v>
      </c>
      <c r="O32" s="45">
        <v>9</v>
      </c>
      <c r="P32" s="45">
        <v>9</v>
      </c>
      <c r="Q32" s="45">
        <v>9</v>
      </c>
      <c r="R32" s="45">
        <v>9</v>
      </c>
      <c r="S32" s="45">
        <v>9</v>
      </c>
      <c r="T32" s="45">
        <v>9</v>
      </c>
      <c r="U32" s="45">
        <v>9</v>
      </c>
      <c r="V32" s="45">
        <v>9</v>
      </c>
      <c r="W32" s="45">
        <v>9</v>
      </c>
      <c r="X32" s="45">
        <v>9</v>
      </c>
      <c r="Y32" s="45">
        <v>9</v>
      </c>
      <c r="Z32" s="45">
        <v>9</v>
      </c>
      <c r="AA32" s="45">
        <v>3.6</v>
      </c>
      <c r="AB32" s="45">
        <v>9.8000000000000007</v>
      </c>
      <c r="AC32" s="45">
        <v>9.8000000000000007</v>
      </c>
      <c r="AD32" s="45">
        <v>9.8000000000000007</v>
      </c>
      <c r="AE32" s="45">
        <v>9.8000000000000007</v>
      </c>
      <c r="AF32" s="45">
        <v>9.8000000000000007</v>
      </c>
      <c r="AG32" s="50">
        <v>22</v>
      </c>
      <c r="AH32" s="47">
        <f t="shared" si="2"/>
        <v>11</v>
      </c>
      <c r="AI32" s="48">
        <f t="shared" si="3"/>
        <v>3.6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9</v>
      </c>
      <c r="C33" s="45">
        <v>9</v>
      </c>
      <c r="D33" s="45">
        <v>9</v>
      </c>
      <c r="E33" s="45">
        <v>9</v>
      </c>
      <c r="F33" s="45">
        <v>9</v>
      </c>
      <c r="G33" s="45">
        <v>9</v>
      </c>
      <c r="H33" s="45">
        <v>9</v>
      </c>
      <c r="I33" s="45">
        <v>9</v>
      </c>
      <c r="J33" s="45">
        <v>9</v>
      </c>
      <c r="K33" s="45">
        <v>9</v>
      </c>
      <c r="L33" s="45">
        <v>9</v>
      </c>
      <c r="M33" s="45">
        <v>9</v>
      </c>
      <c r="N33" s="45">
        <v>9</v>
      </c>
      <c r="O33" s="45">
        <v>9</v>
      </c>
      <c r="P33" s="45">
        <v>9</v>
      </c>
      <c r="Q33" s="45">
        <v>9</v>
      </c>
      <c r="R33" s="45">
        <v>9</v>
      </c>
      <c r="S33" s="45">
        <v>9</v>
      </c>
      <c r="T33" s="45">
        <v>9</v>
      </c>
      <c r="U33" s="45">
        <v>9</v>
      </c>
      <c r="V33" s="45">
        <v>9</v>
      </c>
      <c r="W33" s="45">
        <v>9</v>
      </c>
      <c r="X33" s="45">
        <v>9</v>
      </c>
      <c r="Y33" s="45">
        <v>9</v>
      </c>
      <c r="Z33" s="45">
        <v>9</v>
      </c>
      <c r="AA33" s="45">
        <v>3</v>
      </c>
      <c r="AB33" s="45">
        <v>12</v>
      </c>
      <c r="AC33" s="45">
        <v>12</v>
      </c>
      <c r="AD33" s="45">
        <v>15</v>
      </c>
      <c r="AE33" s="45">
        <v>18</v>
      </c>
      <c r="AF33" s="45">
        <v>18</v>
      </c>
      <c r="AG33" s="50">
        <v>20</v>
      </c>
      <c r="AH33" s="47">
        <f t="shared" si="2"/>
        <v>18</v>
      </c>
      <c r="AI33" s="48">
        <f t="shared" si="3"/>
        <v>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9</v>
      </c>
      <c r="AB34" s="45">
        <v>9</v>
      </c>
      <c r="AC34" s="45">
        <v>9</v>
      </c>
      <c r="AD34" s="45">
        <v>9</v>
      </c>
      <c r="AE34" s="45">
        <v>9</v>
      </c>
      <c r="AF34" s="45">
        <v>9</v>
      </c>
      <c r="AG34" s="50">
        <v>18</v>
      </c>
      <c r="AH34" s="47">
        <f t="shared" si="2"/>
        <v>9</v>
      </c>
      <c r="AI34" s="48">
        <f t="shared" si="3"/>
        <v>8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</v>
      </c>
      <c r="C35" s="45">
        <v>6</v>
      </c>
      <c r="D35" s="45">
        <v>6</v>
      </c>
      <c r="E35" s="45">
        <v>6</v>
      </c>
      <c r="F35" s="45">
        <v>6</v>
      </c>
      <c r="G35" s="45">
        <v>6</v>
      </c>
      <c r="H35" s="45">
        <v>6</v>
      </c>
      <c r="I35" s="45">
        <v>6</v>
      </c>
      <c r="J35" s="45">
        <v>6</v>
      </c>
      <c r="K35" s="45">
        <v>6</v>
      </c>
      <c r="L35" s="45">
        <v>6</v>
      </c>
      <c r="M35" s="45">
        <v>6</v>
      </c>
      <c r="N35" s="45">
        <v>6</v>
      </c>
      <c r="O35" s="45">
        <v>6</v>
      </c>
      <c r="P35" s="45">
        <v>6</v>
      </c>
      <c r="Q35" s="45">
        <v>6</v>
      </c>
      <c r="R35" s="45">
        <v>6</v>
      </c>
      <c r="S35" s="45">
        <v>6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9</v>
      </c>
      <c r="AB35" s="45">
        <v>9</v>
      </c>
      <c r="AC35" s="45">
        <v>9</v>
      </c>
      <c r="AD35" s="45">
        <v>9</v>
      </c>
      <c r="AE35" s="45">
        <v>9</v>
      </c>
      <c r="AF35" s="45">
        <v>9</v>
      </c>
      <c r="AG35" s="50">
        <v>14.9</v>
      </c>
      <c r="AH35" s="47">
        <f t="shared" si="2"/>
        <v>9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6.2</v>
      </c>
      <c r="C36" s="45">
        <v>6.2</v>
      </c>
      <c r="D36" s="45">
        <v>6.2</v>
      </c>
      <c r="E36" s="45">
        <v>6.2</v>
      </c>
      <c r="F36" s="45">
        <v>6.2</v>
      </c>
      <c r="G36" s="45">
        <v>6.2</v>
      </c>
      <c r="H36" s="45">
        <v>6.2</v>
      </c>
      <c r="I36" s="45">
        <v>6.2</v>
      </c>
      <c r="J36" s="45">
        <v>6.2</v>
      </c>
      <c r="K36" s="45">
        <v>6.2</v>
      </c>
      <c r="L36" s="45">
        <v>6.2</v>
      </c>
      <c r="M36" s="45">
        <v>6.2</v>
      </c>
      <c r="N36" s="45">
        <v>6.2</v>
      </c>
      <c r="O36" s="45">
        <v>6.2</v>
      </c>
      <c r="P36" s="45">
        <v>6.2</v>
      </c>
      <c r="Q36" s="45">
        <v>6.2</v>
      </c>
      <c r="R36" s="45">
        <v>6.2</v>
      </c>
      <c r="S36" s="45">
        <v>6.2</v>
      </c>
      <c r="T36" s="45">
        <v>6.2</v>
      </c>
      <c r="U36" s="45">
        <v>6.2</v>
      </c>
      <c r="V36" s="45">
        <v>6.2</v>
      </c>
      <c r="W36" s="45">
        <v>6.2</v>
      </c>
      <c r="X36" s="45">
        <v>6.2</v>
      </c>
      <c r="Y36" s="45">
        <v>6.2</v>
      </c>
      <c r="Z36" s="45">
        <v>6.2</v>
      </c>
      <c r="AA36" s="45">
        <v>8</v>
      </c>
      <c r="AB36" s="45">
        <v>8</v>
      </c>
      <c r="AC36" s="45">
        <v>8</v>
      </c>
      <c r="AD36" s="45">
        <v>8</v>
      </c>
      <c r="AE36" s="45">
        <v>8</v>
      </c>
      <c r="AF36" s="45">
        <v>8</v>
      </c>
      <c r="AG36" s="50">
        <v>14.9</v>
      </c>
      <c r="AH36" s="47">
        <f t="shared" si="2"/>
        <v>8</v>
      </c>
      <c r="AI36" s="48">
        <f t="shared" si="3"/>
        <v>6.2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7</v>
      </c>
      <c r="C37" s="45">
        <v>7</v>
      </c>
      <c r="D37" s="45">
        <v>7</v>
      </c>
      <c r="E37" s="45">
        <v>7</v>
      </c>
      <c r="F37" s="45">
        <v>7</v>
      </c>
      <c r="G37" s="45">
        <v>7</v>
      </c>
      <c r="H37" s="45">
        <v>7</v>
      </c>
      <c r="I37" s="45">
        <v>7</v>
      </c>
      <c r="J37" s="45">
        <v>7</v>
      </c>
      <c r="K37" s="45">
        <v>7</v>
      </c>
      <c r="L37" s="45">
        <v>7</v>
      </c>
      <c r="M37" s="45">
        <v>7</v>
      </c>
      <c r="N37" s="45">
        <v>7</v>
      </c>
      <c r="O37" s="45">
        <v>7</v>
      </c>
      <c r="P37" s="45">
        <v>7</v>
      </c>
      <c r="Q37" s="45">
        <v>7</v>
      </c>
      <c r="R37" s="45">
        <v>7</v>
      </c>
      <c r="S37" s="45">
        <v>7</v>
      </c>
      <c r="T37" s="45">
        <v>7</v>
      </c>
      <c r="U37" s="45">
        <v>7</v>
      </c>
      <c r="V37" s="45">
        <v>7</v>
      </c>
      <c r="W37" s="45">
        <v>7</v>
      </c>
      <c r="X37" s="45">
        <v>7</v>
      </c>
      <c r="Y37" s="45">
        <v>7</v>
      </c>
      <c r="Z37" s="45">
        <v>7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0">
        <v>13.6</v>
      </c>
      <c r="AH37" s="47">
        <f t="shared" si="2"/>
        <v>7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3</v>
      </c>
      <c r="C38" s="45">
        <v>3</v>
      </c>
      <c r="D38" s="45">
        <v>3</v>
      </c>
      <c r="E38" s="45">
        <v>3</v>
      </c>
      <c r="F38" s="45">
        <v>3</v>
      </c>
      <c r="G38" s="45">
        <v>3</v>
      </c>
      <c r="H38" s="45">
        <v>3</v>
      </c>
      <c r="I38" s="45">
        <v>3</v>
      </c>
      <c r="J38" s="45">
        <v>3</v>
      </c>
      <c r="K38" s="45">
        <v>3</v>
      </c>
      <c r="L38" s="45">
        <v>3</v>
      </c>
      <c r="M38" s="45">
        <v>3</v>
      </c>
      <c r="N38" s="45">
        <v>3</v>
      </c>
      <c r="O38" s="45">
        <v>3</v>
      </c>
      <c r="P38" s="45">
        <v>3</v>
      </c>
      <c r="Q38" s="45">
        <v>3</v>
      </c>
      <c r="R38" s="45">
        <v>3</v>
      </c>
      <c r="S38" s="45">
        <v>3</v>
      </c>
      <c r="T38" s="45">
        <v>3</v>
      </c>
      <c r="U38" s="45">
        <v>3</v>
      </c>
      <c r="V38" s="45">
        <v>3</v>
      </c>
      <c r="W38" s="45">
        <v>3</v>
      </c>
      <c r="X38" s="45">
        <v>3</v>
      </c>
      <c r="Y38" s="45">
        <v>3</v>
      </c>
      <c r="Z38" s="45">
        <v>3</v>
      </c>
      <c r="AA38" s="45">
        <v>6.2</v>
      </c>
      <c r="AB38" s="45">
        <v>6.2</v>
      </c>
      <c r="AC38" s="45">
        <v>6.2</v>
      </c>
      <c r="AD38" s="45">
        <v>6.2</v>
      </c>
      <c r="AE38" s="45">
        <v>6.2</v>
      </c>
      <c r="AF38" s="45">
        <v>6.2</v>
      </c>
      <c r="AG38" s="50">
        <v>13</v>
      </c>
      <c r="AH38" s="47">
        <f t="shared" si="2"/>
        <v>6.2</v>
      </c>
      <c r="AI38" s="48">
        <f t="shared" si="3"/>
        <v>3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8</v>
      </c>
      <c r="C39" s="45">
        <v>8</v>
      </c>
      <c r="D39" s="45">
        <v>8</v>
      </c>
      <c r="E39" s="45">
        <v>8</v>
      </c>
      <c r="F39" s="45">
        <v>8</v>
      </c>
      <c r="G39" s="45">
        <v>8</v>
      </c>
      <c r="H39" s="45">
        <v>8</v>
      </c>
      <c r="I39" s="45">
        <v>8</v>
      </c>
      <c r="J39" s="45">
        <v>8</v>
      </c>
      <c r="K39" s="45">
        <v>8</v>
      </c>
      <c r="L39" s="45">
        <v>8</v>
      </c>
      <c r="M39" s="45">
        <v>8</v>
      </c>
      <c r="N39" s="45">
        <v>8</v>
      </c>
      <c r="O39" s="45">
        <v>8</v>
      </c>
      <c r="P39" s="45">
        <v>8</v>
      </c>
      <c r="Q39" s="45">
        <v>8</v>
      </c>
      <c r="R39" s="45">
        <v>8</v>
      </c>
      <c r="S39" s="45">
        <v>8</v>
      </c>
      <c r="T39" s="45">
        <v>8</v>
      </c>
      <c r="U39" s="45">
        <v>8</v>
      </c>
      <c r="V39" s="45">
        <v>8</v>
      </c>
      <c r="W39" s="45">
        <v>8</v>
      </c>
      <c r="X39" s="45">
        <v>8</v>
      </c>
      <c r="Y39" s="45">
        <v>8</v>
      </c>
      <c r="Z39" s="45">
        <v>8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8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3</v>
      </c>
      <c r="AB40" s="45">
        <v>3</v>
      </c>
      <c r="AC40" s="45">
        <v>3</v>
      </c>
      <c r="AD40" s="45">
        <v>3</v>
      </c>
      <c r="AE40" s="45">
        <v>3</v>
      </c>
      <c r="AF40" s="45">
        <v>3</v>
      </c>
      <c r="AG40" s="50">
        <v>12</v>
      </c>
      <c r="AH40" s="47">
        <f t="shared" si="2"/>
        <v>4</v>
      </c>
      <c r="AI40" s="48">
        <f t="shared" si="3"/>
        <v>3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11</v>
      </c>
      <c r="C41" s="45">
        <v>11</v>
      </c>
      <c r="D41" s="45">
        <v>11</v>
      </c>
      <c r="E41" s="45">
        <v>11</v>
      </c>
      <c r="F41" s="45">
        <v>11</v>
      </c>
      <c r="G41" s="45">
        <v>11</v>
      </c>
      <c r="H41" s="45">
        <v>11</v>
      </c>
      <c r="I41" s="45">
        <v>11</v>
      </c>
      <c r="J41" s="45">
        <v>11</v>
      </c>
      <c r="K41" s="45">
        <v>11</v>
      </c>
      <c r="L41" s="45">
        <v>11</v>
      </c>
      <c r="M41" s="45">
        <v>11</v>
      </c>
      <c r="N41" s="45">
        <v>11</v>
      </c>
      <c r="O41" s="45">
        <v>11</v>
      </c>
      <c r="P41" s="45">
        <v>11</v>
      </c>
      <c r="Q41" s="45">
        <v>11</v>
      </c>
      <c r="R41" s="45">
        <v>11</v>
      </c>
      <c r="S41" s="45">
        <v>11</v>
      </c>
      <c r="T41" s="45">
        <v>11</v>
      </c>
      <c r="U41" s="45">
        <v>11</v>
      </c>
      <c r="V41" s="45">
        <v>11</v>
      </c>
      <c r="W41" s="45">
        <v>11</v>
      </c>
      <c r="X41" s="45">
        <v>11</v>
      </c>
      <c r="Y41" s="45">
        <v>11</v>
      </c>
      <c r="Z41" s="45">
        <v>11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11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7</v>
      </c>
      <c r="C42" s="45">
        <v>7</v>
      </c>
      <c r="D42" s="45">
        <v>7</v>
      </c>
      <c r="E42" s="45">
        <v>7</v>
      </c>
      <c r="F42" s="45">
        <v>7</v>
      </c>
      <c r="G42" s="45">
        <v>7</v>
      </c>
      <c r="H42" s="45">
        <v>7</v>
      </c>
      <c r="I42" s="45">
        <v>7</v>
      </c>
      <c r="J42" s="45">
        <v>7</v>
      </c>
      <c r="K42" s="45">
        <v>7</v>
      </c>
      <c r="L42" s="45">
        <v>7</v>
      </c>
      <c r="M42" s="45">
        <v>7</v>
      </c>
      <c r="N42" s="45">
        <v>7</v>
      </c>
      <c r="O42" s="45">
        <v>7</v>
      </c>
      <c r="P42" s="45">
        <v>7</v>
      </c>
      <c r="Q42" s="45">
        <v>7</v>
      </c>
      <c r="R42" s="45">
        <v>7</v>
      </c>
      <c r="S42" s="45">
        <v>7</v>
      </c>
      <c r="T42" s="45">
        <v>7</v>
      </c>
      <c r="U42" s="45">
        <v>7</v>
      </c>
      <c r="V42" s="45">
        <v>7</v>
      </c>
      <c r="W42" s="45">
        <v>7</v>
      </c>
      <c r="X42" s="45">
        <v>7</v>
      </c>
      <c r="Y42" s="45">
        <v>7</v>
      </c>
      <c r="Z42" s="45">
        <v>7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7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3.6</v>
      </c>
      <c r="C43" s="45">
        <v>3.6</v>
      </c>
      <c r="D43" s="45">
        <v>3.6</v>
      </c>
      <c r="E43" s="45">
        <v>3.6</v>
      </c>
      <c r="F43" s="45">
        <v>3.6</v>
      </c>
      <c r="G43" s="45">
        <v>3.6</v>
      </c>
      <c r="H43" s="45">
        <v>3.6</v>
      </c>
      <c r="I43" s="45">
        <v>3.6</v>
      </c>
      <c r="J43" s="45">
        <v>3.6</v>
      </c>
      <c r="K43" s="45">
        <v>3.6</v>
      </c>
      <c r="L43" s="45">
        <v>3.6</v>
      </c>
      <c r="M43" s="45">
        <v>3.6</v>
      </c>
      <c r="N43" s="45">
        <v>3.6</v>
      </c>
      <c r="O43" s="45">
        <v>3.6</v>
      </c>
      <c r="P43" s="45">
        <v>3.6</v>
      </c>
      <c r="Q43" s="45">
        <v>3.6</v>
      </c>
      <c r="R43" s="45">
        <v>3.6</v>
      </c>
      <c r="S43" s="45">
        <v>3.6</v>
      </c>
      <c r="T43" s="45">
        <v>3.6</v>
      </c>
      <c r="U43" s="45">
        <v>3.6</v>
      </c>
      <c r="V43" s="45">
        <v>3.6</v>
      </c>
      <c r="W43" s="45">
        <v>3.6</v>
      </c>
      <c r="X43" s="45">
        <v>3.6</v>
      </c>
      <c r="Y43" s="45">
        <v>3.6</v>
      </c>
      <c r="Z43" s="45">
        <v>3.6</v>
      </c>
      <c r="AA43" s="45">
        <v>11</v>
      </c>
      <c r="AB43" s="45">
        <v>11</v>
      </c>
      <c r="AC43" s="45">
        <v>11</v>
      </c>
      <c r="AD43" s="45">
        <v>11</v>
      </c>
      <c r="AE43" s="45">
        <v>11</v>
      </c>
      <c r="AF43" s="45">
        <v>11</v>
      </c>
      <c r="AG43" s="51">
        <v>11.88</v>
      </c>
      <c r="AH43" s="47">
        <f t="shared" si="2"/>
        <v>11</v>
      </c>
      <c r="AI43" s="48">
        <f t="shared" si="3"/>
        <v>3.6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5</v>
      </c>
      <c r="C44" s="45">
        <v>5</v>
      </c>
      <c r="D44" s="45">
        <v>5</v>
      </c>
      <c r="E44" s="45">
        <v>5</v>
      </c>
      <c r="F44" s="45">
        <v>5</v>
      </c>
      <c r="G44" s="45">
        <v>5</v>
      </c>
      <c r="H44" s="45">
        <v>5</v>
      </c>
      <c r="I44" s="45">
        <v>5</v>
      </c>
      <c r="J44" s="45">
        <v>5</v>
      </c>
      <c r="K44" s="45">
        <v>5</v>
      </c>
      <c r="L44" s="45">
        <v>5</v>
      </c>
      <c r="M44" s="45">
        <v>5</v>
      </c>
      <c r="N44" s="45">
        <v>5</v>
      </c>
      <c r="O44" s="45">
        <v>5</v>
      </c>
      <c r="P44" s="45">
        <v>5</v>
      </c>
      <c r="Q44" s="45">
        <v>5</v>
      </c>
      <c r="R44" s="45">
        <v>5</v>
      </c>
      <c r="S44" s="45">
        <v>5</v>
      </c>
      <c r="T44" s="45">
        <v>5</v>
      </c>
      <c r="U44" s="45">
        <v>5</v>
      </c>
      <c r="V44" s="45">
        <v>5</v>
      </c>
      <c r="W44" s="45">
        <v>5</v>
      </c>
      <c r="X44" s="45">
        <v>5</v>
      </c>
      <c r="Y44" s="45">
        <v>5</v>
      </c>
      <c r="Z44" s="45">
        <v>5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5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9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5</v>
      </c>
      <c r="AB46" s="45">
        <v>5</v>
      </c>
      <c r="AC46" s="45">
        <v>5</v>
      </c>
      <c r="AD46" s="45">
        <v>5</v>
      </c>
      <c r="AE46" s="45">
        <v>5</v>
      </c>
      <c r="AF46" s="45">
        <v>5</v>
      </c>
      <c r="AG46" s="54">
        <v>10</v>
      </c>
      <c r="AH46" s="47">
        <f t="shared" si="2"/>
        <v>10</v>
      </c>
      <c r="AI46" s="48">
        <f t="shared" si="3"/>
        <v>5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9</v>
      </c>
      <c r="AB47" s="45">
        <v>9</v>
      </c>
      <c r="AC47" s="45">
        <v>9</v>
      </c>
      <c r="AD47" s="45">
        <v>9</v>
      </c>
      <c r="AE47" s="45">
        <v>9</v>
      </c>
      <c r="AF47" s="45">
        <v>9</v>
      </c>
      <c r="AG47" s="54">
        <v>10</v>
      </c>
      <c r="AH47" s="47">
        <f t="shared" si="2"/>
        <v>9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233</v>
      </c>
      <c r="C48" s="56">
        <v>233</v>
      </c>
      <c r="D48" s="56">
        <v>233</v>
      </c>
      <c r="E48" s="56">
        <v>233</v>
      </c>
      <c r="F48" s="56">
        <v>233</v>
      </c>
      <c r="G48" s="56">
        <v>233</v>
      </c>
      <c r="H48" s="56">
        <v>233</v>
      </c>
      <c r="I48" s="56">
        <v>233</v>
      </c>
      <c r="J48" s="56">
        <v>233</v>
      </c>
      <c r="K48" s="56">
        <v>233</v>
      </c>
      <c r="L48" s="56">
        <v>233</v>
      </c>
      <c r="M48" s="56">
        <v>233</v>
      </c>
      <c r="N48" s="56">
        <v>233</v>
      </c>
      <c r="O48" s="56">
        <v>233</v>
      </c>
      <c r="P48" s="56">
        <v>233</v>
      </c>
      <c r="Q48" s="56">
        <v>233</v>
      </c>
      <c r="R48" s="56">
        <v>233</v>
      </c>
      <c r="S48" s="56">
        <v>233</v>
      </c>
      <c r="T48" s="56">
        <v>233</v>
      </c>
      <c r="U48" s="56">
        <v>233</v>
      </c>
      <c r="V48" s="56">
        <v>233</v>
      </c>
      <c r="W48" s="56">
        <v>233</v>
      </c>
      <c r="X48" s="56">
        <v>233</v>
      </c>
      <c r="Y48" s="56">
        <v>233</v>
      </c>
      <c r="Z48" s="56">
        <v>233</v>
      </c>
      <c r="AA48" s="56">
        <v>233</v>
      </c>
      <c r="AB48" s="56">
        <v>233</v>
      </c>
      <c r="AC48" s="56">
        <v>233</v>
      </c>
      <c r="AD48" s="56">
        <v>233</v>
      </c>
      <c r="AE48" s="56">
        <v>233</v>
      </c>
      <c r="AF48" s="56">
        <v>233</v>
      </c>
      <c r="AG48" s="54">
        <v>85</v>
      </c>
      <c r="AH48" s="47">
        <f t="shared" si="2"/>
        <v>233</v>
      </c>
      <c r="AI48" s="48">
        <f t="shared" si="3"/>
        <v>233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6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>
        <v>0</v>
      </c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>SUM(B11:B48)</f>
        <v>707.2</v>
      </c>
      <c r="C50" s="60">
        <f>SUM(C11:C48)</f>
        <v>719.40000000000009</v>
      </c>
      <c r="D50" s="60">
        <f>SUM(D11:D48)</f>
        <v>714.5</v>
      </c>
      <c r="E50" s="60">
        <f t="shared" ref="E50:AF50" si="4">SUM(E11:E48)</f>
        <v>728.5</v>
      </c>
      <c r="F50" s="60">
        <f t="shared" si="4"/>
        <v>711.1</v>
      </c>
      <c r="G50" s="60">
        <f t="shared" si="4"/>
        <v>701.1</v>
      </c>
      <c r="H50" s="60">
        <f t="shared" si="4"/>
        <v>701.1</v>
      </c>
      <c r="I50" s="60">
        <f t="shared" si="4"/>
        <v>699.2</v>
      </c>
      <c r="J50" s="60">
        <f t="shared" si="4"/>
        <v>699.2</v>
      </c>
      <c r="K50" s="60">
        <f t="shared" si="4"/>
        <v>712.2</v>
      </c>
      <c r="L50" s="60">
        <f t="shared" si="4"/>
        <v>716.2</v>
      </c>
      <c r="M50" s="60">
        <f t="shared" si="4"/>
        <v>716.2</v>
      </c>
      <c r="N50" s="60">
        <f t="shared" si="4"/>
        <v>711.6</v>
      </c>
      <c r="O50" s="60">
        <f t="shared" si="4"/>
        <v>711.6</v>
      </c>
      <c r="P50" s="60">
        <f t="shared" si="4"/>
        <v>711.6</v>
      </c>
      <c r="Q50" s="60">
        <f t="shared" si="4"/>
        <v>709.6</v>
      </c>
      <c r="R50" s="60">
        <f t="shared" si="4"/>
        <v>709.6</v>
      </c>
      <c r="S50" s="60">
        <f t="shared" si="4"/>
        <v>709.6</v>
      </c>
      <c r="T50" s="60">
        <f t="shared" si="4"/>
        <v>696.6</v>
      </c>
      <c r="U50" s="60">
        <f t="shared" si="4"/>
        <v>696.6</v>
      </c>
      <c r="V50" s="60">
        <f t="shared" si="4"/>
        <v>726.1</v>
      </c>
      <c r="W50" s="60">
        <f t="shared" si="4"/>
        <v>726.1</v>
      </c>
      <c r="X50" s="60">
        <f t="shared" si="4"/>
        <v>726.1</v>
      </c>
      <c r="Y50" s="60">
        <f t="shared" si="4"/>
        <v>726.1</v>
      </c>
      <c r="Z50" s="60">
        <f t="shared" si="4"/>
        <v>726.1</v>
      </c>
      <c r="AA50" s="60">
        <f t="shared" si="4"/>
        <v>771.80000000000007</v>
      </c>
      <c r="AB50" s="60">
        <f t="shared" si="4"/>
        <v>791.1</v>
      </c>
      <c r="AC50" s="60">
        <f t="shared" si="4"/>
        <v>760.5</v>
      </c>
      <c r="AD50" s="60">
        <f t="shared" si="4"/>
        <v>794.1</v>
      </c>
      <c r="AE50" s="60">
        <f t="shared" si="4"/>
        <v>800.9</v>
      </c>
      <c r="AF50" s="60">
        <f t="shared" si="4"/>
        <v>800.9</v>
      </c>
      <c r="AG50" s="61">
        <f>SUM(AG13:AG48)</f>
        <v>922.14</v>
      </c>
      <c r="AH50" s="47">
        <f t="shared" si="2"/>
        <v>800.9</v>
      </c>
      <c r="AI50" s="48">
        <f t="shared" si="3"/>
        <v>696.6</v>
      </c>
      <c r="AK50" s="49"/>
    </row>
    <row r="51" spans="1:41" x14ac:dyDescent="0.25">
      <c r="A51" s="62" t="s">
        <v>57</v>
      </c>
      <c r="B51" s="45">
        <v>310</v>
      </c>
      <c r="C51" s="45">
        <v>350</v>
      </c>
      <c r="D51" s="45">
        <v>335</v>
      </c>
      <c r="E51" s="45">
        <v>250</v>
      </c>
      <c r="F51" s="45">
        <v>230</v>
      </c>
      <c r="G51" s="45">
        <v>230</v>
      </c>
      <c r="H51" s="45">
        <v>200</v>
      </c>
      <c r="I51" s="45">
        <v>190</v>
      </c>
      <c r="J51" s="45">
        <v>190</v>
      </c>
      <c r="K51" s="45">
        <v>150</v>
      </c>
      <c r="L51" s="45">
        <v>150</v>
      </c>
      <c r="M51" s="45">
        <v>140</v>
      </c>
      <c r="N51" s="63">
        <v>40</v>
      </c>
      <c r="O51" s="63">
        <v>90</v>
      </c>
      <c r="P51" s="63">
        <v>130</v>
      </c>
      <c r="Q51" s="63">
        <v>130</v>
      </c>
      <c r="R51" s="63">
        <v>150</v>
      </c>
      <c r="S51" s="45">
        <v>170</v>
      </c>
      <c r="T51" s="45">
        <v>170</v>
      </c>
      <c r="U51" s="45">
        <v>180</v>
      </c>
      <c r="V51" s="45">
        <v>160</v>
      </c>
      <c r="W51" s="45">
        <v>130</v>
      </c>
      <c r="X51" s="45">
        <v>110</v>
      </c>
      <c r="Y51" s="45">
        <v>141</v>
      </c>
      <c r="Z51" s="45">
        <v>189</v>
      </c>
      <c r="AA51" s="45">
        <v>400</v>
      </c>
      <c r="AB51" s="45">
        <v>390</v>
      </c>
      <c r="AC51" s="45">
        <v>370</v>
      </c>
      <c r="AD51" s="45">
        <v>370</v>
      </c>
      <c r="AE51" s="45">
        <v>300</v>
      </c>
      <c r="AF51" s="45">
        <v>290</v>
      </c>
      <c r="AG51" s="51">
        <v>456</v>
      </c>
      <c r="AH51" s="47">
        <f t="shared" si="2"/>
        <v>400</v>
      </c>
      <c r="AI51" s="48">
        <f t="shared" si="3"/>
        <v>40</v>
      </c>
      <c r="AK51" s="49"/>
    </row>
    <row r="52" spans="1:41" x14ac:dyDescent="0.25">
      <c r="A52" s="64" t="s">
        <v>58</v>
      </c>
      <c r="B52" s="65">
        <v>43</v>
      </c>
      <c r="C52" s="65">
        <v>43</v>
      </c>
      <c r="D52" s="65">
        <v>43</v>
      </c>
      <c r="E52" s="65">
        <v>36</v>
      </c>
      <c r="F52" s="65">
        <v>36</v>
      </c>
      <c r="G52" s="65">
        <v>36</v>
      </c>
      <c r="H52" s="65">
        <v>36</v>
      </c>
      <c r="I52" s="65">
        <v>36</v>
      </c>
      <c r="J52" s="65">
        <v>36</v>
      </c>
      <c r="K52" s="65">
        <v>36</v>
      </c>
      <c r="L52" s="65">
        <v>36</v>
      </c>
      <c r="M52" s="65">
        <v>36</v>
      </c>
      <c r="N52" s="65">
        <v>36</v>
      </c>
      <c r="O52" s="65">
        <v>36</v>
      </c>
      <c r="P52" s="65">
        <v>36</v>
      </c>
      <c r="Q52" s="65">
        <v>36</v>
      </c>
      <c r="R52" s="65">
        <v>36</v>
      </c>
      <c r="S52" s="65">
        <v>36</v>
      </c>
      <c r="T52" s="65">
        <v>36</v>
      </c>
      <c r="U52" s="65">
        <v>36</v>
      </c>
      <c r="V52" s="65">
        <v>36</v>
      </c>
      <c r="W52" s="65">
        <v>36</v>
      </c>
      <c r="X52" s="65">
        <v>36</v>
      </c>
      <c r="Y52" s="65">
        <v>36</v>
      </c>
      <c r="Z52" s="65">
        <v>36</v>
      </c>
      <c r="AA52" s="65">
        <v>36</v>
      </c>
      <c r="AB52" s="65">
        <v>36</v>
      </c>
      <c r="AC52" s="65">
        <v>36</v>
      </c>
      <c r="AD52" s="65">
        <v>36</v>
      </c>
      <c r="AE52" s="65">
        <v>36</v>
      </c>
      <c r="AF52" s="65">
        <v>57</v>
      </c>
      <c r="AG52" s="54">
        <v>60</v>
      </c>
      <c r="AH52" s="47">
        <f t="shared" si="2"/>
        <v>57</v>
      </c>
      <c r="AI52" s="48">
        <f t="shared" si="3"/>
        <v>36</v>
      </c>
      <c r="AK52" s="49"/>
    </row>
    <row r="53" spans="1:41" ht="15.75" thickBot="1" x14ac:dyDescent="0.3">
      <c r="A53" s="66" t="s">
        <v>59</v>
      </c>
      <c r="B53" s="67">
        <v>22.4</v>
      </c>
      <c r="C53" s="67">
        <v>22.5</v>
      </c>
      <c r="D53" s="67">
        <v>22.4</v>
      </c>
      <c r="E53" s="67">
        <v>22.5</v>
      </c>
      <c r="F53" s="67">
        <v>22.4</v>
      </c>
      <c r="G53" s="67">
        <v>22.5</v>
      </c>
      <c r="H53" s="67">
        <v>22.4</v>
      </c>
      <c r="I53" s="67">
        <v>22.4</v>
      </c>
      <c r="J53" s="67">
        <v>22.5</v>
      </c>
      <c r="K53" s="67">
        <v>22.4</v>
      </c>
      <c r="L53" s="67">
        <v>22.4</v>
      </c>
      <c r="M53" s="67">
        <v>22.4</v>
      </c>
      <c r="N53" s="67">
        <v>22</v>
      </c>
      <c r="O53" s="67">
        <v>22</v>
      </c>
      <c r="P53" s="67">
        <v>20.399999999999999</v>
      </c>
      <c r="Q53" s="67">
        <v>20.5</v>
      </c>
      <c r="R53" s="67">
        <v>20.5</v>
      </c>
      <c r="S53" s="67">
        <v>20.5</v>
      </c>
      <c r="T53" s="67">
        <v>20.5</v>
      </c>
      <c r="U53" s="67">
        <v>20.5</v>
      </c>
      <c r="V53" s="67">
        <v>22.2</v>
      </c>
      <c r="W53" s="67">
        <v>22.2</v>
      </c>
      <c r="X53" s="67">
        <v>22.2</v>
      </c>
      <c r="Y53" s="67">
        <v>22.4</v>
      </c>
      <c r="Z53" s="67">
        <v>22.4</v>
      </c>
      <c r="AA53" s="67">
        <v>22.4</v>
      </c>
      <c r="AB53" s="67">
        <v>22.5</v>
      </c>
      <c r="AC53" s="67">
        <v>22.4</v>
      </c>
      <c r="AD53" s="67">
        <v>22.4</v>
      </c>
      <c r="AE53" s="67">
        <v>22.4</v>
      </c>
      <c r="AF53" s="67">
        <v>22.4</v>
      </c>
      <c r="AG53" s="68">
        <v>22.1</v>
      </c>
      <c r="AH53" s="47">
        <f t="shared" si="2"/>
        <v>22.5</v>
      </c>
      <c r="AI53" s="48">
        <f t="shared" si="3"/>
        <v>20.399999999999999</v>
      </c>
      <c r="AK53" s="49"/>
    </row>
    <row r="54" spans="1:41" ht="15.75" thickBot="1" x14ac:dyDescent="0.3">
      <c r="A54" s="69" t="s">
        <v>60</v>
      </c>
      <c r="B54" s="60">
        <f>SUM(B51:B53)</f>
        <v>375.4</v>
      </c>
      <c r="C54" s="60">
        <f t="shared" ref="C54:AG54" si="5">SUM(C51:C53)</f>
        <v>415.5</v>
      </c>
      <c r="D54" s="60">
        <f>SUM(D51:D53)</f>
        <v>400.4</v>
      </c>
      <c r="E54" s="60">
        <f t="shared" si="5"/>
        <v>308.5</v>
      </c>
      <c r="F54" s="60">
        <f t="shared" si="5"/>
        <v>288.39999999999998</v>
      </c>
      <c r="G54" s="60">
        <f t="shared" si="5"/>
        <v>288.5</v>
      </c>
      <c r="H54" s="60">
        <f t="shared" si="5"/>
        <v>258.39999999999998</v>
      </c>
      <c r="I54" s="60">
        <f t="shared" si="5"/>
        <v>248.4</v>
      </c>
      <c r="J54" s="60">
        <f t="shared" si="5"/>
        <v>248.5</v>
      </c>
      <c r="K54" s="60">
        <f t="shared" si="5"/>
        <v>208.4</v>
      </c>
      <c r="L54" s="60">
        <f t="shared" si="5"/>
        <v>208.4</v>
      </c>
      <c r="M54" s="60">
        <f t="shared" si="5"/>
        <v>198.4</v>
      </c>
      <c r="N54" s="60">
        <f t="shared" si="5"/>
        <v>98</v>
      </c>
      <c r="O54" s="60">
        <f t="shared" si="5"/>
        <v>148</v>
      </c>
      <c r="P54" s="60">
        <f t="shared" si="5"/>
        <v>186.4</v>
      </c>
      <c r="Q54" s="60">
        <f t="shared" si="5"/>
        <v>186.5</v>
      </c>
      <c r="R54" s="60">
        <f t="shared" si="5"/>
        <v>206.5</v>
      </c>
      <c r="S54" s="60">
        <f t="shared" si="5"/>
        <v>226.5</v>
      </c>
      <c r="T54" s="60">
        <f t="shared" si="5"/>
        <v>226.5</v>
      </c>
      <c r="U54" s="60">
        <f t="shared" si="5"/>
        <v>236.5</v>
      </c>
      <c r="V54" s="60">
        <f t="shared" si="5"/>
        <v>218.2</v>
      </c>
      <c r="W54" s="60">
        <f t="shared" si="5"/>
        <v>188.2</v>
      </c>
      <c r="X54" s="60">
        <f t="shared" si="5"/>
        <v>168.2</v>
      </c>
      <c r="Y54" s="60">
        <f t="shared" si="5"/>
        <v>199.4</v>
      </c>
      <c r="Z54" s="60">
        <f t="shared" si="5"/>
        <v>247.4</v>
      </c>
      <c r="AA54" s="60">
        <f t="shared" si="5"/>
        <v>458.4</v>
      </c>
      <c r="AB54" s="60">
        <f t="shared" si="5"/>
        <v>448.5</v>
      </c>
      <c r="AC54" s="60">
        <f t="shared" si="5"/>
        <v>428.4</v>
      </c>
      <c r="AD54" s="60">
        <f t="shared" si="5"/>
        <v>428.4</v>
      </c>
      <c r="AE54" s="60">
        <f t="shared" si="5"/>
        <v>358.4</v>
      </c>
      <c r="AF54" s="60">
        <f t="shared" si="5"/>
        <v>369.4</v>
      </c>
      <c r="AG54" s="61">
        <f t="shared" si="5"/>
        <v>538.1</v>
      </c>
      <c r="AH54" s="47">
        <f t="shared" si="2"/>
        <v>458.4</v>
      </c>
      <c r="AI54" s="48">
        <f t="shared" si="3"/>
        <v>98</v>
      </c>
      <c r="AK54" s="49"/>
    </row>
    <row r="55" spans="1:41" x14ac:dyDescent="0.25">
      <c r="A55" s="44" t="s">
        <v>61</v>
      </c>
      <c r="B55" s="45">
        <v>115.8</v>
      </c>
      <c r="C55" s="45">
        <v>95.2</v>
      </c>
      <c r="D55" s="45">
        <v>87.2</v>
      </c>
      <c r="E55" s="45">
        <v>95.5</v>
      </c>
      <c r="F55" s="45">
        <v>95.5</v>
      </c>
      <c r="G55" s="45">
        <v>95.5</v>
      </c>
      <c r="H55" s="45">
        <v>81.599999999999994</v>
      </c>
      <c r="I55" s="45">
        <v>81.400000000000006</v>
      </c>
      <c r="J55" s="45">
        <v>81.5</v>
      </c>
      <c r="K55" s="45">
        <v>81.400000000000006</v>
      </c>
      <c r="L55" s="45">
        <v>91.4</v>
      </c>
      <c r="M55" s="45">
        <v>91</v>
      </c>
      <c r="N55" s="45">
        <v>86.5</v>
      </c>
      <c r="O55" s="45">
        <v>87</v>
      </c>
      <c r="P55" s="45">
        <v>132</v>
      </c>
      <c r="Q55" s="45">
        <v>131.9</v>
      </c>
      <c r="R55" s="45">
        <v>130</v>
      </c>
      <c r="S55" s="45">
        <v>144</v>
      </c>
      <c r="T55" s="45">
        <v>144</v>
      </c>
      <c r="U55" s="45">
        <v>144</v>
      </c>
      <c r="V55" s="45">
        <v>133.9</v>
      </c>
      <c r="W55" s="45">
        <v>143</v>
      </c>
      <c r="X55" s="45">
        <v>143</v>
      </c>
      <c r="Y55" s="45">
        <v>121</v>
      </c>
      <c r="Z55" s="45">
        <v>121</v>
      </c>
      <c r="AA55" s="45">
        <v>122.4</v>
      </c>
      <c r="AB55" s="45">
        <v>131.9</v>
      </c>
      <c r="AC55" s="45">
        <v>131.9</v>
      </c>
      <c r="AD55" s="45">
        <v>141</v>
      </c>
      <c r="AE55" s="45">
        <v>131.80000000000001</v>
      </c>
      <c r="AF55" s="45">
        <v>122</v>
      </c>
      <c r="AG55" s="51">
        <v>144</v>
      </c>
      <c r="AH55" s="47">
        <f t="shared" si="2"/>
        <v>144</v>
      </c>
      <c r="AI55" s="48">
        <f t="shared" si="3"/>
        <v>81.400000000000006</v>
      </c>
      <c r="AK55" s="49"/>
    </row>
    <row r="56" spans="1:41" x14ac:dyDescent="0.25">
      <c r="A56" s="53" t="s">
        <v>62</v>
      </c>
      <c r="B56" s="45">
        <v>51</v>
      </c>
      <c r="C56" s="65">
        <v>50.1</v>
      </c>
      <c r="D56" s="65">
        <v>50</v>
      </c>
      <c r="E56" s="65">
        <v>49.9</v>
      </c>
      <c r="F56" s="65">
        <v>49.9</v>
      </c>
      <c r="G56" s="65">
        <v>72.599999999999994</v>
      </c>
      <c r="H56" s="65">
        <v>72.8</v>
      </c>
      <c r="I56" s="65">
        <v>72.400000000000006</v>
      </c>
      <c r="J56" s="65">
        <v>70.7</v>
      </c>
      <c r="K56" s="65">
        <v>71.3</v>
      </c>
      <c r="L56" s="65">
        <v>71.3</v>
      </c>
      <c r="M56" s="65">
        <v>60</v>
      </c>
      <c r="N56" s="65">
        <v>71.3</v>
      </c>
      <c r="O56" s="65">
        <v>65</v>
      </c>
      <c r="P56" s="65">
        <v>70</v>
      </c>
      <c r="Q56" s="65">
        <v>60</v>
      </c>
      <c r="R56" s="65">
        <v>70</v>
      </c>
      <c r="S56" s="45">
        <v>70</v>
      </c>
      <c r="T56" s="45">
        <v>70</v>
      </c>
      <c r="U56" s="45">
        <v>70</v>
      </c>
      <c r="V56" s="45">
        <v>70</v>
      </c>
      <c r="W56" s="45">
        <v>70</v>
      </c>
      <c r="X56" s="45">
        <v>70</v>
      </c>
      <c r="Y56" s="45">
        <v>71</v>
      </c>
      <c r="Z56" s="45">
        <v>70.8</v>
      </c>
      <c r="AA56" s="45">
        <v>71.599999999999994</v>
      </c>
      <c r="AB56" s="45">
        <v>70.400000000000006</v>
      </c>
      <c r="AC56" s="45">
        <v>71.5</v>
      </c>
      <c r="AD56" s="65">
        <v>71.2</v>
      </c>
      <c r="AE56" s="45">
        <v>71.099999999999994</v>
      </c>
      <c r="AF56" s="45">
        <v>50</v>
      </c>
      <c r="AG56" s="54">
        <v>70</v>
      </c>
      <c r="AH56" s="47">
        <f t="shared" si="2"/>
        <v>72.8</v>
      </c>
      <c r="AI56" s="48">
        <f t="shared" si="3"/>
        <v>49.9</v>
      </c>
      <c r="AK56" s="49"/>
    </row>
    <row r="57" spans="1:41" x14ac:dyDescent="0.25">
      <c r="A57" s="53" t="s">
        <v>63</v>
      </c>
      <c r="B57" s="45">
        <v>44.9</v>
      </c>
      <c r="C57" s="65">
        <v>45.3</v>
      </c>
      <c r="D57" s="65">
        <v>61.4</v>
      </c>
      <c r="E57" s="65">
        <v>60.9</v>
      </c>
      <c r="F57" s="65">
        <v>69.599999999999994</v>
      </c>
      <c r="G57" s="65">
        <v>68.900000000000006</v>
      </c>
      <c r="H57" s="65">
        <v>68.900000000000006</v>
      </c>
      <c r="I57" s="65">
        <v>68.900000000000006</v>
      </c>
      <c r="J57" s="65">
        <v>68.7</v>
      </c>
      <c r="K57" s="65">
        <v>69</v>
      </c>
      <c r="L57" s="65">
        <v>60.8</v>
      </c>
      <c r="M57" s="65">
        <v>61</v>
      </c>
      <c r="N57" s="65">
        <v>69.3</v>
      </c>
      <c r="O57" s="65">
        <v>54</v>
      </c>
      <c r="P57" s="65">
        <v>69</v>
      </c>
      <c r="Q57" s="65">
        <v>62.5</v>
      </c>
      <c r="R57" s="65">
        <v>52</v>
      </c>
      <c r="S57" s="45">
        <v>47</v>
      </c>
      <c r="T57" s="45">
        <v>47</v>
      </c>
      <c r="U57" s="45">
        <v>65</v>
      </c>
      <c r="V57" s="45">
        <v>54.5</v>
      </c>
      <c r="W57" s="45">
        <v>54.5</v>
      </c>
      <c r="X57" s="45">
        <v>54</v>
      </c>
      <c r="Y57" s="45">
        <v>63.4</v>
      </c>
      <c r="Z57" s="45">
        <v>63.3</v>
      </c>
      <c r="AA57" s="45">
        <v>68.5</v>
      </c>
      <c r="AB57" s="45">
        <v>68.599999999999994</v>
      </c>
      <c r="AC57" s="45">
        <v>68.3</v>
      </c>
      <c r="AD57" s="65">
        <v>68.7</v>
      </c>
      <c r="AE57" s="45">
        <v>45.1</v>
      </c>
      <c r="AF57" s="45">
        <v>65</v>
      </c>
      <c r="AG57" s="54">
        <v>69</v>
      </c>
      <c r="AH57" s="47">
        <f t="shared" si="2"/>
        <v>69.599999999999994</v>
      </c>
      <c r="AI57" s="48">
        <f t="shared" si="3"/>
        <v>44.9</v>
      </c>
      <c r="AK57" s="49"/>
    </row>
    <row r="58" spans="1:41" x14ac:dyDescent="0.25">
      <c r="A58" s="53" t="s">
        <v>64</v>
      </c>
      <c r="B58" s="45">
        <v>62</v>
      </c>
      <c r="C58" s="65">
        <v>62</v>
      </c>
      <c r="D58" s="65">
        <v>61.7</v>
      </c>
      <c r="E58" s="56">
        <v>62</v>
      </c>
      <c r="F58" s="56">
        <v>62</v>
      </c>
      <c r="G58" s="56">
        <v>62</v>
      </c>
      <c r="H58" s="56">
        <v>62</v>
      </c>
      <c r="I58" s="56">
        <v>62</v>
      </c>
      <c r="J58" s="56">
        <v>61.5</v>
      </c>
      <c r="K58" s="56">
        <v>61.5</v>
      </c>
      <c r="L58" s="56">
        <v>61.5</v>
      </c>
      <c r="M58" s="65">
        <v>61.5</v>
      </c>
      <c r="N58" s="65">
        <v>61.5</v>
      </c>
      <c r="O58" s="65">
        <v>61.5</v>
      </c>
      <c r="P58" s="65">
        <v>61.5</v>
      </c>
      <c r="Q58" s="65">
        <v>61.5</v>
      </c>
      <c r="R58" s="65">
        <v>61.5</v>
      </c>
      <c r="S58" s="45">
        <v>61.5</v>
      </c>
      <c r="T58" s="45">
        <v>61.5</v>
      </c>
      <c r="U58" s="45">
        <v>61.5</v>
      </c>
      <c r="V58" s="45">
        <v>61.5</v>
      </c>
      <c r="W58" s="45">
        <v>61.5</v>
      </c>
      <c r="X58" s="45">
        <v>61.5</v>
      </c>
      <c r="Y58" s="45">
        <v>61.5</v>
      </c>
      <c r="Z58" s="45">
        <v>61.5</v>
      </c>
      <c r="AA58" s="45">
        <v>61.5</v>
      </c>
      <c r="AB58" s="45">
        <v>61.5</v>
      </c>
      <c r="AC58" s="45">
        <v>61.7</v>
      </c>
      <c r="AD58" s="45">
        <v>61.7</v>
      </c>
      <c r="AE58" s="45">
        <v>61.7</v>
      </c>
      <c r="AF58" s="45">
        <v>61.7</v>
      </c>
      <c r="AG58" s="54">
        <v>60</v>
      </c>
      <c r="AH58" s="47">
        <f t="shared" si="2"/>
        <v>62</v>
      </c>
      <c r="AI58" s="48">
        <f t="shared" si="3"/>
        <v>61.5</v>
      </c>
      <c r="AK58" s="49"/>
    </row>
    <row r="59" spans="1:41" x14ac:dyDescent="0.25">
      <c r="A59" s="53" t="s">
        <v>65</v>
      </c>
      <c r="B59" s="45">
        <v>12</v>
      </c>
      <c r="C59" s="65">
        <v>12</v>
      </c>
      <c r="D59" s="65">
        <v>12</v>
      </c>
      <c r="E59" s="65">
        <v>12</v>
      </c>
      <c r="F59" s="65">
        <v>12</v>
      </c>
      <c r="G59" s="65">
        <v>12</v>
      </c>
      <c r="H59" s="56">
        <v>10</v>
      </c>
      <c r="I59" s="56">
        <v>10</v>
      </c>
      <c r="J59" s="56">
        <v>10</v>
      </c>
      <c r="K59" s="56">
        <v>10</v>
      </c>
      <c r="L59" s="56">
        <v>10</v>
      </c>
      <c r="M59" s="56">
        <v>10</v>
      </c>
      <c r="N59" s="65">
        <v>20</v>
      </c>
      <c r="O59" s="65">
        <v>20</v>
      </c>
      <c r="P59" s="65">
        <v>30</v>
      </c>
      <c r="Q59" s="65">
        <v>10</v>
      </c>
      <c r="R59" s="65">
        <v>10</v>
      </c>
      <c r="S59" s="65">
        <v>0</v>
      </c>
      <c r="T59" s="65">
        <v>30</v>
      </c>
      <c r="U59" s="65">
        <v>30</v>
      </c>
      <c r="V59" s="45">
        <v>10</v>
      </c>
      <c r="W59" s="45">
        <v>10</v>
      </c>
      <c r="X59" s="45">
        <v>10</v>
      </c>
      <c r="Y59" s="45">
        <v>10</v>
      </c>
      <c r="Z59" s="45">
        <v>10</v>
      </c>
      <c r="AA59" s="45">
        <v>10</v>
      </c>
      <c r="AB59" s="45">
        <v>15</v>
      </c>
      <c r="AC59" s="45">
        <v>15</v>
      </c>
      <c r="AD59" s="45">
        <v>15</v>
      </c>
      <c r="AE59" s="45">
        <v>15</v>
      </c>
      <c r="AF59" s="45">
        <v>15</v>
      </c>
      <c r="AG59" s="54">
        <v>30</v>
      </c>
      <c r="AH59" s="47">
        <f t="shared" si="2"/>
        <v>30</v>
      </c>
      <c r="AI59" s="48">
        <f t="shared" si="3"/>
        <v>0</v>
      </c>
      <c r="AK59" s="49"/>
    </row>
    <row r="60" spans="1:41" x14ac:dyDescent="0.25">
      <c r="A60" s="53" t="s">
        <v>66</v>
      </c>
      <c r="B60" s="4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2</v>
      </c>
      <c r="K60" s="65">
        <v>2</v>
      </c>
      <c r="L60" s="65">
        <v>6.6</v>
      </c>
      <c r="M60" s="65">
        <v>6.6</v>
      </c>
      <c r="N60" s="65">
        <v>13</v>
      </c>
      <c r="O60" s="65">
        <v>13</v>
      </c>
      <c r="P60" s="65">
        <v>16.5</v>
      </c>
      <c r="Q60" s="65">
        <v>16.5</v>
      </c>
      <c r="R60" s="65">
        <v>16.5</v>
      </c>
      <c r="S60" s="65">
        <v>16.5</v>
      </c>
      <c r="T60" s="65">
        <v>16.5</v>
      </c>
      <c r="U60" s="65">
        <v>16.5</v>
      </c>
      <c r="V60" s="45">
        <v>16</v>
      </c>
      <c r="W60" s="45">
        <v>16</v>
      </c>
      <c r="X60" s="45">
        <v>10</v>
      </c>
      <c r="Y60" s="45">
        <v>8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16.5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17</v>
      </c>
      <c r="N61" s="65">
        <v>17</v>
      </c>
      <c r="O61" s="65">
        <v>17</v>
      </c>
      <c r="P61" s="65">
        <v>17</v>
      </c>
      <c r="Q61" s="65">
        <v>17</v>
      </c>
      <c r="R61" s="65">
        <v>17</v>
      </c>
      <c r="S61" s="65">
        <v>17</v>
      </c>
      <c r="T61" s="65">
        <v>17</v>
      </c>
      <c r="U61" s="65">
        <v>17</v>
      </c>
      <c r="V61" s="65">
        <v>17</v>
      </c>
      <c r="W61" s="65">
        <v>17</v>
      </c>
      <c r="X61" s="65">
        <v>17</v>
      </c>
      <c r="Y61" s="65">
        <v>17</v>
      </c>
      <c r="Z61" s="65">
        <v>17</v>
      </c>
      <c r="AA61" s="65">
        <v>17</v>
      </c>
      <c r="AB61" s="65">
        <v>17</v>
      </c>
      <c r="AC61" s="65">
        <v>17</v>
      </c>
      <c r="AD61" s="65">
        <v>17</v>
      </c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17</v>
      </c>
      <c r="AK61" s="49"/>
    </row>
    <row r="62" spans="1:41" x14ac:dyDescent="0.25">
      <c r="A62" s="53" t="s">
        <v>68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4">
        <v>15</v>
      </c>
      <c r="AH62" s="47">
        <f t="shared" si="2"/>
        <v>0</v>
      </c>
      <c r="AI62" s="48">
        <f t="shared" si="3"/>
        <v>0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13.2</v>
      </c>
      <c r="C63" s="65">
        <v>13.1</v>
      </c>
      <c r="D63" s="65">
        <v>12.9</v>
      </c>
      <c r="E63" s="65">
        <v>12.9</v>
      </c>
      <c r="F63" s="65">
        <v>12.9</v>
      </c>
      <c r="G63" s="65">
        <v>12.9</v>
      </c>
      <c r="H63" s="65">
        <v>12.9</v>
      </c>
      <c r="I63" s="65">
        <v>12.9</v>
      </c>
      <c r="J63" s="65">
        <v>12.9</v>
      </c>
      <c r="K63" s="65">
        <v>12.9</v>
      </c>
      <c r="L63" s="65">
        <v>12.9</v>
      </c>
      <c r="M63" s="65">
        <v>12.9</v>
      </c>
      <c r="N63" s="65">
        <v>12.9</v>
      </c>
      <c r="O63" s="65">
        <v>12.9</v>
      </c>
      <c r="P63" s="65">
        <v>12.9</v>
      </c>
      <c r="Q63" s="65">
        <v>12.9</v>
      </c>
      <c r="R63" s="65">
        <v>12.9</v>
      </c>
      <c r="S63" s="65">
        <v>12.9</v>
      </c>
      <c r="T63" s="65">
        <v>12.9</v>
      </c>
      <c r="U63" s="65">
        <v>12.9</v>
      </c>
      <c r="V63" s="65">
        <v>12.9</v>
      </c>
      <c r="W63" s="65">
        <v>12.9</v>
      </c>
      <c r="X63" s="65">
        <v>12.9</v>
      </c>
      <c r="Y63" s="65">
        <v>12.9</v>
      </c>
      <c r="Z63" s="65">
        <v>12.9</v>
      </c>
      <c r="AA63" s="65">
        <v>12.9</v>
      </c>
      <c r="AB63" s="65">
        <v>12.9</v>
      </c>
      <c r="AC63" s="65">
        <v>12.9</v>
      </c>
      <c r="AD63" s="65">
        <v>12.9</v>
      </c>
      <c r="AE63" s="65">
        <v>12.9</v>
      </c>
      <c r="AF63" s="65">
        <v>12.9</v>
      </c>
      <c r="AG63" s="54">
        <v>14.1</v>
      </c>
      <c r="AH63" s="47">
        <f t="shared" si="2"/>
        <v>13.2</v>
      </c>
      <c r="AI63" s="48">
        <f t="shared" si="3"/>
        <v>12.9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7.3</v>
      </c>
      <c r="C64" s="65">
        <v>7.2</v>
      </c>
      <c r="D64" s="65">
        <v>7.2</v>
      </c>
      <c r="E64" s="65">
        <v>7.2</v>
      </c>
      <c r="F64" s="65">
        <v>7.2</v>
      </c>
      <c r="G64" s="65">
        <v>7.2</v>
      </c>
      <c r="H64" s="65">
        <v>7.2</v>
      </c>
      <c r="I64" s="65">
        <v>7.2</v>
      </c>
      <c r="J64" s="65">
        <v>7.2</v>
      </c>
      <c r="K64" s="65">
        <v>7.2</v>
      </c>
      <c r="L64" s="65">
        <v>7.2</v>
      </c>
      <c r="M64" s="65">
        <v>7.2</v>
      </c>
      <c r="N64" s="65">
        <v>7.2</v>
      </c>
      <c r="O64" s="65">
        <v>7.2</v>
      </c>
      <c r="P64" s="65">
        <v>7.2</v>
      </c>
      <c r="Q64" s="65">
        <v>7.2</v>
      </c>
      <c r="R64" s="65">
        <v>7.2</v>
      </c>
      <c r="S64" s="65">
        <v>7.2</v>
      </c>
      <c r="T64" s="65">
        <v>7.2</v>
      </c>
      <c r="U64" s="65">
        <v>7.2</v>
      </c>
      <c r="V64" s="65">
        <v>7.2</v>
      </c>
      <c r="W64" s="65">
        <v>7.2</v>
      </c>
      <c r="X64" s="65">
        <v>7.2</v>
      </c>
      <c r="Y64" s="65">
        <v>7.2</v>
      </c>
      <c r="Z64" s="65">
        <v>7.2</v>
      </c>
      <c r="AA64" s="65">
        <v>7.2</v>
      </c>
      <c r="AB64" s="65">
        <v>7.2</v>
      </c>
      <c r="AC64" s="65">
        <v>7.2</v>
      </c>
      <c r="AD64" s="65">
        <v>7.2</v>
      </c>
      <c r="AE64" s="65">
        <v>7.2</v>
      </c>
      <c r="AF64" s="65">
        <v>7.2</v>
      </c>
      <c r="AG64" s="54">
        <v>14</v>
      </c>
      <c r="AH64" s="47">
        <f t="shared" si="2"/>
        <v>7.3</v>
      </c>
      <c r="AI64" s="48">
        <f t="shared" si="3"/>
        <v>7.2</v>
      </c>
      <c r="AK64" s="49"/>
    </row>
    <row r="65" spans="1:40" x14ac:dyDescent="0.25">
      <c r="A65" s="53" t="s">
        <v>71</v>
      </c>
      <c r="B65" s="65">
        <v>5.4</v>
      </c>
      <c r="C65" s="65">
        <v>5.3</v>
      </c>
      <c r="D65" s="65">
        <v>6.3</v>
      </c>
      <c r="E65" s="65">
        <v>6.3</v>
      </c>
      <c r="F65" s="65">
        <v>6.3</v>
      </c>
      <c r="G65" s="65">
        <v>6.3</v>
      </c>
      <c r="H65" s="65">
        <v>6.3</v>
      </c>
      <c r="I65" s="65">
        <v>6.3</v>
      </c>
      <c r="J65" s="65">
        <v>6.3</v>
      </c>
      <c r="K65" s="65">
        <v>6.3</v>
      </c>
      <c r="L65" s="65">
        <v>6.3</v>
      </c>
      <c r="M65" s="65">
        <v>6.3</v>
      </c>
      <c r="N65" s="65">
        <v>6.3</v>
      </c>
      <c r="O65" s="65">
        <v>6.3</v>
      </c>
      <c r="P65" s="65">
        <v>6.3</v>
      </c>
      <c r="Q65" s="65">
        <v>6.3</v>
      </c>
      <c r="R65" s="65">
        <v>6.3</v>
      </c>
      <c r="S65" s="65">
        <v>6.3</v>
      </c>
      <c r="T65" s="65">
        <v>6.3</v>
      </c>
      <c r="U65" s="65">
        <v>6.3</v>
      </c>
      <c r="V65" s="65">
        <v>6.3</v>
      </c>
      <c r="W65" s="65">
        <v>6.3</v>
      </c>
      <c r="X65" s="65">
        <v>6.3</v>
      </c>
      <c r="Y65" s="65">
        <v>6.3</v>
      </c>
      <c r="Z65" s="65">
        <v>6.3</v>
      </c>
      <c r="AA65" s="65">
        <v>6.3</v>
      </c>
      <c r="AB65" s="65">
        <v>6.3</v>
      </c>
      <c r="AC65" s="65">
        <v>6.3</v>
      </c>
      <c r="AD65" s="65">
        <v>6.3</v>
      </c>
      <c r="AE65" s="65">
        <v>6.3</v>
      </c>
      <c r="AF65" s="65">
        <v>6.3</v>
      </c>
      <c r="AG65" s="54">
        <v>10.050000000000001</v>
      </c>
      <c r="AH65" s="47">
        <f t="shared" si="2"/>
        <v>6.3</v>
      </c>
      <c r="AI65" s="48">
        <f t="shared" si="3"/>
        <v>5.3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>SUM(B55:B67)</f>
        <v>334.14000000000004</v>
      </c>
      <c r="C68" s="60">
        <f t="shared" ref="C68:AG68" si="6">SUM(C55:C67)</f>
        <v>312.74000000000007</v>
      </c>
      <c r="D68" s="60">
        <f>SUM(D55:D67)</f>
        <v>321.24</v>
      </c>
      <c r="E68" s="60">
        <f t="shared" si="6"/>
        <v>329.24</v>
      </c>
      <c r="F68" s="60">
        <f t="shared" si="6"/>
        <v>337.94</v>
      </c>
      <c r="G68" s="60">
        <f t="shared" si="6"/>
        <v>359.94</v>
      </c>
      <c r="H68" s="60">
        <f t="shared" si="6"/>
        <v>344.23999999999995</v>
      </c>
      <c r="I68" s="60">
        <f t="shared" si="6"/>
        <v>343.64000000000004</v>
      </c>
      <c r="J68" s="60">
        <f t="shared" si="6"/>
        <v>343.34</v>
      </c>
      <c r="K68" s="60">
        <f t="shared" si="6"/>
        <v>344.14</v>
      </c>
      <c r="L68" s="60">
        <f t="shared" si="6"/>
        <v>350.54</v>
      </c>
      <c r="M68" s="60">
        <f t="shared" si="6"/>
        <v>339.04</v>
      </c>
      <c r="N68" s="60">
        <f t="shared" si="6"/>
        <v>370.54</v>
      </c>
      <c r="O68" s="60">
        <f t="shared" si="6"/>
        <v>349.44</v>
      </c>
      <c r="P68" s="60">
        <f t="shared" si="6"/>
        <v>427.94</v>
      </c>
      <c r="Q68" s="60">
        <f t="shared" si="6"/>
        <v>391.34</v>
      </c>
      <c r="R68" s="60">
        <f t="shared" si="6"/>
        <v>388.94</v>
      </c>
      <c r="S68" s="60">
        <f t="shared" si="6"/>
        <v>387.94</v>
      </c>
      <c r="T68" s="60">
        <f t="shared" si="6"/>
        <v>417.94</v>
      </c>
      <c r="U68" s="60">
        <f t="shared" si="6"/>
        <v>435.94</v>
      </c>
      <c r="V68" s="60">
        <f t="shared" si="6"/>
        <v>394.84</v>
      </c>
      <c r="W68" s="60">
        <f t="shared" si="6"/>
        <v>403.94</v>
      </c>
      <c r="X68" s="60">
        <f t="shared" si="6"/>
        <v>397.44</v>
      </c>
      <c r="Y68" s="60">
        <f t="shared" si="6"/>
        <v>383.84</v>
      </c>
      <c r="Z68" s="60">
        <f t="shared" si="6"/>
        <v>375.54</v>
      </c>
      <c r="AA68" s="60">
        <f t="shared" si="6"/>
        <v>382.94</v>
      </c>
      <c r="AB68" s="60">
        <f t="shared" si="6"/>
        <v>396.34</v>
      </c>
      <c r="AC68" s="60">
        <f t="shared" si="6"/>
        <v>397.34</v>
      </c>
      <c r="AD68" s="60">
        <f t="shared" si="6"/>
        <v>406.53999999999996</v>
      </c>
      <c r="AE68" s="60">
        <f t="shared" si="6"/>
        <v>373.64</v>
      </c>
      <c r="AF68" s="60">
        <f t="shared" si="6"/>
        <v>362.64</v>
      </c>
      <c r="AG68" s="61">
        <f t="shared" si="6"/>
        <v>489.91</v>
      </c>
      <c r="AH68" s="47">
        <f t="shared" si="2"/>
        <v>435.94</v>
      </c>
      <c r="AI68" s="48">
        <f t="shared" si="3"/>
        <v>312.74000000000007</v>
      </c>
      <c r="AK68" s="49"/>
    </row>
    <row r="69" spans="1:40" x14ac:dyDescent="0.25">
      <c r="A69" s="44" t="s">
        <v>75</v>
      </c>
      <c r="B69" s="45">
        <v>20.7</v>
      </c>
      <c r="C69" s="45">
        <v>10.4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20</v>
      </c>
      <c r="M69" s="45">
        <v>30</v>
      </c>
      <c r="N69" s="45">
        <v>33.700000000000003</v>
      </c>
      <c r="O69" s="45">
        <v>60</v>
      </c>
      <c r="P69" s="45">
        <v>39.4</v>
      </c>
      <c r="Q69" s="45">
        <v>40</v>
      </c>
      <c r="R69" s="45">
        <v>44.4</v>
      </c>
      <c r="S69" s="45">
        <v>40</v>
      </c>
      <c r="T69" s="45">
        <v>40</v>
      </c>
      <c r="U69" s="45">
        <v>50</v>
      </c>
      <c r="V69" s="45">
        <v>39.799999999999997</v>
      </c>
      <c r="W69" s="45">
        <v>20</v>
      </c>
      <c r="X69" s="45">
        <v>20</v>
      </c>
      <c r="Y69" s="45">
        <v>10</v>
      </c>
      <c r="Z69" s="45">
        <v>10</v>
      </c>
      <c r="AA69" s="45">
        <v>29</v>
      </c>
      <c r="AB69" s="45">
        <v>20</v>
      </c>
      <c r="AC69" s="45">
        <v>29.7</v>
      </c>
      <c r="AD69" s="45">
        <v>29.7</v>
      </c>
      <c r="AE69" s="45">
        <v>38.6</v>
      </c>
      <c r="AF69" s="45">
        <v>14.1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65">
        <v>10.1</v>
      </c>
      <c r="C70" s="45">
        <v>2.6</v>
      </c>
      <c r="D70" s="45">
        <v>0</v>
      </c>
      <c r="E70" s="45">
        <v>0</v>
      </c>
      <c r="F70" s="45">
        <v>0</v>
      </c>
      <c r="G70" s="4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5.6</v>
      </c>
      <c r="M70" s="65">
        <v>5.6</v>
      </c>
      <c r="N70" s="65">
        <v>15.5</v>
      </c>
      <c r="O70" s="65">
        <v>30</v>
      </c>
      <c r="P70" s="65">
        <v>18</v>
      </c>
      <c r="Q70" s="65">
        <v>18</v>
      </c>
      <c r="R70" s="65">
        <v>18.899999999999999</v>
      </c>
      <c r="S70" s="65">
        <v>18</v>
      </c>
      <c r="T70" s="65">
        <v>18</v>
      </c>
      <c r="U70" s="65">
        <v>18</v>
      </c>
      <c r="V70" s="65">
        <v>18</v>
      </c>
      <c r="W70" s="65">
        <v>8</v>
      </c>
      <c r="X70" s="65">
        <v>8</v>
      </c>
      <c r="Y70" s="65">
        <v>4.5</v>
      </c>
      <c r="Z70" s="65">
        <v>2.7</v>
      </c>
      <c r="AA70" s="65">
        <v>10.8</v>
      </c>
      <c r="AB70" s="65">
        <v>10</v>
      </c>
      <c r="AC70" s="65">
        <v>13.4</v>
      </c>
      <c r="AD70" s="65">
        <v>14.4</v>
      </c>
      <c r="AE70" s="65">
        <v>20.3</v>
      </c>
      <c r="AF70" s="65">
        <v>4.9000000000000004</v>
      </c>
      <c r="AG70" s="54">
        <v>32</v>
      </c>
      <c r="AH70" s="47">
        <f t="shared" si="2"/>
        <v>30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67">
        <v>3.7</v>
      </c>
      <c r="C71" s="45">
        <v>1</v>
      </c>
      <c r="D71" s="45">
        <v>0</v>
      </c>
      <c r="E71" s="45">
        <v>0</v>
      </c>
      <c r="F71" s="45">
        <v>0</v>
      </c>
      <c r="G71" s="45">
        <v>0</v>
      </c>
      <c r="H71" s="67">
        <v>0</v>
      </c>
      <c r="I71" s="67">
        <v>0</v>
      </c>
      <c r="J71" s="67">
        <v>0</v>
      </c>
      <c r="K71" s="67">
        <v>0</v>
      </c>
      <c r="L71" s="67">
        <v>2</v>
      </c>
      <c r="M71" s="67">
        <v>2</v>
      </c>
      <c r="N71" s="67">
        <v>5.6</v>
      </c>
      <c r="O71" s="67">
        <v>10.4</v>
      </c>
      <c r="P71" s="67">
        <v>6.6</v>
      </c>
      <c r="Q71" s="67">
        <v>6.6</v>
      </c>
      <c r="R71" s="67">
        <v>6.9</v>
      </c>
      <c r="S71" s="67">
        <v>6.7</v>
      </c>
      <c r="T71" s="67">
        <v>6.7</v>
      </c>
      <c r="U71" s="67">
        <v>6.7</v>
      </c>
      <c r="V71" s="67">
        <v>6.4</v>
      </c>
      <c r="W71" s="67">
        <v>3</v>
      </c>
      <c r="X71" s="67">
        <v>3</v>
      </c>
      <c r="Y71" s="67">
        <v>1.7</v>
      </c>
      <c r="Z71" s="67">
        <v>1</v>
      </c>
      <c r="AA71" s="67">
        <v>3.9</v>
      </c>
      <c r="AB71" s="67">
        <v>4.9000000000000004</v>
      </c>
      <c r="AC71" s="67">
        <v>4.9000000000000004</v>
      </c>
      <c r="AD71" s="67">
        <v>5.3</v>
      </c>
      <c r="AE71" s="67">
        <v>7.4</v>
      </c>
      <c r="AF71" s="67">
        <v>1.8</v>
      </c>
      <c r="AG71" s="68">
        <v>14</v>
      </c>
      <c r="AH71" s="47">
        <f t="shared" si="2"/>
        <v>10.4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34.5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27.6</v>
      </c>
      <c r="M72" s="60">
        <f t="shared" ref="M72:AF72" si="7">M69+M70+M71</f>
        <v>37.6</v>
      </c>
      <c r="N72" s="60">
        <f t="shared" si="7"/>
        <v>54.800000000000004</v>
      </c>
      <c r="O72" s="60">
        <f t="shared" si="7"/>
        <v>100.4</v>
      </c>
      <c r="P72" s="60">
        <f t="shared" si="7"/>
        <v>64</v>
      </c>
      <c r="Q72" s="60">
        <f t="shared" si="7"/>
        <v>64.599999999999994</v>
      </c>
      <c r="R72" s="60">
        <f t="shared" si="7"/>
        <v>70.2</v>
      </c>
      <c r="S72" s="60">
        <f t="shared" si="7"/>
        <v>64.7</v>
      </c>
      <c r="T72" s="60">
        <f t="shared" si="7"/>
        <v>64.7</v>
      </c>
      <c r="U72" s="60">
        <f t="shared" si="7"/>
        <v>74.7</v>
      </c>
      <c r="V72" s="60">
        <f t="shared" si="7"/>
        <v>64.2</v>
      </c>
      <c r="W72" s="60">
        <f t="shared" si="7"/>
        <v>31</v>
      </c>
      <c r="X72" s="60">
        <f t="shared" si="7"/>
        <v>31</v>
      </c>
      <c r="Y72" s="60">
        <f t="shared" si="7"/>
        <v>16.2</v>
      </c>
      <c r="Z72" s="60">
        <f t="shared" si="7"/>
        <v>13.7</v>
      </c>
      <c r="AA72" s="60">
        <f t="shared" si="7"/>
        <v>43.699999999999996</v>
      </c>
      <c r="AB72" s="60">
        <f t="shared" si="7"/>
        <v>34.9</v>
      </c>
      <c r="AC72" s="60">
        <f t="shared" si="7"/>
        <v>48</v>
      </c>
      <c r="AD72" s="60">
        <f t="shared" si="7"/>
        <v>49.4</v>
      </c>
      <c r="AE72" s="60">
        <f t="shared" si="7"/>
        <v>66.300000000000011</v>
      </c>
      <c r="AF72" s="60">
        <f t="shared" si="7"/>
        <v>20.8</v>
      </c>
      <c r="AG72" s="61">
        <f>SUM(AG69:AG71)</f>
        <v>106</v>
      </c>
      <c r="AH72" s="47">
        <f t="shared" si="2"/>
        <v>100.4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59.8</v>
      </c>
      <c r="C73" s="45">
        <v>57.9</v>
      </c>
      <c r="D73" s="45">
        <v>59</v>
      </c>
      <c r="E73" s="45">
        <v>50.1</v>
      </c>
      <c r="F73" s="45">
        <v>52</v>
      </c>
      <c r="G73" s="45">
        <v>39.9</v>
      </c>
      <c r="H73" s="45">
        <v>35</v>
      </c>
      <c r="I73" s="45">
        <v>29</v>
      </c>
      <c r="J73" s="45">
        <v>55.7</v>
      </c>
      <c r="K73" s="45">
        <v>63.2</v>
      </c>
      <c r="L73" s="45">
        <v>64.099999999999994</v>
      </c>
      <c r="M73" s="45">
        <v>72.5</v>
      </c>
      <c r="N73" s="45">
        <v>68.400000000000006</v>
      </c>
      <c r="O73" s="45">
        <v>64</v>
      </c>
      <c r="P73" s="45">
        <v>65</v>
      </c>
      <c r="Q73" s="45">
        <v>39</v>
      </c>
      <c r="R73" s="45">
        <v>57.2</v>
      </c>
      <c r="S73" s="45">
        <v>59.5</v>
      </c>
      <c r="T73" s="45">
        <v>50</v>
      </c>
      <c r="U73" s="45">
        <v>57</v>
      </c>
      <c r="V73" s="45">
        <v>52.8</v>
      </c>
      <c r="W73" s="45">
        <v>56</v>
      </c>
      <c r="X73" s="45">
        <v>58</v>
      </c>
      <c r="Y73" s="45">
        <v>58</v>
      </c>
      <c r="Z73" s="45">
        <v>48.4</v>
      </c>
      <c r="AA73" s="45">
        <v>51.9</v>
      </c>
      <c r="AB73" s="45">
        <v>52.4</v>
      </c>
      <c r="AC73" s="45">
        <v>52.3</v>
      </c>
      <c r="AD73" s="45">
        <v>52.9</v>
      </c>
      <c r="AE73" s="45">
        <v>58.5</v>
      </c>
      <c r="AF73" s="45">
        <v>64</v>
      </c>
      <c r="AG73" s="51"/>
      <c r="AH73" s="47">
        <f t="shared" si="2"/>
        <v>72.5</v>
      </c>
      <c r="AI73" s="48">
        <f t="shared" si="3"/>
        <v>29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47.9</v>
      </c>
      <c r="C75" s="65">
        <v>6.7</v>
      </c>
      <c r="D75" s="65">
        <v>45</v>
      </c>
      <c r="E75" s="65">
        <v>98.1</v>
      </c>
      <c r="F75" s="65">
        <v>92.3</v>
      </c>
      <c r="G75" s="65">
        <v>101.4</v>
      </c>
      <c r="H75" s="65">
        <v>121</v>
      </c>
      <c r="I75" s="65">
        <v>178</v>
      </c>
      <c r="J75" s="65">
        <v>195</v>
      </c>
      <c r="K75" s="65">
        <v>282</v>
      </c>
      <c r="L75" s="65">
        <v>290</v>
      </c>
      <c r="M75" s="65">
        <v>340</v>
      </c>
      <c r="N75" s="65">
        <v>323</v>
      </c>
      <c r="O75" s="65">
        <v>275</v>
      </c>
      <c r="P75" s="65">
        <v>280</v>
      </c>
      <c r="Q75" s="65">
        <v>314</v>
      </c>
      <c r="R75" s="65">
        <v>290</v>
      </c>
      <c r="S75" s="65">
        <v>287</v>
      </c>
      <c r="T75" s="65">
        <v>242</v>
      </c>
      <c r="U75" s="65">
        <v>217</v>
      </c>
      <c r="V75" s="65">
        <v>262</v>
      </c>
      <c r="W75" s="65">
        <v>299</v>
      </c>
      <c r="X75" s="65">
        <v>239</v>
      </c>
      <c r="Y75" s="65">
        <v>216</v>
      </c>
      <c r="Z75" s="65">
        <v>246</v>
      </c>
      <c r="AA75" s="65">
        <v>83.4</v>
      </c>
      <c r="AB75" s="65">
        <v>68</v>
      </c>
      <c r="AC75" s="65">
        <v>75.400000000000006</v>
      </c>
      <c r="AD75" s="65">
        <v>73.400000000000006</v>
      </c>
      <c r="AE75" s="65">
        <v>15.9</v>
      </c>
      <c r="AF75" s="65">
        <v>74</v>
      </c>
      <c r="AG75" s="75"/>
      <c r="AH75" s="47">
        <f t="shared" si="2"/>
        <v>340</v>
      </c>
      <c r="AI75" s="48">
        <f t="shared" si="3"/>
        <v>6.7</v>
      </c>
      <c r="AK75" s="49"/>
    </row>
    <row r="76" spans="1:40" x14ac:dyDescent="0.25">
      <c r="A76" s="53" t="s">
        <v>82</v>
      </c>
      <c r="B76" s="65">
        <v>30.4</v>
      </c>
      <c r="C76" s="65">
        <v>30.8</v>
      </c>
      <c r="D76" s="65">
        <v>32.1</v>
      </c>
      <c r="E76" s="76">
        <v>31.9</v>
      </c>
      <c r="F76" s="76">
        <v>31.5</v>
      </c>
      <c r="G76" s="76">
        <v>31.9</v>
      </c>
      <c r="H76" s="76">
        <v>30.7</v>
      </c>
      <c r="I76" s="76">
        <v>30.8</v>
      </c>
      <c r="J76" s="76">
        <v>31</v>
      </c>
      <c r="K76" s="76">
        <v>30.6</v>
      </c>
      <c r="L76" s="76">
        <v>31.1</v>
      </c>
      <c r="M76" s="76">
        <v>31.1</v>
      </c>
      <c r="N76" s="76">
        <v>57.2</v>
      </c>
      <c r="O76" s="76">
        <v>57.2</v>
      </c>
      <c r="P76" s="76">
        <v>52.5</v>
      </c>
      <c r="Q76" s="76">
        <v>53.3</v>
      </c>
      <c r="R76" s="76">
        <v>56.1</v>
      </c>
      <c r="S76" s="76">
        <v>57.5</v>
      </c>
      <c r="T76" s="76">
        <v>50</v>
      </c>
      <c r="U76" s="76">
        <v>47</v>
      </c>
      <c r="V76" s="76">
        <v>22.9</v>
      </c>
      <c r="W76" s="76">
        <v>20</v>
      </c>
      <c r="X76" s="76">
        <v>20</v>
      </c>
      <c r="Y76" s="76">
        <v>20</v>
      </c>
      <c r="Z76" s="76">
        <v>23.6</v>
      </c>
      <c r="AA76" s="76">
        <v>24</v>
      </c>
      <c r="AB76" s="76">
        <v>23.6</v>
      </c>
      <c r="AC76" s="76">
        <v>23.5</v>
      </c>
      <c r="AD76" s="65">
        <v>12</v>
      </c>
      <c r="AE76" s="76">
        <v>12</v>
      </c>
      <c r="AF76" s="76">
        <v>12</v>
      </c>
      <c r="AG76" s="75"/>
      <c r="AH76" s="47">
        <f t="shared" si="2"/>
        <v>57.5</v>
      </c>
      <c r="AI76" s="48">
        <f t="shared" si="3"/>
        <v>12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6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33.6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8">MAX(B77:AF77)</f>
        <v>33.6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77">
        <v>4</v>
      </c>
      <c r="C78" s="77">
        <v>4</v>
      </c>
      <c r="D78" s="77">
        <v>4</v>
      </c>
      <c r="E78" s="77">
        <v>4</v>
      </c>
      <c r="F78" s="77">
        <v>4</v>
      </c>
      <c r="G78" s="77">
        <v>4</v>
      </c>
      <c r="H78" s="77">
        <v>4</v>
      </c>
      <c r="I78" s="77">
        <v>4</v>
      </c>
      <c r="J78" s="77">
        <v>4</v>
      </c>
      <c r="K78" s="77">
        <v>4</v>
      </c>
      <c r="L78" s="77">
        <v>4</v>
      </c>
      <c r="M78" s="77">
        <v>4</v>
      </c>
      <c r="N78" s="77">
        <v>4</v>
      </c>
      <c r="O78" s="77">
        <v>4</v>
      </c>
      <c r="P78" s="77">
        <v>4</v>
      </c>
      <c r="Q78" s="77">
        <v>4</v>
      </c>
      <c r="R78" s="77">
        <v>4</v>
      </c>
      <c r="S78" s="77">
        <v>4</v>
      </c>
      <c r="T78" s="77">
        <v>4</v>
      </c>
      <c r="U78" s="77">
        <v>4</v>
      </c>
      <c r="V78" s="77">
        <v>4</v>
      </c>
      <c r="W78" s="77">
        <v>4</v>
      </c>
      <c r="X78" s="77">
        <v>4</v>
      </c>
      <c r="Y78" s="77">
        <v>4</v>
      </c>
      <c r="Z78" s="77">
        <v>4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8"/>
        <v>5</v>
      </c>
      <c r="AI78" s="48">
        <f t="shared" si="9"/>
        <v>4</v>
      </c>
      <c r="AK78" s="49"/>
    </row>
    <row r="79" spans="1:40" ht="15.75" thickBot="1" x14ac:dyDescent="0.3">
      <c r="A79" s="53" t="s">
        <v>85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7</v>
      </c>
      <c r="AF79" s="77">
        <v>7</v>
      </c>
      <c r="AG79" s="75"/>
      <c r="AH79" s="47">
        <f t="shared" si="8"/>
        <v>7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2.5</v>
      </c>
      <c r="AF81" s="77">
        <v>2.5</v>
      </c>
      <c r="AG81" s="75"/>
      <c r="AH81" s="47">
        <f t="shared" si="8"/>
        <v>2.5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77">
        <v>0</v>
      </c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>SUMIF(B73:B83,"&gt;0")</f>
        <v>142.1</v>
      </c>
      <c r="C84" s="60">
        <f t="shared" ref="C84:AF84" si="10">SUMIF(C73:C83,"&gt;0")</f>
        <v>99.399999999999991</v>
      </c>
      <c r="D84" s="60">
        <f t="shared" si="10"/>
        <v>140.1</v>
      </c>
      <c r="E84" s="60">
        <f t="shared" si="10"/>
        <v>184.1</v>
      </c>
      <c r="F84" s="60">
        <f t="shared" si="10"/>
        <v>179.8</v>
      </c>
      <c r="G84" s="60">
        <f t="shared" si="10"/>
        <v>177.20000000000002</v>
      </c>
      <c r="H84" s="60">
        <f t="shared" si="10"/>
        <v>190.7</v>
      </c>
      <c r="I84" s="60">
        <f t="shared" si="10"/>
        <v>241.8</v>
      </c>
      <c r="J84" s="60">
        <f t="shared" si="10"/>
        <v>285.7</v>
      </c>
      <c r="K84" s="60">
        <f t="shared" si="10"/>
        <v>379.8</v>
      </c>
      <c r="L84" s="60">
        <f t="shared" si="10"/>
        <v>389.20000000000005</v>
      </c>
      <c r="M84" s="60">
        <f t="shared" si="10"/>
        <v>447.6</v>
      </c>
      <c r="N84" s="60">
        <f t="shared" si="10"/>
        <v>452.59999999999997</v>
      </c>
      <c r="O84" s="60">
        <f t="shared" si="10"/>
        <v>400.2</v>
      </c>
      <c r="P84" s="60">
        <f t="shared" si="10"/>
        <v>401.5</v>
      </c>
      <c r="Q84" s="60">
        <f t="shared" si="10"/>
        <v>410.3</v>
      </c>
      <c r="R84" s="60">
        <f t="shared" si="10"/>
        <v>407.3</v>
      </c>
      <c r="S84" s="60">
        <f t="shared" si="10"/>
        <v>408</v>
      </c>
      <c r="T84" s="60">
        <f t="shared" si="10"/>
        <v>346</v>
      </c>
      <c r="U84" s="60">
        <f t="shared" si="10"/>
        <v>358.6</v>
      </c>
      <c r="V84" s="60">
        <f t="shared" si="10"/>
        <v>341.7</v>
      </c>
      <c r="W84" s="60">
        <f t="shared" si="10"/>
        <v>379</v>
      </c>
      <c r="X84" s="60">
        <f t="shared" si="10"/>
        <v>321</v>
      </c>
      <c r="Y84" s="60">
        <f t="shared" si="10"/>
        <v>298</v>
      </c>
      <c r="Z84" s="60">
        <f t="shared" si="10"/>
        <v>322</v>
      </c>
      <c r="AA84" s="60">
        <f t="shared" si="10"/>
        <v>164.3</v>
      </c>
      <c r="AB84" s="60">
        <f t="shared" si="10"/>
        <v>149</v>
      </c>
      <c r="AC84" s="60">
        <f t="shared" si="10"/>
        <v>156.19999999999999</v>
      </c>
      <c r="AD84" s="60">
        <f t="shared" si="10"/>
        <v>143.30000000000001</v>
      </c>
      <c r="AE84" s="60">
        <f t="shared" si="10"/>
        <v>100.9</v>
      </c>
      <c r="AF84" s="60">
        <f t="shared" si="10"/>
        <v>164.5</v>
      </c>
      <c r="AG84" s="88">
        <f>SUM(AG73:AG83)</f>
        <v>0</v>
      </c>
      <c r="AH84" s="47">
        <f t="shared" si="8"/>
        <v>452.59999999999997</v>
      </c>
      <c r="AI84" s="48">
        <f t="shared" si="9"/>
        <v>99.399999999999991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>B50+B54+B72+B68+B84+B88</f>
        <v>1593.34</v>
      </c>
      <c r="C89" s="95">
        <f t="shared" ref="C89:AG89" si="11">C50+C54+C72+C68+C84+C88</f>
        <v>1547.0400000000002</v>
      </c>
      <c r="D89" s="95">
        <f t="shared" si="11"/>
        <v>1576.24</v>
      </c>
      <c r="E89" s="95">
        <f t="shared" si="11"/>
        <v>1550.34</v>
      </c>
      <c r="F89" s="95">
        <f t="shared" si="11"/>
        <v>1517.24</v>
      </c>
      <c r="G89" s="95">
        <f t="shared" si="11"/>
        <v>1526.74</v>
      </c>
      <c r="H89" s="95">
        <f t="shared" si="11"/>
        <v>1494.44</v>
      </c>
      <c r="I89" s="95">
        <f t="shared" si="11"/>
        <v>1533.04</v>
      </c>
      <c r="J89" s="95">
        <f t="shared" si="11"/>
        <v>1576.74</v>
      </c>
      <c r="K89" s="95">
        <f t="shared" si="11"/>
        <v>1644.54</v>
      </c>
      <c r="L89" s="95">
        <f t="shared" si="11"/>
        <v>1691.94</v>
      </c>
      <c r="M89" s="95">
        <f t="shared" si="11"/>
        <v>1738.8400000000001</v>
      </c>
      <c r="N89" s="95">
        <f t="shared" si="11"/>
        <v>1687.54</v>
      </c>
      <c r="O89" s="95">
        <f t="shared" si="11"/>
        <v>1709.64</v>
      </c>
      <c r="P89" s="95">
        <f t="shared" si="11"/>
        <v>1791.44</v>
      </c>
      <c r="Q89" s="95">
        <f t="shared" si="11"/>
        <v>1762.34</v>
      </c>
      <c r="R89" s="95">
        <f t="shared" si="11"/>
        <v>1782.54</v>
      </c>
      <c r="S89" s="95">
        <f t="shared" si="11"/>
        <v>1796.74</v>
      </c>
      <c r="T89" s="95">
        <f t="shared" si="11"/>
        <v>1751.74</v>
      </c>
      <c r="U89" s="95">
        <f t="shared" si="11"/>
        <v>1802.3400000000001</v>
      </c>
      <c r="V89" s="95">
        <f t="shared" si="11"/>
        <v>1745.04</v>
      </c>
      <c r="W89" s="95">
        <f t="shared" si="11"/>
        <v>1728.24</v>
      </c>
      <c r="X89" s="95">
        <f t="shared" si="11"/>
        <v>1643.74</v>
      </c>
      <c r="Y89" s="95">
        <f t="shared" si="11"/>
        <v>1623.54</v>
      </c>
      <c r="Z89" s="95">
        <f t="shared" si="11"/>
        <v>1684.74</v>
      </c>
      <c r="AA89" s="95">
        <f t="shared" si="11"/>
        <v>1821.14</v>
      </c>
      <c r="AB89" s="95">
        <f t="shared" si="11"/>
        <v>1819.84</v>
      </c>
      <c r="AC89" s="95">
        <f t="shared" si="11"/>
        <v>1790.44</v>
      </c>
      <c r="AD89" s="95">
        <f t="shared" si="11"/>
        <v>1821.74</v>
      </c>
      <c r="AE89" s="95">
        <f t="shared" si="11"/>
        <v>1700.1399999999999</v>
      </c>
      <c r="AF89" s="95">
        <f t="shared" si="11"/>
        <v>1718.2399999999998</v>
      </c>
      <c r="AG89" s="61">
        <f t="shared" si="11"/>
        <v>2111.5500000000002</v>
      </c>
      <c r="AH89" s="47">
        <f t="shared" si="8"/>
        <v>1821.74</v>
      </c>
      <c r="AI89" s="48">
        <f t="shared" si="9"/>
        <v>1494.44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>
        <v>200</v>
      </c>
      <c r="Y90" s="97">
        <v>200</v>
      </c>
      <c r="Z90" s="97">
        <v>200</v>
      </c>
      <c r="AA90" s="97">
        <v>200</v>
      </c>
      <c r="AB90" s="97">
        <v>200</v>
      </c>
      <c r="AC90" s="97">
        <v>200</v>
      </c>
      <c r="AD90" s="97">
        <v>200</v>
      </c>
      <c r="AE90" s="97">
        <v>180</v>
      </c>
      <c r="AF90" s="97">
        <v>50</v>
      </c>
      <c r="AG90" s="88"/>
      <c r="AH90" s="47">
        <f t="shared" si="8"/>
        <v>200</v>
      </c>
      <c r="AI90" s="48">
        <f t="shared" si="9"/>
        <v>50</v>
      </c>
    </row>
    <row r="91" spans="1:40" ht="15.75" thickBot="1" x14ac:dyDescent="0.3">
      <c r="A91" s="74" t="s">
        <v>100</v>
      </c>
      <c r="B91" s="95">
        <f>B89+B90</f>
        <v>1593.34</v>
      </c>
      <c r="C91" s="95">
        <f t="shared" ref="C91:AF91" si="12">C89+C90</f>
        <v>1547.0400000000002</v>
      </c>
      <c r="D91" s="95">
        <f t="shared" si="12"/>
        <v>1576.24</v>
      </c>
      <c r="E91" s="95">
        <f t="shared" si="12"/>
        <v>1550.34</v>
      </c>
      <c r="F91" s="95">
        <f t="shared" si="12"/>
        <v>1517.24</v>
      </c>
      <c r="G91" s="95">
        <f t="shared" si="12"/>
        <v>1526.74</v>
      </c>
      <c r="H91" s="95">
        <f t="shared" si="12"/>
        <v>1494.44</v>
      </c>
      <c r="I91" s="95">
        <f t="shared" si="12"/>
        <v>1533.04</v>
      </c>
      <c r="J91" s="95">
        <f t="shared" si="12"/>
        <v>1576.74</v>
      </c>
      <c r="K91" s="95">
        <f t="shared" si="12"/>
        <v>1644.54</v>
      </c>
      <c r="L91" s="95">
        <f t="shared" si="12"/>
        <v>1691.94</v>
      </c>
      <c r="M91" s="95">
        <f t="shared" si="12"/>
        <v>1738.8400000000001</v>
      </c>
      <c r="N91" s="95">
        <f t="shared" si="12"/>
        <v>1687.54</v>
      </c>
      <c r="O91" s="95">
        <f t="shared" si="12"/>
        <v>1709.64</v>
      </c>
      <c r="P91" s="95">
        <f t="shared" si="12"/>
        <v>1791.44</v>
      </c>
      <c r="Q91" s="95">
        <f t="shared" si="12"/>
        <v>1762.34</v>
      </c>
      <c r="R91" s="95">
        <f t="shared" si="12"/>
        <v>1782.54</v>
      </c>
      <c r="S91" s="95">
        <f t="shared" si="12"/>
        <v>1796.74</v>
      </c>
      <c r="T91" s="95">
        <f t="shared" si="12"/>
        <v>1751.74</v>
      </c>
      <c r="U91" s="95">
        <f t="shared" si="12"/>
        <v>1802.3400000000001</v>
      </c>
      <c r="V91" s="95">
        <f t="shared" si="12"/>
        <v>1745.04</v>
      </c>
      <c r="W91" s="95">
        <f t="shared" si="12"/>
        <v>1728.24</v>
      </c>
      <c r="X91" s="95">
        <f t="shared" si="12"/>
        <v>1843.74</v>
      </c>
      <c r="Y91" s="95">
        <f t="shared" si="12"/>
        <v>1823.54</v>
      </c>
      <c r="Z91" s="95">
        <f t="shared" si="12"/>
        <v>1884.74</v>
      </c>
      <c r="AA91" s="95">
        <f t="shared" si="12"/>
        <v>2021.14</v>
      </c>
      <c r="AB91" s="95">
        <f t="shared" si="12"/>
        <v>2019.84</v>
      </c>
      <c r="AC91" s="95">
        <f t="shared" si="12"/>
        <v>1990.44</v>
      </c>
      <c r="AD91" s="95">
        <f t="shared" si="12"/>
        <v>2021.74</v>
      </c>
      <c r="AE91" s="95">
        <f t="shared" si="12"/>
        <v>1880.1399999999999</v>
      </c>
      <c r="AF91" s="95">
        <f t="shared" si="12"/>
        <v>1768.2399999999998</v>
      </c>
      <c r="AG91" s="88">
        <f>AG88+AG84+AG72+AG68+AG50+AG90</f>
        <v>1573.45</v>
      </c>
      <c r="AH91" s="47">
        <f t="shared" si="8"/>
        <v>2021.74</v>
      </c>
      <c r="AI91" s="48">
        <f t="shared" si="9"/>
        <v>1494.44</v>
      </c>
    </row>
    <row r="92" spans="1:40" ht="15.75" thickBot="1" x14ac:dyDescent="0.3">
      <c r="A92" s="74" t="s">
        <v>101</v>
      </c>
      <c r="B92" s="95">
        <f>B91-B99</f>
        <v>1593.34</v>
      </c>
      <c r="C92" s="95">
        <f t="shared" ref="C92:AF92" si="13">C91-C99</f>
        <v>1547.0400000000002</v>
      </c>
      <c r="D92" s="95">
        <f t="shared" si="13"/>
        <v>1576.24</v>
      </c>
      <c r="E92" s="95">
        <f t="shared" si="13"/>
        <v>1550.34</v>
      </c>
      <c r="F92" s="95">
        <f t="shared" si="13"/>
        <v>1517.24</v>
      </c>
      <c r="G92" s="95">
        <f t="shared" si="13"/>
        <v>1526.74</v>
      </c>
      <c r="H92" s="95">
        <f t="shared" si="13"/>
        <v>1494.44</v>
      </c>
      <c r="I92" s="95">
        <f t="shared" si="13"/>
        <v>1533.04</v>
      </c>
      <c r="J92" s="95">
        <f t="shared" si="13"/>
        <v>1576.74</v>
      </c>
      <c r="K92" s="95">
        <f t="shared" si="13"/>
        <v>1644.54</v>
      </c>
      <c r="L92" s="95">
        <f t="shared" si="13"/>
        <v>1691.94</v>
      </c>
      <c r="M92" s="95">
        <f t="shared" si="13"/>
        <v>1738.8400000000001</v>
      </c>
      <c r="N92" s="95">
        <f t="shared" si="13"/>
        <v>1687.54</v>
      </c>
      <c r="O92" s="95">
        <f t="shared" si="13"/>
        <v>1709.64</v>
      </c>
      <c r="P92" s="95">
        <f t="shared" si="13"/>
        <v>1791.44</v>
      </c>
      <c r="Q92" s="95">
        <f t="shared" si="13"/>
        <v>1762.34</v>
      </c>
      <c r="R92" s="95">
        <f t="shared" si="13"/>
        <v>1782.54</v>
      </c>
      <c r="S92" s="95">
        <f t="shared" si="13"/>
        <v>1796.74</v>
      </c>
      <c r="T92" s="95">
        <f t="shared" si="13"/>
        <v>1751.74</v>
      </c>
      <c r="U92" s="95">
        <f t="shared" si="13"/>
        <v>1802.3400000000001</v>
      </c>
      <c r="V92" s="95">
        <f t="shared" si="13"/>
        <v>1745.04</v>
      </c>
      <c r="W92" s="95">
        <f t="shared" si="13"/>
        <v>1728.24</v>
      </c>
      <c r="X92" s="95">
        <f t="shared" si="13"/>
        <v>1843.74</v>
      </c>
      <c r="Y92" s="95">
        <f t="shared" si="13"/>
        <v>1823.54</v>
      </c>
      <c r="Z92" s="95">
        <f t="shared" si="13"/>
        <v>1884.74</v>
      </c>
      <c r="AA92" s="95">
        <f t="shared" si="13"/>
        <v>2021.14</v>
      </c>
      <c r="AB92" s="95">
        <f t="shared" si="13"/>
        <v>2019.84</v>
      </c>
      <c r="AC92" s="95">
        <f t="shared" si="13"/>
        <v>1990.44</v>
      </c>
      <c r="AD92" s="95">
        <f t="shared" si="13"/>
        <v>2021.74</v>
      </c>
      <c r="AE92" s="95">
        <f t="shared" si="13"/>
        <v>1880.1399999999999</v>
      </c>
      <c r="AF92" s="95">
        <f t="shared" si="13"/>
        <v>1768.2399999999998</v>
      </c>
      <c r="AG92" s="88"/>
      <c r="AH92" s="47">
        <f t="shared" si="8"/>
        <v>2021.74</v>
      </c>
      <c r="AI92" s="48">
        <f t="shared" si="9"/>
        <v>1494.44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>B84-B99</f>
        <v>142.1</v>
      </c>
      <c r="C100" s="60">
        <f t="shared" ref="C100:AF100" si="14">C84-C99</f>
        <v>99.399999999999991</v>
      </c>
      <c r="D100" s="60">
        <f t="shared" si="14"/>
        <v>140.1</v>
      </c>
      <c r="E100" s="60">
        <f t="shared" si="14"/>
        <v>184.1</v>
      </c>
      <c r="F100" s="60">
        <f t="shared" si="14"/>
        <v>179.8</v>
      </c>
      <c r="G100" s="60">
        <f t="shared" si="14"/>
        <v>177.20000000000002</v>
      </c>
      <c r="H100" s="60">
        <f t="shared" si="14"/>
        <v>190.7</v>
      </c>
      <c r="I100" s="60">
        <f t="shared" si="14"/>
        <v>241.8</v>
      </c>
      <c r="J100" s="60">
        <f t="shared" si="14"/>
        <v>285.7</v>
      </c>
      <c r="K100" s="60">
        <f t="shared" si="14"/>
        <v>379.8</v>
      </c>
      <c r="L100" s="60">
        <f t="shared" si="14"/>
        <v>389.20000000000005</v>
      </c>
      <c r="M100" s="60">
        <f t="shared" si="14"/>
        <v>447.6</v>
      </c>
      <c r="N100" s="60">
        <f t="shared" si="14"/>
        <v>452.59999999999997</v>
      </c>
      <c r="O100" s="60">
        <f t="shared" si="14"/>
        <v>400.2</v>
      </c>
      <c r="P100" s="60">
        <f t="shared" si="14"/>
        <v>401.5</v>
      </c>
      <c r="Q100" s="60">
        <f t="shared" si="14"/>
        <v>410.3</v>
      </c>
      <c r="R100" s="60">
        <f t="shared" si="14"/>
        <v>407.3</v>
      </c>
      <c r="S100" s="60">
        <f t="shared" si="14"/>
        <v>408</v>
      </c>
      <c r="T100" s="60">
        <f t="shared" si="14"/>
        <v>346</v>
      </c>
      <c r="U100" s="60">
        <f t="shared" si="14"/>
        <v>358.6</v>
      </c>
      <c r="V100" s="60">
        <f t="shared" si="14"/>
        <v>341.7</v>
      </c>
      <c r="W100" s="60">
        <f t="shared" si="14"/>
        <v>379</v>
      </c>
      <c r="X100" s="60">
        <f t="shared" si="14"/>
        <v>321</v>
      </c>
      <c r="Y100" s="60">
        <f t="shared" si="14"/>
        <v>298</v>
      </c>
      <c r="Z100" s="60">
        <f t="shared" si="14"/>
        <v>322</v>
      </c>
      <c r="AA100" s="60">
        <f t="shared" si="14"/>
        <v>164.3</v>
      </c>
      <c r="AB100" s="60">
        <f t="shared" si="14"/>
        <v>149</v>
      </c>
      <c r="AC100" s="60">
        <f t="shared" si="14"/>
        <v>156.19999999999999</v>
      </c>
      <c r="AD100" s="60">
        <f t="shared" si="14"/>
        <v>143.30000000000001</v>
      </c>
      <c r="AE100" s="60">
        <f t="shared" si="14"/>
        <v>100.9</v>
      </c>
      <c r="AF100" s="60">
        <f t="shared" si="14"/>
        <v>164.5</v>
      </c>
      <c r="AG100" s="88"/>
      <c r="AH100" s="47">
        <f t="shared" si="8"/>
        <v>452.59999999999997</v>
      </c>
      <c r="AI100" s="48">
        <f t="shared" si="9"/>
        <v>99.399999999999991</v>
      </c>
    </row>
    <row r="101" spans="1:37" x14ac:dyDescent="0.25">
      <c r="A101" s="100" t="s">
        <v>107</v>
      </c>
      <c r="B101" s="101">
        <v>49.95</v>
      </c>
      <c r="C101" s="101">
        <v>50.04</v>
      </c>
      <c r="D101" s="101">
        <v>50.05</v>
      </c>
      <c r="E101" s="101">
        <v>50.026000000000003</v>
      </c>
      <c r="F101" s="101">
        <v>49.954999999999998</v>
      </c>
      <c r="G101" s="101">
        <v>49.951999999999998</v>
      </c>
      <c r="H101" s="101">
        <v>49.988999999999997</v>
      </c>
      <c r="I101" s="101">
        <v>50.103000000000002</v>
      </c>
      <c r="J101" s="101">
        <v>50.088999999999999</v>
      </c>
      <c r="K101" s="101">
        <v>50.094999999999999</v>
      </c>
      <c r="L101" s="101">
        <v>50.02</v>
      </c>
      <c r="M101" s="101">
        <v>50.19</v>
      </c>
      <c r="N101" s="101">
        <v>50.106000000000002</v>
      </c>
      <c r="O101" s="101">
        <v>50.03</v>
      </c>
      <c r="P101" s="101">
        <v>50</v>
      </c>
      <c r="Q101" s="101">
        <v>50.036000000000001</v>
      </c>
      <c r="R101" s="101">
        <v>50.06</v>
      </c>
      <c r="S101" s="101">
        <v>50.142000000000003</v>
      </c>
      <c r="T101" s="101">
        <v>50.064</v>
      </c>
      <c r="U101" s="101">
        <v>50.026000000000003</v>
      </c>
      <c r="V101" s="101">
        <v>50.137</v>
      </c>
      <c r="W101" s="101">
        <v>50.064</v>
      </c>
      <c r="X101" s="101">
        <v>50.094000000000001</v>
      </c>
      <c r="Y101" s="101">
        <v>49.999000000000002</v>
      </c>
      <c r="Z101" s="101">
        <v>50.08</v>
      </c>
      <c r="AA101" s="101">
        <v>50.018000000000001</v>
      </c>
      <c r="AB101" s="101">
        <v>49.970999999999997</v>
      </c>
      <c r="AC101" s="101">
        <v>49.878</v>
      </c>
      <c r="AD101" s="101">
        <v>49.904000000000003</v>
      </c>
      <c r="AE101" s="101">
        <v>49.942</v>
      </c>
      <c r="AF101" s="101">
        <v>50.003</v>
      </c>
      <c r="AG101" s="102"/>
      <c r="AH101" s="47">
        <f t="shared" si="8"/>
        <v>50.19</v>
      </c>
      <c r="AI101" s="48">
        <f t="shared" si="9"/>
        <v>49.878</v>
      </c>
    </row>
    <row r="102" spans="1:37" x14ac:dyDescent="0.25">
      <c r="A102" s="103" t="s">
        <v>108</v>
      </c>
      <c r="B102" s="65">
        <v>124.5</v>
      </c>
      <c r="C102" s="65">
        <v>125.3</v>
      </c>
      <c r="D102" s="65">
        <v>123.2</v>
      </c>
      <c r="E102" s="65">
        <v>124.2</v>
      </c>
      <c r="F102" s="65">
        <v>126.3</v>
      </c>
      <c r="G102" s="65">
        <v>124.3</v>
      </c>
      <c r="H102" s="65">
        <v>124.4</v>
      </c>
      <c r="I102" s="65">
        <v>123.1</v>
      </c>
      <c r="J102" s="65">
        <v>122.7</v>
      </c>
      <c r="K102" s="65">
        <v>122.8</v>
      </c>
      <c r="L102" s="65">
        <v>121.4</v>
      </c>
      <c r="M102" s="65">
        <v>123.4</v>
      </c>
      <c r="N102" s="65">
        <v>122</v>
      </c>
      <c r="O102" s="65">
        <v>123</v>
      </c>
      <c r="P102" s="65">
        <v>120.6</v>
      </c>
      <c r="Q102" s="65">
        <v>121</v>
      </c>
      <c r="R102" s="65">
        <v>120.5</v>
      </c>
      <c r="S102" s="65">
        <v>123.5</v>
      </c>
      <c r="T102" s="65">
        <v>123.7</v>
      </c>
      <c r="U102" s="65">
        <v>124.3</v>
      </c>
      <c r="V102" s="65">
        <v>125.2</v>
      </c>
      <c r="W102" s="65">
        <v>125.3</v>
      </c>
      <c r="X102" s="65">
        <v>126.1</v>
      </c>
      <c r="Y102" s="65">
        <v>124.6</v>
      </c>
      <c r="Z102" s="65">
        <v>123.9</v>
      </c>
      <c r="AA102" s="65">
        <v>123.3</v>
      </c>
      <c r="AB102" s="65">
        <v>125.4</v>
      </c>
      <c r="AC102" s="65">
        <v>125.3</v>
      </c>
      <c r="AD102" s="65">
        <v>125.1</v>
      </c>
      <c r="AE102" s="65">
        <v>126.1</v>
      </c>
      <c r="AF102" s="65">
        <v>125.6</v>
      </c>
      <c r="AG102" s="104"/>
      <c r="AH102" s="47">
        <f t="shared" si="8"/>
        <v>126.3</v>
      </c>
      <c r="AI102" s="48">
        <f t="shared" si="9"/>
        <v>120.5</v>
      </c>
    </row>
    <row r="103" spans="1:37" x14ac:dyDescent="0.25">
      <c r="A103" s="103" t="s">
        <v>109</v>
      </c>
      <c r="B103" s="65">
        <v>129.30000000000001</v>
      </c>
      <c r="C103" s="65">
        <v>130.1</v>
      </c>
      <c r="D103" s="65">
        <v>128.80000000000001</v>
      </c>
      <c r="E103" s="65">
        <v>129.9</v>
      </c>
      <c r="F103" s="65">
        <v>130.6</v>
      </c>
      <c r="G103" s="65">
        <v>129</v>
      </c>
      <c r="H103" s="65">
        <v>128.5</v>
      </c>
      <c r="I103" s="65">
        <v>127.5</v>
      </c>
      <c r="J103" s="65">
        <v>127</v>
      </c>
      <c r="K103" s="65">
        <v>126.6</v>
      </c>
      <c r="L103" s="65">
        <v>125.8</v>
      </c>
      <c r="M103" s="65">
        <v>126.8</v>
      </c>
      <c r="N103" s="65">
        <v>126.5</v>
      </c>
      <c r="O103" s="65">
        <v>126.3</v>
      </c>
      <c r="P103" s="65">
        <v>125.2</v>
      </c>
      <c r="Q103" s="65">
        <v>125.3</v>
      </c>
      <c r="R103" s="65">
        <v>125.2</v>
      </c>
      <c r="S103" s="65">
        <v>63.7</v>
      </c>
      <c r="T103" s="65">
        <v>126.7</v>
      </c>
      <c r="U103" s="65">
        <v>127.3</v>
      </c>
      <c r="V103" s="65">
        <v>127.8</v>
      </c>
      <c r="W103" s="65">
        <v>127.8</v>
      </c>
      <c r="X103" s="65">
        <v>128.6</v>
      </c>
      <c r="Y103" s="65">
        <v>127.6</v>
      </c>
      <c r="Z103" s="65">
        <v>122.2</v>
      </c>
      <c r="AA103" s="65">
        <v>126.1</v>
      </c>
      <c r="AB103" s="65">
        <v>128.5</v>
      </c>
      <c r="AC103" s="65">
        <v>128.4</v>
      </c>
      <c r="AD103" s="65">
        <v>128.4</v>
      </c>
      <c r="AE103" s="65">
        <v>129.6</v>
      </c>
      <c r="AF103" s="65">
        <v>129.9</v>
      </c>
      <c r="AG103" s="104"/>
      <c r="AH103" s="47">
        <f t="shared" si="8"/>
        <v>130.6</v>
      </c>
      <c r="AI103" s="48">
        <f t="shared" si="9"/>
        <v>63.7</v>
      </c>
    </row>
    <row r="104" spans="1:37" x14ac:dyDescent="0.25">
      <c r="A104" s="103" t="s">
        <v>110</v>
      </c>
      <c r="B104" s="65">
        <v>123.2</v>
      </c>
      <c r="C104" s="65">
        <v>126.3</v>
      </c>
      <c r="D104" s="65">
        <v>125.8</v>
      </c>
      <c r="E104" s="65">
        <v>126.1</v>
      </c>
      <c r="F104" s="65">
        <v>128.9</v>
      </c>
      <c r="G104" s="65">
        <v>129.1</v>
      </c>
      <c r="H104" s="65">
        <v>126.2</v>
      </c>
      <c r="I104" s="65">
        <v>127.3</v>
      </c>
      <c r="J104" s="65">
        <v>125.8</v>
      </c>
      <c r="K104" s="65">
        <v>124.4</v>
      </c>
      <c r="L104" s="65">
        <v>127</v>
      </c>
      <c r="M104" s="65">
        <v>123.4</v>
      </c>
      <c r="N104" s="65">
        <v>127.5</v>
      </c>
      <c r="O104" s="65">
        <v>126.1</v>
      </c>
      <c r="P104" s="65">
        <v>122.9</v>
      </c>
      <c r="Q104" s="65">
        <v>124.9</v>
      </c>
      <c r="R104" s="65">
        <v>125.7</v>
      </c>
      <c r="S104" s="65">
        <v>125.8</v>
      </c>
      <c r="T104" s="65">
        <v>126.9</v>
      </c>
      <c r="U104" s="65">
        <v>123.2</v>
      </c>
      <c r="V104" s="65">
        <v>129.80000000000001</v>
      </c>
      <c r="W104" s="65">
        <v>129.5</v>
      </c>
      <c r="X104" s="65">
        <v>130.80000000000001</v>
      </c>
      <c r="Y104" s="65">
        <v>125.6</v>
      </c>
      <c r="Z104" s="65">
        <v>122.2</v>
      </c>
      <c r="AA104" s="65">
        <v>122.6</v>
      </c>
      <c r="AB104" s="65">
        <v>125.7</v>
      </c>
      <c r="AC104" s="65">
        <v>124.1</v>
      </c>
      <c r="AD104" s="65">
        <v>126.3</v>
      </c>
      <c r="AE104" s="65">
        <v>124.3</v>
      </c>
      <c r="AF104" s="65">
        <v>124.3</v>
      </c>
      <c r="AG104" s="104"/>
      <c r="AH104" s="47">
        <f t="shared" si="8"/>
        <v>130.80000000000001</v>
      </c>
      <c r="AI104" s="48">
        <f t="shared" si="9"/>
        <v>122.2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129.80000000000001</v>
      </c>
      <c r="C106" s="106">
        <v>129.4</v>
      </c>
      <c r="D106" s="106">
        <v>127.6</v>
      </c>
      <c r="E106" s="106">
        <v>131.6</v>
      </c>
      <c r="F106" s="106">
        <v>131.30000000000001</v>
      </c>
      <c r="G106" s="106">
        <v>129.80000000000001</v>
      </c>
      <c r="H106" s="106">
        <v>131.5</v>
      </c>
      <c r="I106" s="106">
        <v>130</v>
      </c>
      <c r="J106" s="106">
        <v>132.19999999999999</v>
      </c>
      <c r="K106" s="106">
        <v>129.80000000000001</v>
      </c>
      <c r="L106" s="106">
        <v>132.4</v>
      </c>
      <c r="M106" s="106">
        <v>132</v>
      </c>
      <c r="N106" s="106">
        <v>133</v>
      </c>
      <c r="O106" s="106">
        <v>132</v>
      </c>
      <c r="P106" s="106">
        <v>132</v>
      </c>
      <c r="Q106" s="106">
        <v>132.69999999999999</v>
      </c>
      <c r="R106" s="106">
        <v>133.19999999999999</v>
      </c>
      <c r="S106" s="106">
        <v>135.5</v>
      </c>
      <c r="T106" s="106">
        <v>132.30000000000001</v>
      </c>
      <c r="U106" s="106">
        <v>134.19999999999999</v>
      </c>
      <c r="V106" s="106">
        <v>128.5</v>
      </c>
      <c r="W106" s="106">
        <v>132.6</v>
      </c>
      <c r="X106" s="106">
        <v>134.1</v>
      </c>
      <c r="Y106" s="106">
        <v>131.6</v>
      </c>
      <c r="Z106" s="106">
        <v>132.6</v>
      </c>
      <c r="AA106" s="106">
        <v>131.6</v>
      </c>
      <c r="AB106" s="106">
        <v>134.5</v>
      </c>
      <c r="AC106" s="106">
        <v>133.4</v>
      </c>
      <c r="AD106" s="106">
        <v>131.6</v>
      </c>
      <c r="AE106" s="106">
        <v>131.80000000000001</v>
      </c>
      <c r="AF106" s="106">
        <v>131.80000000000001</v>
      </c>
      <c r="AG106" s="107"/>
      <c r="AH106" s="47">
        <f t="shared" si="8"/>
        <v>135.5</v>
      </c>
      <c r="AI106" s="48">
        <f t="shared" si="9"/>
        <v>127.6</v>
      </c>
    </row>
    <row r="107" spans="1:37" x14ac:dyDescent="0.25">
      <c r="A107" s="103" t="s">
        <v>113</v>
      </c>
      <c r="B107" s="65">
        <v>132.6</v>
      </c>
      <c r="C107" s="65">
        <v>133.6</v>
      </c>
      <c r="D107" s="65">
        <v>129</v>
      </c>
      <c r="E107" s="65">
        <v>132</v>
      </c>
      <c r="F107" s="65">
        <v>131.80000000000001</v>
      </c>
      <c r="G107" s="65">
        <v>128.80000000000001</v>
      </c>
      <c r="H107" s="65">
        <v>131.6</v>
      </c>
      <c r="I107" s="65">
        <v>131.6</v>
      </c>
      <c r="J107" s="65">
        <v>129.5</v>
      </c>
      <c r="K107" s="65">
        <v>132.69999999999999</v>
      </c>
      <c r="L107" s="65">
        <v>128.30000000000001</v>
      </c>
      <c r="M107" s="65">
        <v>128.30000000000001</v>
      </c>
      <c r="N107" s="65">
        <v>130</v>
      </c>
      <c r="O107" s="65">
        <v>130</v>
      </c>
      <c r="P107" s="65">
        <v>130</v>
      </c>
      <c r="Q107" s="65">
        <v>128.5</v>
      </c>
      <c r="R107" s="65">
        <v>134.19999999999999</v>
      </c>
      <c r="S107" s="65">
        <v>130.9</v>
      </c>
      <c r="T107" s="65">
        <v>135.5</v>
      </c>
      <c r="U107" s="65">
        <v>132.80000000000001</v>
      </c>
      <c r="V107" s="65">
        <v>133.80000000000001</v>
      </c>
      <c r="W107" s="65">
        <v>133.30000000000001</v>
      </c>
      <c r="X107" s="65">
        <v>133.80000000000001</v>
      </c>
      <c r="Y107" s="65">
        <v>130.6</v>
      </c>
      <c r="Z107" s="65">
        <v>131</v>
      </c>
      <c r="AA107" s="65">
        <v>128.5</v>
      </c>
      <c r="AB107" s="65">
        <v>130.19999999999999</v>
      </c>
      <c r="AC107" s="65">
        <v>129.19999999999999</v>
      </c>
      <c r="AD107" s="65">
        <v>128.19999999999999</v>
      </c>
      <c r="AE107" s="65">
        <v>124.5</v>
      </c>
      <c r="AF107" s="65">
        <v>124.5</v>
      </c>
      <c r="AG107" s="104"/>
      <c r="AH107" s="47">
        <f t="shared" si="8"/>
        <v>135.5</v>
      </c>
      <c r="AI107" s="48">
        <f t="shared" si="9"/>
        <v>124.5</v>
      </c>
    </row>
    <row r="108" spans="1:37" ht="15.75" thickBot="1" x14ac:dyDescent="0.3">
      <c r="A108" s="103" t="s">
        <v>114</v>
      </c>
      <c r="B108" s="92">
        <v>65.2</v>
      </c>
      <c r="C108" s="92">
        <v>65.599999999999994</v>
      </c>
      <c r="D108" s="92">
        <v>65</v>
      </c>
      <c r="E108" s="92">
        <v>65.2</v>
      </c>
      <c r="F108" s="92">
        <v>65.3</v>
      </c>
      <c r="G108" s="92">
        <v>64.8</v>
      </c>
      <c r="H108" s="92">
        <v>64.2</v>
      </c>
      <c r="I108" s="92">
        <v>64.2</v>
      </c>
      <c r="J108" s="92">
        <v>64.3</v>
      </c>
      <c r="K108" s="92">
        <v>63.6</v>
      </c>
      <c r="L108" s="92">
        <v>62.9</v>
      </c>
      <c r="M108" s="92">
        <v>62.9</v>
      </c>
      <c r="N108" s="92">
        <v>63.2</v>
      </c>
      <c r="O108" s="92">
        <v>62.7</v>
      </c>
      <c r="P108" s="92">
        <v>62.4</v>
      </c>
      <c r="Q108" s="92">
        <v>62.3</v>
      </c>
      <c r="R108" s="92">
        <v>63.1</v>
      </c>
      <c r="S108" s="92">
        <v>63.5</v>
      </c>
      <c r="T108" s="92">
        <v>63.3</v>
      </c>
      <c r="U108" s="92">
        <v>63.5</v>
      </c>
      <c r="V108" s="92">
        <v>64</v>
      </c>
      <c r="W108" s="92">
        <v>64</v>
      </c>
      <c r="X108" s="92">
        <v>64</v>
      </c>
      <c r="Y108" s="92">
        <v>63.9</v>
      </c>
      <c r="Z108" s="92">
        <v>63.7</v>
      </c>
      <c r="AA108" s="92">
        <v>63.1</v>
      </c>
      <c r="AB108" s="92">
        <v>64.400000000000006</v>
      </c>
      <c r="AC108" s="92">
        <v>64.400000000000006</v>
      </c>
      <c r="AD108" s="92">
        <v>64.3</v>
      </c>
      <c r="AE108" s="92">
        <v>65</v>
      </c>
      <c r="AF108" s="92">
        <v>65</v>
      </c>
      <c r="AG108" s="108"/>
      <c r="AH108" s="47">
        <f t="shared" si="8"/>
        <v>65.599999999999994</v>
      </c>
      <c r="AI108" s="48">
        <f t="shared" si="9"/>
        <v>62.3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/>
      <c r="C110" s="111">
        <f t="shared" ref="C110:O110" si="15">SUM(C20,C26,C29:C30,C58,C60:C61,C63,C65,C111:C115,C138,C144,C150,C159,C161,C173,C180,C183:C184,C191,C193,C195,C199:C201,C203:C205,C210,C216:C217,C219:C221,C229,C234)</f>
        <v>82.240000000000009</v>
      </c>
      <c r="D110" s="111">
        <f t="shared" si="15"/>
        <v>71.440000000000026</v>
      </c>
      <c r="E110" s="111">
        <f t="shared" si="15"/>
        <v>74.239999999999995</v>
      </c>
      <c r="F110" s="111">
        <f t="shared" si="15"/>
        <v>73.14</v>
      </c>
      <c r="G110" s="111">
        <f t="shared" si="15"/>
        <v>104.14</v>
      </c>
      <c r="H110" s="111">
        <f t="shared" si="15"/>
        <v>140.84</v>
      </c>
      <c r="I110" s="111">
        <f t="shared" si="15"/>
        <v>188.14</v>
      </c>
      <c r="J110" s="111">
        <f t="shared" si="15"/>
        <v>208.84000000000003</v>
      </c>
      <c r="K110" s="111">
        <f t="shared" si="15"/>
        <v>219.54000000000005</v>
      </c>
      <c r="L110" s="111">
        <f t="shared" si="15"/>
        <v>240.84</v>
      </c>
      <c r="M110" s="111">
        <f t="shared" si="15"/>
        <v>233.54</v>
      </c>
      <c r="N110" s="111">
        <f t="shared" si="15"/>
        <v>243.04000000000002</v>
      </c>
      <c r="O110" s="111">
        <f t="shared" si="15"/>
        <v>220.34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256.90000000000003</v>
      </c>
      <c r="R110" s="111">
        <f t="shared" si="16"/>
        <v>234.20000000000002</v>
      </c>
      <c r="S110" s="111">
        <f t="shared" si="16"/>
        <v>269.80000000000007</v>
      </c>
      <c r="T110" s="111">
        <f t="shared" si="16"/>
        <v>286</v>
      </c>
      <c r="U110" s="111">
        <f t="shared" si="16"/>
        <v>281.5</v>
      </c>
      <c r="V110" s="111">
        <f t="shared" si="16"/>
        <v>252.6</v>
      </c>
      <c r="W110" s="111">
        <f t="shared" si="16"/>
        <v>277.10000000000002</v>
      </c>
      <c r="X110" s="111">
        <f t="shared" si="16"/>
        <v>263.70000000000005</v>
      </c>
      <c r="Y110" s="111">
        <f t="shared" si="16"/>
        <v>282</v>
      </c>
      <c r="Z110" s="111">
        <f t="shared" si="16"/>
        <v>291.5</v>
      </c>
      <c r="AA110" s="111">
        <f t="shared" si="16"/>
        <v>356.70000000000005</v>
      </c>
      <c r="AB110" s="111">
        <f t="shared" si="16"/>
        <v>314.90000000000003</v>
      </c>
      <c r="AC110" s="111">
        <f t="shared" si="16"/>
        <v>296.90000000000003</v>
      </c>
      <c r="AD110" s="111"/>
      <c r="AE110" s="111">
        <f t="shared" si="16"/>
        <v>162.30000000000001</v>
      </c>
      <c r="AF110" s="111">
        <f t="shared" si="16"/>
        <v>162.30000000000001</v>
      </c>
      <c r="AG110" s="112"/>
      <c r="AH110" s="47">
        <f t="shared" si="8"/>
        <v>356.70000000000005</v>
      </c>
      <c r="AI110" s="48">
        <f t="shared" si="9"/>
        <v>42</v>
      </c>
    </row>
    <row r="111" spans="1:37" x14ac:dyDescent="0.25">
      <c r="A111" s="100" t="s">
        <v>117</v>
      </c>
      <c r="B111" s="113">
        <v>16.399999999999999</v>
      </c>
      <c r="C111" s="113">
        <v>16.2</v>
      </c>
      <c r="D111" s="113">
        <v>17.899999999999999</v>
      </c>
      <c r="E111" s="113">
        <v>21.5</v>
      </c>
      <c r="F111" s="113">
        <v>20.2</v>
      </c>
      <c r="G111" s="113">
        <v>24.6</v>
      </c>
      <c r="H111" s="113">
        <v>26.2</v>
      </c>
      <c r="I111" s="113">
        <v>29.4</v>
      </c>
      <c r="J111" s="113">
        <v>29.6</v>
      </c>
      <c r="K111" s="113">
        <v>26.9</v>
      </c>
      <c r="L111" s="113">
        <v>25.8</v>
      </c>
      <c r="M111" s="113">
        <v>13.6</v>
      </c>
      <c r="N111" s="113">
        <v>39.5</v>
      </c>
      <c r="O111" s="113">
        <v>34.5</v>
      </c>
      <c r="P111" s="113">
        <v>27.6</v>
      </c>
      <c r="Q111" s="113">
        <v>28.2</v>
      </c>
      <c r="R111" s="113">
        <v>24.3</v>
      </c>
      <c r="S111" s="113">
        <v>25.3</v>
      </c>
      <c r="T111" s="113">
        <v>27.9</v>
      </c>
      <c r="U111" s="113">
        <v>35.200000000000003</v>
      </c>
      <c r="V111" s="113">
        <v>25.8</v>
      </c>
      <c r="W111" s="113">
        <v>28.9</v>
      </c>
      <c r="X111" s="113">
        <v>35.9</v>
      </c>
      <c r="Y111" s="113">
        <v>46.1</v>
      </c>
      <c r="Z111" s="113">
        <v>40.6</v>
      </c>
      <c r="AA111" s="113">
        <v>39.200000000000003</v>
      </c>
      <c r="AB111" s="113">
        <v>42</v>
      </c>
      <c r="AC111" s="113">
        <v>34.700000000000003</v>
      </c>
      <c r="AD111" s="113">
        <v>34.5</v>
      </c>
      <c r="AE111" s="113">
        <v>29.2</v>
      </c>
      <c r="AF111" s="113">
        <v>29.2</v>
      </c>
      <c r="AG111" s="114">
        <v>75</v>
      </c>
      <c r="AH111" s="47">
        <f t="shared" si="8"/>
        <v>46.1</v>
      </c>
      <c r="AI111" s="48">
        <f t="shared" si="9"/>
        <v>13.6</v>
      </c>
    </row>
    <row r="112" spans="1:37" x14ac:dyDescent="0.25">
      <c r="A112" s="103" t="s">
        <v>118</v>
      </c>
      <c r="B112" s="115">
        <v>36.4</v>
      </c>
      <c r="C112" s="115">
        <v>34.9</v>
      </c>
      <c r="D112" s="115">
        <v>34.299999999999997</v>
      </c>
      <c r="E112" s="115">
        <v>40.299999999999997</v>
      </c>
      <c r="F112" s="115">
        <v>38.4</v>
      </c>
      <c r="G112" s="115">
        <v>44.6</v>
      </c>
      <c r="H112" s="115">
        <v>45.8</v>
      </c>
      <c r="I112" s="115">
        <v>48.8</v>
      </c>
      <c r="J112" s="115">
        <v>50.2</v>
      </c>
      <c r="K112" s="115">
        <v>47.2</v>
      </c>
      <c r="L112" s="115">
        <v>45.6</v>
      </c>
      <c r="M112" s="115">
        <v>29.8</v>
      </c>
      <c r="N112" s="115">
        <v>64</v>
      </c>
      <c r="O112" s="115">
        <v>57.1</v>
      </c>
      <c r="P112" s="115">
        <v>48.8</v>
      </c>
      <c r="Q112" s="115">
        <v>49.9</v>
      </c>
      <c r="R112" s="115">
        <v>44.7</v>
      </c>
      <c r="S112" s="115">
        <v>45.8</v>
      </c>
      <c r="T112" s="115">
        <v>49.2</v>
      </c>
      <c r="U112" s="115">
        <v>58.5</v>
      </c>
      <c r="V112" s="115">
        <v>41.7</v>
      </c>
      <c r="W112" s="115">
        <v>45.6</v>
      </c>
      <c r="X112" s="115">
        <v>53</v>
      </c>
      <c r="Y112" s="115">
        <v>67.5</v>
      </c>
      <c r="Z112" s="115">
        <v>59.8</v>
      </c>
      <c r="AA112" s="115">
        <v>56</v>
      </c>
      <c r="AB112" s="115">
        <v>61.7</v>
      </c>
      <c r="AC112" s="115">
        <v>49.6</v>
      </c>
      <c r="AD112" s="115">
        <v>50.2</v>
      </c>
      <c r="AE112" s="115">
        <v>49.2</v>
      </c>
      <c r="AF112" s="115">
        <v>49.2</v>
      </c>
      <c r="AG112" s="114">
        <v>240</v>
      </c>
      <c r="AH112" s="47">
        <f t="shared" si="8"/>
        <v>67.5</v>
      </c>
      <c r="AI112" s="48">
        <f t="shared" si="9"/>
        <v>29.8</v>
      </c>
    </row>
    <row r="113" spans="1:37" x14ac:dyDescent="0.25">
      <c r="A113" s="103" t="s">
        <v>119</v>
      </c>
      <c r="B113" s="115">
        <f>-46-51.8</f>
        <v>-97.8</v>
      </c>
      <c r="C113" s="115">
        <f>-46-50</f>
        <v>-96</v>
      </c>
      <c r="D113" s="115">
        <f>-48.3-51.3</f>
        <v>-99.6</v>
      </c>
      <c r="E113" s="115">
        <v>-106.7</v>
      </c>
      <c r="F113" s="115">
        <v>-101</v>
      </c>
      <c r="G113" s="115">
        <v>-82</v>
      </c>
      <c r="H113" s="115">
        <v>-53</v>
      </c>
      <c r="I113" s="115">
        <v>-81</v>
      </c>
      <c r="J113" s="115">
        <v>-79</v>
      </c>
      <c r="K113" s="115">
        <v>-75.599999999999994</v>
      </c>
      <c r="L113" s="115">
        <v>-70.7</v>
      </c>
      <c r="M113" s="115">
        <f>-43.7-29.3</f>
        <v>-73</v>
      </c>
      <c r="N113" s="115">
        <v>-57</v>
      </c>
      <c r="O113" s="115">
        <f>-52.7-23.3</f>
        <v>-76</v>
      </c>
      <c r="P113" s="115">
        <v>-67.900000000000006</v>
      </c>
      <c r="Q113" s="115">
        <v>-68.3</v>
      </c>
      <c r="R113" s="115">
        <f>-54.2-36.3</f>
        <v>-90.5</v>
      </c>
      <c r="S113" s="115">
        <v>-53</v>
      </c>
      <c r="T113" s="115">
        <v>-40</v>
      </c>
      <c r="U113" s="115">
        <v>-48</v>
      </c>
      <c r="V113" s="115">
        <v>-67</v>
      </c>
      <c r="W113" s="115">
        <v>-45</v>
      </c>
      <c r="X113" s="115">
        <v>-46</v>
      </c>
      <c r="Y113" s="115">
        <v>-47</v>
      </c>
      <c r="Z113" s="115">
        <v>-40</v>
      </c>
      <c r="AA113" s="115">
        <v>-33</v>
      </c>
      <c r="AB113" s="115">
        <f>-21.4-26.7</f>
        <v>-48.099999999999994</v>
      </c>
      <c r="AC113" s="115">
        <f>-20.2-26.4</f>
        <v>-46.599999999999994</v>
      </c>
      <c r="AD113" s="115">
        <v>-84.9</v>
      </c>
      <c r="AE113" s="115">
        <v>-92</v>
      </c>
      <c r="AF113" s="115">
        <v>-92</v>
      </c>
      <c r="AG113" s="114">
        <v>240</v>
      </c>
      <c r="AH113" s="47">
        <f t="shared" si="8"/>
        <v>-33</v>
      </c>
      <c r="AI113" s="48">
        <f t="shared" si="9"/>
        <v>-106.7</v>
      </c>
    </row>
    <row r="114" spans="1:37" x14ac:dyDescent="0.25">
      <c r="A114" s="103" t="s">
        <v>120</v>
      </c>
      <c r="B114" s="115">
        <v>0.4</v>
      </c>
      <c r="C114" s="115">
        <v>-6.1</v>
      </c>
      <c r="D114" s="115">
        <v>-14</v>
      </c>
      <c r="E114" s="115">
        <v>-14</v>
      </c>
      <c r="F114" s="115">
        <v>-14.2</v>
      </c>
      <c r="G114" s="115">
        <v>-9.8000000000000007</v>
      </c>
      <c r="H114" s="115">
        <v>-4.9000000000000004</v>
      </c>
      <c r="I114" s="115">
        <v>-5.9</v>
      </c>
      <c r="J114" s="115">
        <v>2</v>
      </c>
      <c r="K114" s="115">
        <v>4.9000000000000004</v>
      </c>
      <c r="L114" s="115">
        <v>7.7</v>
      </c>
      <c r="M114" s="115">
        <v>32.700000000000003</v>
      </c>
      <c r="N114" s="115">
        <v>25.5</v>
      </c>
      <c r="O114" s="115">
        <v>37</v>
      </c>
      <c r="P114" s="115">
        <v>23.2</v>
      </c>
      <c r="Q114" s="115">
        <v>28.5</v>
      </c>
      <c r="R114" s="115">
        <v>28.3</v>
      </c>
      <c r="S114" s="115">
        <v>24</v>
      </c>
      <c r="T114" s="115">
        <v>24.6</v>
      </c>
      <c r="U114" s="115">
        <v>32.700000000000003</v>
      </c>
      <c r="V114" s="115">
        <v>26.7</v>
      </c>
      <c r="W114" s="115">
        <v>15.8</v>
      </c>
      <c r="X114" s="115">
        <v>18</v>
      </c>
      <c r="Y114" s="115">
        <v>11</v>
      </c>
      <c r="Z114" s="115">
        <v>13.7</v>
      </c>
      <c r="AA114" s="115">
        <v>27.8</v>
      </c>
      <c r="AB114" s="115">
        <v>21.9</v>
      </c>
      <c r="AC114" s="115">
        <v>19.8</v>
      </c>
      <c r="AD114" s="115">
        <v>16.100000000000001</v>
      </c>
      <c r="AE114" s="115">
        <v>19.3</v>
      </c>
      <c r="AF114" s="115">
        <v>19.3</v>
      </c>
      <c r="AG114" s="114">
        <v>60</v>
      </c>
      <c r="AH114" s="47">
        <f t="shared" si="8"/>
        <v>37</v>
      </c>
      <c r="AI114" s="48">
        <f t="shared" si="9"/>
        <v>-14.2</v>
      </c>
    </row>
    <row r="115" spans="1:37" x14ac:dyDescent="0.25">
      <c r="A115" s="116" t="s">
        <v>121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67.099999999999994</v>
      </c>
      <c r="J115" s="117">
        <v>74.8</v>
      </c>
      <c r="K115" s="117">
        <v>81.900000000000006</v>
      </c>
      <c r="L115" s="117">
        <v>93.6</v>
      </c>
      <c r="M115" s="117">
        <v>91.6</v>
      </c>
      <c r="N115" s="117">
        <v>26.3</v>
      </c>
      <c r="O115" s="117">
        <v>23</v>
      </c>
      <c r="P115" s="117">
        <v>74.900000000000006</v>
      </c>
      <c r="Q115" s="117">
        <v>71.3</v>
      </c>
      <c r="R115" s="117">
        <v>80.099999999999994</v>
      </c>
      <c r="S115" s="117">
        <v>80.400000000000006</v>
      </c>
      <c r="T115" s="117">
        <v>77</v>
      </c>
      <c r="U115" s="117">
        <v>55.8</v>
      </c>
      <c r="V115" s="117">
        <v>76.599999999999994</v>
      </c>
      <c r="W115" s="117">
        <v>83</v>
      </c>
      <c r="X115" s="117">
        <v>60</v>
      </c>
      <c r="Y115" s="117">
        <v>63.6</v>
      </c>
      <c r="Z115" s="117">
        <v>84.6</v>
      </c>
      <c r="AA115" s="117">
        <v>108.3</v>
      </c>
      <c r="AB115" s="117">
        <v>78.2</v>
      </c>
      <c r="AC115" s="117">
        <v>80</v>
      </c>
      <c r="AD115" s="117">
        <v>64.5</v>
      </c>
      <c r="AE115" s="117">
        <v>0</v>
      </c>
      <c r="AF115" s="117">
        <v>0</v>
      </c>
      <c r="AG115" s="118">
        <v>120</v>
      </c>
      <c r="AH115" s="47">
        <f t="shared" si="8"/>
        <v>108.3</v>
      </c>
      <c r="AI115" s="48">
        <f t="shared" si="9"/>
        <v>0</v>
      </c>
    </row>
    <row r="116" spans="1:37" x14ac:dyDescent="0.25">
      <c r="A116" s="116" t="s">
        <v>122</v>
      </c>
      <c r="B116" s="117">
        <v>68.900000000000006</v>
      </c>
      <c r="C116" s="117">
        <v>75.7</v>
      </c>
      <c r="D116" s="117">
        <v>92.5</v>
      </c>
      <c r="E116" s="117">
        <v>88.1</v>
      </c>
      <c r="F116" s="117">
        <v>58</v>
      </c>
      <c r="G116" s="117">
        <v>93.3</v>
      </c>
      <c r="H116" s="117">
        <v>97.8</v>
      </c>
      <c r="I116" s="117">
        <v>78.8</v>
      </c>
      <c r="J116" s="117">
        <v>86.1</v>
      </c>
      <c r="K116" s="117">
        <v>88.4</v>
      </c>
      <c r="L116" s="117">
        <v>99.2</v>
      </c>
      <c r="M116" s="117">
        <v>101</v>
      </c>
      <c r="N116" s="117">
        <v>99</v>
      </c>
      <c r="O116" s="117">
        <v>92</v>
      </c>
      <c r="P116" s="117">
        <v>95.8</v>
      </c>
      <c r="Q116" s="117">
        <v>88.4</v>
      </c>
      <c r="R116" s="117">
        <v>93.7</v>
      </c>
      <c r="S116" s="117">
        <v>85.8</v>
      </c>
      <c r="T116" s="117">
        <v>75.599999999999994</v>
      </c>
      <c r="U116" s="117">
        <v>65</v>
      </c>
      <c r="V116" s="117">
        <v>78.900000000000006</v>
      </c>
      <c r="W116" s="117">
        <v>81</v>
      </c>
      <c r="X116" s="117">
        <v>60.2</v>
      </c>
      <c r="Y116" s="117">
        <v>60</v>
      </c>
      <c r="Z116" s="117">
        <v>74.2</v>
      </c>
      <c r="AA116" s="117">
        <v>81.5</v>
      </c>
      <c r="AB116" s="117">
        <v>67.900000000000006</v>
      </c>
      <c r="AC116" s="117">
        <v>67.900000000000006</v>
      </c>
      <c r="AD116" s="117">
        <v>66.400000000000006</v>
      </c>
      <c r="AE116" s="117">
        <v>51.9</v>
      </c>
      <c r="AF116" s="117">
        <v>51.9</v>
      </c>
      <c r="AG116" s="118"/>
      <c r="AH116" s="47">
        <f t="shared" si="8"/>
        <v>101</v>
      </c>
      <c r="AI116" s="48">
        <f t="shared" si="9"/>
        <v>51.9</v>
      </c>
    </row>
    <row r="117" spans="1:37" x14ac:dyDescent="0.25">
      <c r="A117" s="116" t="s">
        <v>123</v>
      </c>
      <c r="B117" s="117">
        <v>45.8</v>
      </c>
      <c r="C117" s="117">
        <v>50.1</v>
      </c>
      <c r="D117" s="117">
        <v>57.1</v>
      </c>
      <c r="E117" s="117">
        <v>49.1</v>
      </c>
      <c r="F117" s="117">
        <v>51.2</v>
      </c>
      <c r="G117" s="117">
        <v>51.1</v>
      </c>
      <c r="H117" s="117">
        <v>51.4</v>
      </c>
      <c r="I117" s="117">
        <v>41.4</v>
      </c>
      <c r="J117" s="117">
        <v>46.4</v>
      </c>
      <c r="K117" s="117">
        <v>51</v>
      </c>
      <c r="L117" s="117">
        <v>47.6</v>
      </c>
      <c r="M117" s="117">
        <v>52</v>
      </c>
      <c r="N117" s="117">
        <v>20</v>
      </c>
      <c r="O117" s="117">
        <v>18.899999999999999</v>
      </c>
      <c r="P117" s="117">
        <v>34.799999999999997</v>
      </c>
      <c r="Q117" s="117">
        <v>33.5</v>
      </c>
      <c r="R117" s="117">
        <v>33.799999999999997</v>
      </c>
      <c r="S117" s="117">
        <v>29.1</v>
      </c>
      <c r="T117" s="117">
        <v>28.9</v>
      </c>
      <c r="U117" s="117">
        <v>18</v>
      </c>
      <c r="V117" s="117">
        <v>47.7</v>
      </c>
      <c r="W117" s="117">
        <v>41</v>
      </c>
      <c r="X117" s="117">
        <v>27.8</v>
      </c>
      <c r="Y117" s="117">
        <v>19.8</v>
      </c>
      <c r="Z117" s="117">
        <v>29.2</v>
      </c>
      <c r="AA117" s="117">
        <v>38.6</v>
      </c>
      <c r="AB117" s="117">
        <v>32.299999999999997</v>
      </c>
      <c r="AC117" s="117">
        <v>33.1</v>
      </c>
      <c r="AD117" s="117">
        <v>33.299999999999997</v>
      </c>
      <c r="AE117" s="117">
        <v>39.700000000000003</v>
      </c>
      <c r="AF117" s="117">
        <v>39.700000000000003</v>
      </c>
      <c r="AG117" s="119"/>
      <c r="AH117" s="47">
        <f t="shared" si="8"/>
        <v>57.1</v>
      </c>
      <c r="AI117" s="48">
        <f t="shared" si="9"/>
        <v>18</v>
      </c>
    </row>
    <row r="118" spans="1:37" x14ac:dyDescent="0.25">
      <c r="A118" s="120" t="s">
        <v>124</v>
      </c>
      <c r="B118" s="106">
        <v>-17</v>
      </c>
      <c r="C118" s="106">
        <v>-18.5</v>
      </c>
      <c r="D118" s="106">
        <v>-14.8</v>
      </c>
      <c r="E118" s="106">
        <v>-12.7</v>
      </c>
      <c r="F118" s="106">
        <v>-6.5</v>
      </c>
      <c r="G118" s="106">
        <v>-1</v>
      </c>
      <c r="H118" s="106">
        <v>-9.1</v>
      </c>
      <c r="I118" s="106">
        <v>-11.2</v>
      </c>
      <c r="J118" s="106">
        <v>-15.4</v>
      </c>
      <c r="K118" s="106">
        <v>-19.100000000000001</v>
      </c>
      <c r="L118" s="106">
        <v>22.7</v>
      </c>
      <c r="M118" s="106">
        <v>-20.9</v>
      </c>
      <c r="N118" s="106">
        <v>-24.4</v>
      </c>
      <c r="O118" s="106">
        <v>-25.5</v>
      </c>
      <c r="P118" s="106">
        <v>-25.3</v>
      </c>
      <c r="Q118" s="106">
        <v>-27.9</v>
      </c>
      <c r="R118" s="106">
        <v>-23.6</v>
      </c>
      <c r="S118" s="106">
        <v>-30.2</v>
      </c>
      <c r="T118" s="106">
        <v>-25</v>
      </c>
      <c r="U118" s="106">
        <v>-24</v>
      </c>
      <c r="V118" s="106">
        <v>-27.8</v>
      </c>
      <c r="W118" s="106">
        <v>-31</v>
      </c>
      <c r="X118" s="106">
        <v>-31</v>
      </c>
      <c r="Y118" s="106">
        <v>-34.200000000000003</v>
      </c>
      <c r="Z118" s="106">
        <v>-39.200000000000003</v>
      </c>
      <c r="AA118" s="106">
        <v>-43.1</v>
      </c>
      <c r="AB118" s="106">
        <v>-41.1</v>
      </c>
      <c r="AC118" s="106">
        <v>-44.1</v>
      </c>
      <c r="AD118" s="106">
        <v>-43.8</v>
      </c>
      <c r="AE118" s="106">
        <v>-33.4</v>
      </c>
      <c r="AF118" s="106">
        <v>-33.4</v>
      </c>
      <c r="AG118" s="119"/>
      <c r="AH118" s="47">
        <f t="shared" si="8"/>
        <v>22.7</v>
      </c>
      <c r="AI118" s="48">
        <f t="shared" si="9"/>
        <v>-44.1</v>
      </c>
    </row>
    <row r="119" spans="1:37" x14ac:dyDescent="0.25">
      <c r="A119" s="175" t="s">
        <v>265</v>
      </c>
      <c r="B119" s="106">
        <v>113.3</v>
      </c>
      <c r="C119" s="106">
        <v>98.1</v>
      </c>
      <c r="D119" s="106">
        <v>91.6</v>
      </c>
      <c r="E119" s="106">
        <v>103</v>
      </c>
      <c r="F119" s="106">
        <v>98</v>
      </c>
      <c r="G119" s="106">
        <v>71.3</v>
      </c>
      <c r="H119" s="106">
        <v>45.6</v>
      </c>
      <c r="I119" s="106">
        <v>79.8</v>
      </c>
      <c r="J119" s="106">
        <v>71.099999999999994</v>
      </c>
      <c r="K119" s="106">
        <v>63.3</v>
      </c>
      <c r="L119" s="106">
        <v>55</v>
      </c>
      <c r="M119" s="106">
        <v>59.1</v>
      </c>
      <c r="N119" s="106">
        <v>91.9</v>
      </c>
      <c r="O119" s="106">
        <v>76.400000000000006</v>
      </c>
      <c r="P119" s="106">
        <v>88</v>
      </c>
      <c r="Q119" s="106">
        <v>87</v>
      </c>
      <c r="R119" s="106">
        <v>85.5</v>
      </c>
      <c r="S119" s="106">
        <v>70.099999999999994</v>
      </c>
      <c r="T119" s="106">
        <v>48.9</v>
      </c>
      <c r="U119" s="106">
        <v>81</v>
      </c>
      <c r="V119" s="106">
        <v>41</v>
      </c>
      <c r="W119" s="106">
        <v>36.299999999999997</v>
      </c>
      <c r="X119" s="106">
        <v>42.6</v>
      </c>
      <c r="Y119" s="106">
        <v>47.1</v>
      </c>
      <c r="Z119" s="106">
        <v>31.2</v>
      </c>
      <c r="AA119" s="106">
        <v>31</v>
      </c>
      <c r="AB119" s="106">
        <v>63.2</v>
      </c>
      <c r="AC119" s="106">
        <v>54</v>
      </c>
      <c r="AD119" s="106">
        <v>76.599999999999994</v>
      </c>
      <c r="AE119" s="106">
        <v>94.3</v>
      </c>
      <c r="AF119" s="106">
        <v>94.3</v>
      </c>
      <c r="AG119" s="119"/>
      <c r="AH119" s="47">
        <f t="shared" si="8"/>
        <v>113.3</v>
      </c>
      <c r="AI119" s="48">
        <f t="shared" si="9"/>
        <v>31</v>
      </c>
    </row>
    <row r="120" spans="1:37" ht="15.75" thickBot="1" x14ac:dyDescent="0.3">
      <c r="A120" s="120" t="s">
        <v>125</v>
      </c>
      <c r="B120" s="106">
        <v>114.5</v>
      </c>
      <c r="C120" s="106">
        <v>114.3</v>
      </c>
      <c r="D120" s="106">
        <v>112</v>
      </c>
      <c r="E120" s="106">
        <v>89.4</v>
      </c>
      <c r="F120" s="106">
        <v>110.3</v>
      </c>
      <c r="G120" s="106">
        <v>87.9</v>
      </c>
      <c r="H120" s="106">
        <v>94</v>
      </c>
      <c r="I120" s="106">
        <v>98.4</v>
      </c>
      <c r="J120" s="106">
        <v>98</v>
      </c>
      <c r="K120" s="106">
        <v>107.8</v>
      </c>
      <c r="L120" s="106">
        <v>97.2</v>
      </c>
      <c r="M120" s="106">
        <v>103.1</v>
      </c>
      <c r="N120" s="106">
        <v>97</v>
      </c>
      <c r="O120" s="106">
        <v>100.8</v>
      </c>
      <c r="P120" s="106">
        <v>98.6</v>
      </c>
      <c r="Q120" s="106">
        <v>88.8</v>
      </c>
      <c r="R120" s="106">
        <v>82.6</v>
      </c>
      <c r="S120" s="106">
        <v>106.6</v>
      </c>
      <c r="T120" s="106">
        <v>103.6</v>
      </c>
      <c r="U120" s="106">
        <v>105</v>
      </c>
      <c r="V120" s="106">
        <v>101.3</v>
      </c>
      <c r="W120" s="106">
        <v>101.6</v>
      </c>
      <c r="X120" s="106">
        <v>92.2</v>
      </c>
      <c r="Y120" s="106">
        <v>101.8</v>
      </c>
      <c r="Z120" s="106">
        <v>113.6</v>
      </c>
      <c r="AA120" s="106">
        <v>111</v>
      </c>
      <c r="AB120" s="106">
        <v>107.2</v>
      </c>
      <c r="AC120" s="106">
        <v>110.3</v>
      </c>
      <c r="AD120" s="106">
        <v>113.6</v>
      </c>
      <c r="AE120" s="106">
        <v>105</v>
      </c>
      <c r="AF120" s="106">
        <v>105</v>
      </c>
      <c r="AG120" s="119"/>
      <c r="AH120" s="47">
        <f t="shared" si="8"/>
        <v>114.5</v>
      </c>
      <c r="AI120" s="48">
        <f t="shared" si="9"/>
        <v>82.6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123.21900000000009</v>
      </c>
      <c r="N231" s="128">
        <f t="shared" ca="1" si="19"/>
        <v>123.21900000000009</v>
      </c>
      <c r="O231" s="128">
        <f t="shared" ca="1" si="19"/>
        <v>123.21900000000009</v>
      </c>
      <c r="P231" s="128">
        <f t="shared" ca="1" si="19"/>
        <v>107.13900000000005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121.23900000000009</v>
      </c>
      <c r="M235" s="136">
        <f t="shared" ca="1" si="20"/>
        <v>121.23900000000009</v>
      </c>
      <c r="N235" s="136">
        <f t="shared" ca="1" si="20"/>
        <v>121.23900000000009</v>
      </c>
      <c r="O235" s="136">
        <f t="shared" ca="1" si="20"/>
        <v>125.2590000000001</v>
      </c>
      <c r="P235" s="136">
        <f t="shared" ca="1" si="20"/>
        <v>105.15900000000005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1738.8400000000001</v>
      </c>
      <c r="C244" s="161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17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2080/02/17)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2080/02/17)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1593.34</v>
      </c>
      <c r="U249" s="170">
        <f t="shared" si="21"/>
        <v>1547.0400000000002</v>
      </c>
      <c r="V249" s="170">
        <f t="shared" si="21"/>
        <v>1576.24</v>
      </c>
      <c r="W249" s="170">
        <f t="shared" si="21"/>
        <v>1550.34</v>
      </c>
      <c r="X249" s="170">
        <f t="shared" si="21"/>
        <v>1517.24</v>
      </c>
      <c r="Y249" s="170">
        <f t="shared" si="21"/>
        <v>1526.74</v>
      </c>
      <c r="Z249" s="170">
        <f t="shared" si="21"/>
        <v>1494.44</v>
      </c>
      <c r="AA249" s="170">
        <f t="shared" si="21"/>
        <v>1533.04</v>
      </c>
      <c r="AB249" s="170">
        <f t="shared" si="21"/>
        <v>1576.74</v>
      </c>
      <c r="AC249" s="170">
        <f t="shared" si="21"/>
        <v>1644.54</v>
      </c>
      <c r="AD249" s="170">
        <f t="shared" si="21"/>
        <v>1691.94</v>
      </c>
      <c r="AE249" s="170">
        <f t="shared" si="21"/>
        <v>1738.8400000000001</v>
      </c>
      <c r="AF249" s="170">
        <f t="shared" si="21"/>
        <v>1687.54</v>
      </c>
      <c r="AG249" s="170">
        <f t="shared" si="21"/>
        <v>1709.64</v>
      </c>
      <c r="AH249" s="170">
        <f t="shared" si="21"/>
        <v>1791.44</v>
      </c>
      <c r="AI249" s="170">
        <f t="shared" si="21"/>
        <v>1762.34</v>
      </c>
      <c r="AJ249" s="170">
        <f t="shared" si="21"/>
        <v>1782.54</v>
      </c>
      <c r="AK249" s="170">
        <f t="shared" si="21"/>
        <v>1796.74</v>
      </c>
      <c r="AL249" s="170">
        <f t="shared" si="21"/>
        <v>1751.74</v>
      </c>
      <c r="AM249" s="170">
        <f t="shared" si="21"/>
        <v>1802.3400000000001</v>
      </c>
      <c r="AN249" s="170">
        <f t="shared" si="21"/>
        <v>1745.04</v>
      </c>
      <c r="AO249" s="170">
        <f t="shared" si="21"/>
        <v>1728.24</v>
      </c>
      <c r="AP249" s="170">
        <f t="shared" si="21"/>
        <v>1843.74</v>
      </c>
      <c r="AQ249" s="170">
        <f t="shared" si="21"/>
        <v>1823.54</v>
      </c>
      <c r="AR249" s="170">
        <f t="shared" si="21"/>
        <v>1884.74</v>
      </c>
      <c r="AS249" s="170">
        <f t="shared" si="21"/>
        <v>2021.14</v>
      </c>
      <c r="AT249" s="170">
        <f t="shared" si="21"/>
        <v>2019.84</v>
      </c>
      <c r="AU249" s="170">
        <f t="shared" si="21"/>
        <v>1990.44</v>
      </c>
      <c r="AV249" s="170">
        <f t="shared" si="21"/>
        <v>2021.74</v>
      </c>
      <c r="AW249" s="170">
        <f t="shared" si="21"/>
        <v>1880.1399999999999</v>
      </c>
      <c r="AX249" s="170">
        <f t="shared" si="21"/>
        <v>1768.2399999999998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67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671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N12:AF12 N14:AF17 D111:AF111 D113:AF119">
    <cfRule type="expression" dxfId="7403" priority="667">
      <formula>B$9&gt;=20/24</formula>
    </cfRule>
    <cfRule type="expression" dxfId="7402" priority="668">
      <formula>AND(B$9&gt;=14/24,B$9&lt;20/24)</formula>
    </cfRule>
    <cfRule type="expression" dxfId="7401" priority="669">
      <formula>AND(B$9&gt;=8/24,B$9&lt;14/24)</formula>
    </cfRule>
    <cfRule type="expression" dxfId="7400" priority="670">
      <formula>B$9&lt;8/24</formula>
    </cfRule>
  </conditionalFormatting>
  <conditionalFormatting sqref="AL4:AL6">
    <cfRule type="iconSet" priority="666">
      <iconSet iconSet="3TrafficLights2" reverse="1">
        <cfvo type="percent" val="0"/>
        <cfvo type="num" val="1"/>
        <cfvo type="num" val="1"/>
      </iconSet>
    </cfRule>
  </conditionalFormatting>
  <conditionalFormatting sqref="AG67 N12:AF12 N14:AF17">
    <cfRule type="expression" dxfId="7399" priority="665">
      <formula>N12&gt;$AG12</formula>
    </cfRule>
  </conditionalFormatting>
  <conditionalFormatting sqref="A101:A111 A61:A88 A97:A99 A205:A235 A48:A59 A121:A192 A43:A44 A93:A95 A90:A91 A113:A115 A40:A41 A21:A22 A24:A34 A19 A36:A38 A12:A17">
    <cfRule type="expression" dxfId="7398" priority="664">
      <formula>$AH12=0</formula>
    </cfRule>
  </conditionalFormatting>
  <conditionalFormatting sqref="A116">
    <cfRule type="expression" dxfId="7397" priority="663">
      <formula>$AH116=0</formula>
    </cfRule>
  </conditionalFormatting>
  <conditionalFormatting sqref="AL44">
    <cfRule type="iconSet" priority="662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7396" priority="661">
      <formula>$AH47=0</formula>
    </cfRule>
  </conditionalFormatting>
  <conditionalFormatting sqref="A100">
    <cfRule type="expression" dxfId="7395" priority="660">
      <formula>$AH100=0</formula>
    </cfRule>
  </conditionalFormatting>
  <conditionalFormatting sqref="A20">
    <cfRule type="expression" dxfId="7394" priority="659">
      <formula>$AH20=0</formula>
    </cfRule>
  </conditionalFormatting>
  <conditionalFormatting sqref="A199:A204">
    <cfRule type="expression" dxfId="7393" priority="658">
      <formula>$AH199=0</formula>
    </cfRule>
  </conditionalFormatting>
  <conditionalFormatting sqref="A193:A198">
    <cfRule type="expression" dxfId="7392" priority="657">
      <formula>$AH193=0</formula>
    </cfRule>
  </conditionalFormatting>
  <conditionalFormatting sqref="A60">
    <cfRule type="expression" dxfId="7391" priority="656">
      <formula>$AH60=0</formula>
    </cfRule>
  </conditionalFormatting>
  <conditionalFormatting sqref="A96">
    <cfRule type="expression" dxfId="7390" priority="655">
      <formula>$AH96=0</formula>
    </cfRule>
  </conditionalFormatting>
  <conditionalFormatting sqref="AD101:AF101 E101:Y101">
    <cfRule type="expression" dxfId="7389" priority="651">
      <formula>E$9&gt;=20/24</formula>
    </cfRule>
    <cfRule type="expression" dxfId="7388" priority="652">
      <formula>AND(E$9&gt;=14/24,E$9&lt;20/24)</formula>
    </cfRule>
    <cfRule type="expression" dxfId="7387" priority="653">
      <formula>AND(E$9&gt;=8/24,E$9&lt;14/24)</formula>
    </cfRule>
    <cfRule type="expression" dxfId="7386" priority="654">
      <formula>E$9&lt;8/24</formula>
    </cfRule>
  </conditionalFormatting>
  <conditionalFormatting sqref="AL45">
    <cfRule type="iconSet" priority="65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385" priority="673">
      <formula>C$9&gt;=20/24</formula>
    </cfRule>
    <cfRule type="expression" dxfId="7384" priority="674">
      <formula>AND(C$9&gt;=14/24,C$9&lt;20/24)</formula>
    </cfRule>
    <cfRule type="expression" dxfId="7383" priority="675">
      <formula>AND(C$9&gt;=8/24,C$9&lt;14/24)</formula>
    </cfRule>
    <cfRule type="expression" dxfId="7382" priority="676">
      <formula>C$9&lt;8/24</formula>
    </cfRule>
  </conditionalFormatting>
  <conditionalFormatting sqref="A236">
    <cfRule type="expression" dxfId="7381" priority="677">
      <formula>$AH236=0</formula>
    </cfRule>
  </conditionalFormatting>
  <conditionalFormatting sqref="AG248">
    <cfRule type="expression" dxfId="7380" priority="678">
      <formula>B$9&gt;=20/24</formula>
    </cfRule>
    <cfRule type="expression" dxfId="7379" priority="679">
      <formula>AND(B$9&gt;=14/24,B$9&lt;20/24)</formula>
    </cfRule>
    <cfRule type="expression" dxfId="7378" priority="680">
      <formula>AND(B$9&gt;=8/24,B$9&lt;14/24)</formula>
    </cfRule>
    <cfRule type="expression" dxfId="7377" priority="681">
      <formula>B$9&lt;8/24</formula>
    </cfRule>
  </conditionalFormatting>
  <conditionalFormatting sqref="S8">
    <cfRule type="expression" dxfId="7376" priority="646">
      <formula>U$9&gt;=20/24</formula>
    </cfRule>
    <cfRule type="expression" dxfId="7375" priority="647">
      <formula>AND(U$9&gt;=14/24,U$9&lt;20/24)</formula>
    </cfRule>
    <cfRule type="expression" dxfId="7374" priority="648">
      <formula>AND(U$9&gt;=8/24,U$9&lt;14/24)</formula>
    </cfRule>
    <cfRule type="expression" dxfId="7373" priority="649">
      <formula>U$9&lt;8/24</formula>
    </cfRule>
  </conditionalFormatting>
  <conditionalFormatting sqref="AB8">
    <cfRule type="expression" dxfId="7372" priority="642">
      <formula>AD$9&gt;=20/24</formula>
    </cfRule>
    <cfRule type="expression" dxfId="7371" priority="643">
      <formula>AND(AD$9&gt;=14/24,AD$9&lt;20/24)</formula>
    </cfRule>
    <cfRule type="expression" dxfId="7370" priority="644">
      <formula>AND(AD$9&gt;=8/24,AD$9&lt;14/24)</formula>
    </cfRule>
    <cfRule type="expression" dxfId="7369" priority="645">
      <formula>AD$9&lt;8/24</formula>
    </cfRule>
  </conditionalFormatting>
  <conditionalFormatting sqref="AH248:AX248">
    <cfRule type="expression" dxfId="7368" priority="682">
      <formula>AG$9&gt;=20/24</formula>
    </cfRule>
    <cfRule type="expression" dxfId="7367" priority="683">
      <formula>AND(AG$9&gt;=14/24,AG$9&lt;20/24)</formula>
    </cfRule>
    <cfRule type="expression" dxfId="7366" priority="684">
      <formula>AND(AG$9&gt;=8/24,AG$9&lt;14/24)</formula>
    </cfRule>
    <cfRule type="expression" dxfId="7365" priority="685">
      <formula>AG$9&lt;8/24</formula>
    </cfRule>
  </conditionalFormatting>
  <conditionalFormatting sqref="T248">
    <cfRule type="expression" dxfId="7364" priority="686">
      <formula>AX$9&gt;=20/24</formula>
    </cfRule>
    <cfRule type="expression" dxfId="7363" priority="687">
      <formula>AND(AX$9&gt;=14/24,AX$9&lt;20/24)</formula>
    </cfRule>
    <cfRule type="expression" dxfId="7362" priority="688">
      <formula>AND(AX$9&gt;=8/24,AX$9&lt;14/24)</formula>
    </cfRule>
    <cfRule type="expression" dxfId="7361" priority="689">
      <formula>AX$9&lt;8/24</formula>
    </cfRule>
  </conditionalFormatting>
  <conditionalFormatting sqref="A117:A119">
    <cfRule type="expression" dxfId="7360" priority="641">
      <formula>$AH117=0</formula>
    </cfRule>
  </conditionalFormatting>
  <conditionalFormatting sqref="AD56:AD57 AF73 M56:Q58 N59:Q59 R56:R59 S59:U59 E73:AD73">
    <cfRule type="expression" dxfId="7359" priority="637">
      <formula>E$9&gt;=20/24</formula>
    </cfRule>
    <cfRule type="expression" dxfId="7358" priority="638">
      <formula>AND(E$9&gt;=14/24,E$9&lt;20/24)</formula>
    </cfRule>
    <cfRule type="expression" dxfId="7357" priority="639">
      <formula>AND(E$9&gt;=8/24,E$9&lt;14/24)</formula>
    </cfRule>
    <cfRule type="expression" dxfId="7356" priority="640">
      <formula>E$9&lt;8/24</formula>
    </cfRule>
  </conditionalFormatting>
  <conditionalFormatting sqref="AD55 M55:R55">
    <cfRule type="expression" dxfId="7355" priority="633">
      <formula>M$9&gt;=20/24</formula>
    </cfRule>
    <cfRule type="expression" dxfId="7354" priority="634">
      <formula>AND(M$9&gt;=14/24,M$9&lt;20/24)</formula>
    </cfRule>
    <cfRule type="expression" dxfId="7353" priority="635">
      <formula>AND(M$9&gt;=8/24,M$9&lt;14/24)</formula>
    </cfRule>
    <cfRule type="expression" dxfId="7352" priority="636">
      <formula>M$9&lt;8/24</formula>
    </cfRule>
  </conditionalFormatting>
  <conditionalFormatting sqref="AD55:AD57 M55:Q58 N59:Q59 R55:R59 S59:U59">
    <cfRule type="expression" dxfId="7351" priority="632">
      <formula>M55&gt;$AG55</formula>
    </cfRule>
  </conditionalFormatting>
  <conditionalFormatting sqref="D88:AF88 X98:AF98 M102:Y106 AD74:AD76 AF74:AF75 AA69:AF71 N107:Y108 E74:AC75 X49:AF49 AE102:AF108">
    <cfRule type="expression" dxfId="7350" priority="628">
      <formula>D$9&gt;=20/24</formula>
    </cfRule>
    <cfRule type="expression" dxfId="7349" priority="629">
      <formula>AND(D$9&gt;=14/24,D$9&lt;20/24)</formula>
    </cfRule>
    <cfRule type="expression" dxfId="7348" priority="630">
      <formula>AND(D$9&gt;=8/24,D$9&lt;14/24)</formula>
    </cfRule>
    <cfRule type="expression" dxfId="7347" priority="631">
      <formula>D$9&lt;8/24</formula>
    </cfRule>
  </conditionalFormatting>
  <conditionalFormatting sqref="AA69:AF71 X49:AF49">
    <cfRule type="expression" dxfId="7346" priority="627">
      <formula>X49&gt;$AG49</formula>
    </cfRule>
  </conditionalFormatting>
  <conditionalFormatting sqref="S55:U58 V55:AC60 AD58:AF60">
    <cfRule type="expression" dxfId="7345" priority="623">
      <formula>S$9&gt;=20/24</formula>
    </cfRule>
    <cfRule type="expression" dxfId="7344" priority="624">
      <formula>AND(S$9&gt;=14/24,S$9&lt;20/24)</formula>
    </cfRule>
    <cfRule type="expression" dxfId="7343" priority="625">
      <formula>AND(S$9&gt;=8/24,S$9&lt;14/24)</formula>
    </cfRule>
    <cfRule type="expression" dxfId="7342" priority="626">
      <formula>S$9&lt;8/24</formula>
    </cfRule>
  </conditionalFormatting>
  <conditionalFormatting sqref="S55:U58 V55:AC60 AD58:AF60">
    <cfRule type="expression" dxfId="7341" priority="622">
      <formula>S55&gt;$AG55</formula>
    </cfRule>
  </conditionalFormatting>
  <conditionalFormatting sqref="C99:AF99 D90:AF90">
    <cfRule type="expression" dxfId="7340" priority="618">
      <formula>C$9&gt;=20/24</formula>
    </cfRule>
    <cfRule type="expression" dxfId="7339" priority="619">
      <formula>AND(C$9&gt;=14/24,C$9&lt;20/24)</formula>
    </cfRule>
    <cfRule type="expression" dxfId="7338" priority="620">
      <formula>AND(C$9&gt;=8/24,C$9&lt;14/24)</formula>
    </cfRule>
    <cfRule type="expression" dxfId="7337" priority="621">
      <formula>C$9&lt;8/24</formula>
    </cfRule>
  </conditionalFormatting>
  <conditionalFormatting sqref="T49:W49">
    <cfRule type="expression" dxfId="7336" priority="614">
      <formula>T$9&gt;=20/24</formula>
    </cfRule>
    <cfRule type="expression" dxfId="7335" priority="615">
      <formula>AND(T$9&gt;=14/24,T$9&lt;20/24)</formula>
    </cfRule>
    <cfRule type="expression" dxfId="7334" priority="616">
      <formula>AND(T$9&gt;=8/24,T$9&lt;14/24)</formula>
    </cfRule>
    <cfRule type="expression" dxfId="7333" priority="617">
      <formula>T$9&lt;8/24</formula>
    </cfRule>
  </conditionalFormatting>
  <conditionalFormatting sqref="T49:W49">
    <cfRule type="expression" dxfId="7332" priority="613">
      <formula>T49&gt;$AG49</formula>
    </cfRule>
  </conditionalFormatting>
  <conditionalFormatting sqref="E56:L57">
    <cfRule type="expression" dxfId="7331" priority="609">
      <formula>E$9&gt;=20/24</formula>
    </cfRule>
    <cfRule type="expression" dxfId="7330" priority="610">
      <formula>AND(E$9&gt;=14/24,E$9&lt;20/24)</formula>
    </cfRule>
    <cfRule type="expression" dxfId="7329" priority="611">
      <formula>AND(E$9&gt;=8/24,E$9&lt;14/24)</formula>
    </cfRule>
    <cfRule type="expression" dxfId="7328" priority="612">
      <formula>E$9&lt;8/24</formula>
    </cfRule>
  </conditionalFormatting>
  <conditionalFormatting sqref="E55:L55">
    <cfRule type="expression" dxfId="7327" priority="605">
      <formula>E$9&gt;=20/24</formula>
    </cfRule>
    <cfRule type="expression" dxfId="7326" priority="606">
      <formula>AND(E$9&gt;=14/24,E$9&lt;20/24)</formula>
    </cfRule>
    <cfRule type="expression" dxfId="7325" priority="607">
      <formula>AND(E$9&gt;=8/24,E$9&lt;14/24)</formula>
    </cfRule>
    <cfRule type="expression" dxfId="7324" priority="608">
      <formula>E$9&lt;8/24</formula>
    </cfRule>
  </conditionalFormatting>
  <conditionalFormatting sqref="E55:L57">
    <cfRule type="expression" dxfId="7323" priority="604">
      <formula>E55&gt;$AG55</formula>
    </cfRule>
  </conditionalFormatting>
  <conditionalFormatting sqref="AG72 AG89 E102:L108 M107:M108">
    <cfRule type="expression" dxfId="7322" priority="600">
      <formula>E$9&gt;=20/24</formula>
    </cfRule>
    <cfRule type="expression" dxfId="7321" priority="601">
      <formula>AND(E$9&gt;=14/24,E$9&lt;20/24)</formula>
    </cfRule>
    <cfRule type="expression" dxfId="7320" priority="602">
      <formula>AND(E$9&gt;=8/24,E$9&lt;14/24)</formula>
    </cfRule>
    <cfRule type="expression" dxfId="7319" priority="603">
      <formula>E$9&lt;8/24</formula>
    </cfRule>
  </conditionalFormatting>
  <conditionalFormatting sqref="AG50 AG68 AG72">
    <cfRule type="expression" dxfId="7318" priority="599">
      <formula>AG50&gt;$AG50</formula>
    </cfRule>
  </conditionalFormatting>
  <conditionalFormatting sqref="A45">
    <cfRule type="expression" dxfId="7317" priority="593">
      <formula>$AH45=0</formula>
    </cfRule>
  </conditionalFormatting>
  <conditionalFormatting sqref="X93:AF97">
    <cfRule type="expression" dxfId="7316" priority="589">
      <formula>X$9&gt;=20/24</formula>
    </cfRule>
    <cfRule type="expression" dxfId="7315" priority="590">
      <formula>AND(X$9&gt;=14/24,X$9&lt;20/24)</formula>
    </cfRule>
    <cfRule type="expression" dxfId="7314" priority="591">
      <formula>AND(X$9&gt;=8/24,X$9&lt;14/24)</formula>
    </cfRule>
    <cfRule type="expression" dxfId="7313" priority="592">
      <formula>X$9&lt;8/24</formula>
    </cfRule>
  </conditionalFormatting>
  <conditionalFormatting sqref="AL47 AL43 AL24:AL34 AL40:AL41 AL19:AL22 AL36:AL38 AL7:AL17">
    <cfRule type="iconSet" priority="690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7312" priority="585">
      <formula>E$9&gt;=20/24</formula>
    </cfRule>
    <cfRule type="expression" dxfId="7311" priority="586">
      <formula>AND(E$9&gt;=14/24,E$9&lt;20/24)</formula>
    </cfRule>
    <cfRule type="expression" dxfId="7310" priority="587">
      <formula>AND(E$9&gt;=8/24,E$9&lt;14/24)</formula>
    </cfRule>
    <cfRule type="expression" dxfId="7309" priority="588">
      <formula>E$9&lt;8/24</formula>
    </cfRule>
  </conditionalFormatting>
  <conditionalFormatting sqref="E51:AF53">
    <cfRule type="expression" dxfId="7308" priority="584">
      <formula>E51&gt;$AG51</formula>
    </cfRule>
  </conditionalFormatting>
  <conditionalFormatting sqref="AG54">
    <cfRule type="expression" dxfId="7307" priority="580">
      <formula>AG$9&gt;=20/24</formula>
    </cfRule>
    <cfRule type="expression" dxfId="7306" priority="581">
      <formula>AND(AG$9&gt;=14/24,AG$9&lt;20/24)</formula>
    </cfRule>
    <cfRule type="expression" dxfId="7305" priority="582">
      <formula>AND(AG$9&gt;=8/24,AG$9&lt;14/24)</formula>
    </cfRule>
    <cfRule type="expression" dxfId="7304" priority="583">
      <formula>AG$9&lt;8/24</formula>
    </cfRule>
  </conditionalFormatting>
  <conditionalFormatting sqref="AG54">
    <cfRule type="expression" dxfId="7303" priority="579">
      <formula>AG54&gt;$AG54</formula>
    </cfRule>
  </conditionalFormatting>
  <conditionalFormatting sqref="C109:AF109">
    <cfRule type="expression" dxfId="7302" priority="575">
      <formula>C$9&gt;=20/24</formula>
    </cfRule>
    <cfRule type="expression" dxfId="7301" priority="576">
      <formula>AND(C$9&gt;=14/24,C$9&lt;20/24)</formula>
    </cfRule>
    <cfRule type="expression" dxfId="7300" priority="577">
      <formula>AND(C$9&gt;=8/24,C$9&lt;14/24)</formula>
    </cfRule>
    <cfRule type="expression" dxfId="7299" priority="578">
      <formula>C$9&lt;8/24</formula>
    </cfRule>
  </conditionalFormatting>
  <conditionalFormatting sqref="AL42">
    <cfRule type="iconSet" priority="574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7298" priority="573">
      <formula>$AH42=0</formula>
    </cfRule>
  </conditionalFormatting>
  <conditionalFormatting sqref="A92">
    <cfRule type="expression" dxfId="7297" priority="571">
      <formula>$AH92=0</formula>
    </cfRule>
  </conditionalFormatting>
  <conditionalFormatting sqref="A89">
    <cfRule type="expression" dxfId="7296" priority="572">
      <formula>$AH89=0</formula>
    </cfRule>
  </conditionalFormatting>
  <conditionalFormatting sqref="D112:AF112">
    <cfRule type="expression" dxfId="7295" priority="567">
      <formula>D$9&gt;=20/24</formula>
    </cfRule>
    <cfRule type="expression" dxfId="7294" priority="568">
      <formula>AND(D$9&gt;=14/24,D$9&lt;20/24)</formula>
    </cfRule>
    <cfRule type="expression" dxfId="7293" priority="569">
      <formula>AND(D$9&gt;=8/24,D$9&lt;14/24)</formula>
    </cfRule>
    <cfRule type="expression" dxfId="7292" priority="570">
      <formula>D$9&lt;8/24</formula>
    </cfRule>
  </conditionalFormatting>
  <conditionalFormatting sqref="A112">
    <cfRule type="expression" dxfId="7291" priority="566">
      <formula>$AH112=0</formula>
    </cfRule>
  </conditionalFormatting>
  <conditionalFormatting sqref="A23">
    <cfRule type="expression" dxfId="7290" priority="564">
      <formula>$AH23=0</formula>
    </cfRule>
  </conditionalFormatting>
  <conditionalFormatting sqref="AL23">
    <cfRule type="iconSet" priority="565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7289" priority="562">
      <formula>$AH39=0</formula>
    </cfRule>
  </conditionalFormatting>
  <conditionalFormatting sqref="AL39">
    <cfRule type="iconSet" priority="563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7288" priority="558">
      <formula>Z$9&gt;=20/24</formula>
    </cfRule>
    <cfRule type="expression" dxfId="7287" priority="559">
      <formula>AND(Z$9&gt;=14/24,Z$9&lt;20/24)</formula>
    </cfRule>
    <cfRule type="expression" dxfId="7286" priority="560">
      <formula>AND(Z$9&gt;=8/24,Z$9&lt;14/24)</formula>
    </cfRule>
    <cfRule type="expression" dxfId="7285" priority="561">
      <formula>Z$9&lt;8/24</formula>
    </cfRule>
  </conditionalFormatting>
  <conditionalFormatting sqref="Z102:AD108">
    <cfRule type="expression" dxfId="7284" priority="554">
      <formula>Z$9&gt;=20/24</formula>
    </cfRule>
    <cfRule type="expression" dxfId="7283" priority="555">
      <formula>AND(Z$9&gt;=14/24,Z$9&lt;20/24)</formula>
    </cfRule>
    <cfRule type="expression" dxfId="7282" priority="556">
      <formula>AND(Z$9&gt;=8/24,Z$9&lt;14/24)</formula>
    </cfRule>
    <cfRule type="expression" dxfId="7281" priority="557">
      <formula>Z$9&lt;8/24</formula>
    </cfRule>
  </conditionalFormatting>
  <conditionalFormatting sqref="C111 C113:C119 AA19:AF30 AA36:AF45 AA32:AF34">
    <cfRule type="expression" dxfId="7280" priority="550">
      <formula>C$9&gt;=20/24</formula>
    </cfRule>
    <cfRule type="expression" dxfId="7279" priority="551">
      <formula>AND(C$9&gt;=14/24,C$9&lt;20/24)</formula>
    </cfRule>
    <cfRule type="expression" dxfId="7278" priority="552">
      <formula>AND(C$9&gt;=8/24,C$9&lt;14/24)</formula>
    </cfRule>
    <cfRule type="expression" dxfId="7277" priority="553">
      <formula>C$9&lt;8/24</formula>
    </cfRule>
  </conditionalFormatting>
  <conditionalFormatting sqref="F49:S49">
    <cfRule type="expression" dxfId="7276" priority="546">
      <formula>F$9&gt;=20/24</formula>
    </cfRule>
    <cfRule type="expression" dxfId="7275" priority="547">
      <formula>AND(F$9&gt;=14/24,F$9&lt;20/24)</formula>
    </cfRule>
    <cfRule type="expression" dxfId="7274" priority="548">
      <formula>AND(F$9&gt;=8/24,F$9&lt;14/24)</formula>
    </cfRule>
    <cfRule type="expression" dxfId="7273" priority="549">
      <formula>F$9&lt;8/24</formula>
    </cfRule>
  </conditionalFormatting>
  <conditionalFormatting sqref="F49:S49 AA19:AF30 AA36:AF45 AA32:AF34">
    <cfRule type="expression" dxfId="7272" priority="545">
      <formula>F19&gt;$AG19</formula>
    </cfRule>
  </conditionalFormatting>
  <conditionalFormatting sqref="C101:D101">
    <cfRule type="expression" dxfId="7271" priority="541">
      <formula>C$9&gt;=20/24</formula>
    </cfRule>
    <cfRule type="expression" dxfId="7270" priority="542">
      <formula>AND(C$9&gt;=14/24,C$9&lt;20/24)</formula>
    </cfRule>
    <cfRule type="expression" dxfId="7269" priority="543">
      <formula>AND(C$9&gt;=8/24,C$9&lt;14/24)</formula>
    </cfRule>
    <cfRule type="expression" dxfId="7268" priority="544">
      <formula>C$9&lt;8/24</formula>
    </cfRule>
  </conditionalFormatting>
  <conditionalFormatting sqref="C88 C98:W98 C85:AF87 D102:D108 E76:M77 B78:M78 AA76:AC76 H69:Z71 N76:Z78 AA77:AD78">
    <cfRule type="expression" dxfId="7267" priority="537">
      <formula>B$9&gt;=20/24</formula>
    </cfRule>
    <cfRule type="expression" dxfId="7266" priority="538">
      <formula>AND(B$9&gt;=14/24,B$9&lt;20/24)</formula>
    </cfRule>
    <cfRule type="expression" dxfId="7265" priority="539">
      <formula>AND(B$9&gt;=8/24,B$9&lt;14/24)</formula>
    </cfRule>
    <cfRule type="expression" dxfId="7264" priority="540">
      <formula>B$9&lt;8/24</formula>
    </cfRule>
  </conditionalFormatting>
  <conditionalFormatting sqref="E58:H58 H59 I58:L59 M59 H69:Z71">
    <cfRule type="expression" dxfId="7263" priority="536">
      <formula>E58&gt;$AG58</formula>
    </cfRule>
  </conditionalFormatting>
  <conditionalFormatting sqref="C73:D73">
    <cfRule type="expression" dxfId="7262" priority="478">
      <formula>C$9&gt;=20/24</formula>
    </cfRule>
    <cfRule type="expression" dxfId="7261" priority="479">
      <formula>AND(C$9&gt;=14/24,C$9&lt;20/24)</formula>
    </cfRule>
    <cfRule type="expression" dxfId="7260" priority="480">
      <formula>AND(C$9&gt;=8/24,C$9&lt;14/24)</formula>
    </cfRule>
    <cfRule type="expression" dxfId="7259" priority="481">
      <formula>C$9&lt;8/24</formula>
    </cfRule>
  </conditionalFormatting>
  <conditionalFormatting sqref="C89:AF89 C91:AF91 C100:AF100 C72:AF72">
    <cfRule type="expression" dxfId="7258" priority="532">
      <formula>C$9&gt;=20/24</formula>
    </cfRule>
    <cfRule type="expression" dxfId="7257" priority="533">
      <formula>AND(C$9&gt;=14/24,C$9&lt;20/24)</formula>
    </cfRule>
    <cfRule type="expression" dxfId="7256" priority="534">
      <formula>AND(C$9&gt;=8/24,C$9&lt;14/24)</formula>
    </cfRule>
    <cfRule type="expression" dxfId="7255" priority="535">
      <formula>C$9&lt;8/24</formula>
    </cfRule>
  </conditionalFormatting>
  <conditionalFormatting sqref="C72:AF72 E67:AF68">
    <cfRule type="expression" dxfId="7254" priority="531">
      <formula>C67&gt;$AG67</formula>
    </cfRule>
  </conditionalFormatting>
  <conditionalFormatting sqref="C84:AF84">
    <cfRule type="expression" dxfId="7253" priority="527">
      <formula>C$9&gt;=20/24</formula>
    </cfRule>
    <cfRule type="expression" dxfId="7252" priority="528">
      <formula>AND(C$9&gt;=14/24,C$9&lt;20/24)</formula>
    </cfRule>
    <cfRule type="expression" dxfId="7251" priority="529">
      <formula>AND(C$9&gt;=8/24,C$9&lt;14/24)</formula>
    </cfRule>
    <cfRule type="expression" dxfId="7250" priority="530">
      <formula>C$9&lt;8/24</formula>
    </cfRule>
  </conditionalFormatting>
  <conditionalFormatting sqref="C93:W97">
    <cfRule type="expression" dxfId="7249" priority="523">
      <formula>C$9&gt;=20/24</formula>
    </cfRule>
    <cfRule type="expression" dxfId="7248" priority="524">
      <formula>AND(C$9&gt;=14/24,C$9&lt;20/24)</formula>
    </cfRule>
    <cfRule type="expression" dxfId="7247" priority="525">
      <formula>AND(C$9&gt;=8/24,C$9&lt;14/24)</formula>
    </cfRule>
    <cfRule type="expression" dxfId="7246" priority="526">
      <formula>C$9&lt;8/24</formula>
    </cfRule>
  </conditionalFormatting>
  <conditionalFormatting sqref="E54:AF54">
    <cfRule type="expression" dxfId="7245" priority="519">
      <formula>E$9&gt;=20/24</formula>
    </cfRule>
    <cfRule type="expression" dxfId="7244" priority="520">
      <formula>AND(E$9&gt;=14/24,E$9&lt;20/24)</formula>
    </cfRule>
    <cfRule type="expression" dxfId="7243" priority="521">
      <formula>AND(E$9&gt;=8/24,E$9&lt;14/24)</formula>
    </cfRule>
    <cfRule type="expression" dxfId="7242" priority="522">
      <formula>E$9&lt;8/24</formula>
    </cfRule>
  </conditionalFormatting>
  <conditionalFormatting sqref="E54:AF54">
    <cfRule type="expression" dxfId="7241" priority="518">
      <formula>E54&gt;$AG54</formula>
    </cfRule>
  </conditionalFormatting>
  <conditionalFormatting sqref="C112">
    <cfRule type="expression" dxfId="7240" priority="510">
      <formula>C$9&gt;=20/24</formula>
    </cfRule>
    <cfRule type="expression" dxfId="7239" priority="511">
      <formula>AND(C$9&gt;=14/24,C$9&lt;20/24)</formula>
    </cfRule>
    <cfRule type="expression" dxfId="7238" priority="512">
      <formula>AND(C$9&gt;=8/24,C$9&lt;14/24)</formula>
    </cfRule>
    <cfRule type="expression" dxfId="7237" priority="513">
      <formula>C$9&lt;8/24</formula>
    </cfRule>
  </conditionalFormatting>
  <conditionalFormatting sqref="AA61:AF66">
    <cfRule type="expression" dxfId="7236" priority="506">
      <formula>AA$9&gt;=20/24</formula>
    </cfRule>
    <cfRule type="expression" dxfId="7235" priority="507">
      <formula>AND(AA$9&gt;=14/24,AA$9&lt;20/24)</formula>
    </cfRule>
    <cfRule type="expression" dxfId="7234" priority="508">
      <formula>AND(AA$9&gt;=8/24,AA$9&lt;14/24)</formula>
    </cfRule>
    <cfRule type="expression" dxfId="7233" priority="509">
      <formula>AA$9&lt;8/24</formula>
    </cfRule>
  </conditionalFormatting>
  <conditionalFormatting sqref="AA61:AF66">
    <cfRule type="expression" dxfId="7232" priority="505">
      <formula>AA61&gt;$AG61</formula>
    </cfRule>
  </conditionalFormatting>
  <conditionalFormatting sqref="AA47:AF47">
    <cfRule type="expression" dxfId="7231" priority="504">
      <formula>AA47&gt;$AG47</formula>
    </cfRule>
  </conditionalFormatting>
  <conditionalFormatting sqref="AA13:AF13">
    <cfRule type="expression" dxfId="7230" priority="500">
      <formula>AA$9&gt;=20/24</formula>
    </cfRule>
    <cfRule type="expression" dxfId="7229" priority="501">
      <formula>AND(AA$9&gt;=14/24,AA$9&lt;20/24)</formula>
    </cfRule>
    <cfRule type="expression" dxfId="7228" priority="502">
      <formula>AND(AA$9&gt;=8/24,AA$9&lt;14/24)</formula>
    </cfRule>
    <cfRule type="expression" dxfId="7227" priority="503">
      <formula>AA$9&lt;8/24</formula>
    </cfRule>
  </conditionalFormatting>
  <conditionalFormatting sqref="AA13:AF13">
    <cfRule type="expression" dxfId="7226" priority="499">
      <formula>AA13&gt;$AG13</formula>
    </cfRule>
  </conditionalFormatting>
  <conditionalFormatting sqref="AA47:AF47">
    <cfRule type="expression" dxfId="7225" priority="495">
      <formula>AA$9&gt;=20/24</formula>
    </cfRule>
    <cfRule type="expression" dxfId="7224" priority="496">
      <formula>AND(AA$9&gt;=14/24,AA$9&lt;20/24)</formula>
    </cfRule>
    <cfRule type="expression" dxfId="7223" priority="497">
      <formula>AND(AA$9&gt;=8/24,AA$9&lt;14/24)</formula>
    </cfRule>
    <cfRule type="expression" dxfId="7222" priority="498">
      <formula>AA$9&lt;8/24</formula>
    </cfRule>
  </conditionalFormatting>
  <conditionalFormatting sqref="E79:AD83">
    <cfRule type="expression" dxfId="7221" priority="491">
      <formula>E$9&gt;=20/24</formula>
    </cfRule>
    <cfRule type="expression" dxfId="7220" priority="492">
      <formula>AND(E$9&gt;=14/24,E$9&lt;20/24)</formula>
    </cfRule>
    <cfRule type="expression" dxfId="7219" priority="493">
      <formula>AND(E$9&gt;=8/24,E$9&lt;14/24)</formula>
    </cfRule>
    <cfRule type="expression" dxfId="7218" priority="494">
      <formula>E$9&lt;8/24</formula>
    </cfRule>
  </conditionalFormatting>
  <conditionalFormatting sqref="AL80:AN80 AL86:AN86 AN81:AN82">
    <cfRule type="expression" dxfId="7217" priority="487">
      <formula>AL$9&gt;=20/24</formula>
    </cfRule>
    <cfRule type="expression" dxfId="7216" priority="488">
      <formula>AND(AL$9&gt;=14/24,AL$9&lt;20/24)</formula>
    </cfRule>
    <cfRule type="expression" dxfId="7215" priority="489">
      <formula>AND(AL$9&gt;=8/24,AL$9&lt;14/24)</formula>
    </cfRule>
    <cfRule type="expression" dxfId="7214" priority="490">
      <formula>AL$9&lt;8/24</formula>
    </cfRule>
  </conditionalFormatting>
  <conditionalFormatting sqref="AN83:AN84">
    <cfRule type="expression" dxfId="7213" priority="483">
      <formula>AN$9&gt;=20/24</formula>
    </cfRule>
    <cfRule type="expression" dxfId="7212" priority="484">
      <formula>AND(AN$9&gt;=14/24,AN$9&lt;20/24)</formula>
    </cfRule>
    <cfRule type="expression" dxfId="7211" priority="485">
      <formula>AND(AN$9&gt;=8/24,AN$9&lt;14/24)</formula>
    </cfRule>
    <cfRule type="expression" dxfId="7210" priority="486">
      <formula>AN$9&lt;8/24</formula>
    </cfRule>
  </conditionalFormatting>
  <conditionalFormatting sqref="AL81:AM85">
    <cfRule type="expression" dxfId="7209" priority="691">
      <formula>AJ$9&gt;=20/24</formula>
    </cfRule>
    <cfRule type="expression" dxfId="7208" priority="692">
      <formula>AND(AJ$9&gt;=14/24,AJ$9&lt;20/24)</formula>
    </cfRule>
    <cfRule type="expression" dxfId="7207" priority="693">
      <formula>AND(AJ$9&gt;=8/24,AJ$9&lt;14/24)</formula>
    </cfRule>
    <cfRule type="expression" dxfId="7206" priority="694">
      <formula>AJ$9&lt;8/24</formula>
    </cfRule>
  </conditionalFormatting>
  <conditionalFormatting sqref="A120">
    <cfRule type="expression" dxfId="7205" priority="482">
      <formula>$AH120=0</formula>
    </cfRule>
  </conditionalFormatting>
  <conditionalFormatting sqref="C74:D76 C102:C108 D77">
    <cfRule type="expression" dxfId="7204" priority="469">
      <formula>C$9&gt;=20/24</formula>
    </cfRule>
    <cfRule type="expression" dxfId="7203" priority="470">
      <formula>AND(C$9&gt;=14/24,C$9&lt;20/24)</formula>
    </cfRule>
    <cfRule type="expression" dxfId="7202" priority="471">
      <formula>AND(C$9&gt;=8/24,C$9&lt;14/24)</formula>
    </cfRule>
    <cfRule type="expression" dxfId="7201" priority="472">
      <formula>C$9&lt;8/24</formula>
    </cfRule>
  </conditionalFormatting>
  <conditionalFormatting sqref="C90">
    <cfRule type="expression" dxfId="7200" priority="464">
      <formula>C$9&gt;=20/24</formula>
    </cfRule>
    <cfRule type="expression" dxfId="7199" priority="465">
      <formula>AND(C$9&gt;=14/24,C$9&lt;20/24)</formula>
    </cfRule>
    <cfRule type="expression" dxfId="7198" priority="466">
      <formula>AND(C$9&gt;=8/24,C$9&lt;14/24)</formula>
    </cfRule>
    <cfRule type="expression" dxfId="7197" priority="467">
      <formula>C$9&lt;8/24</formula>
    </cfRule>
  </conditionalFormatting>
  <conditionalFormatting sqref="AA48:AF48">
    <cfRule type="expression" dxfId="7196" priority="460">
      <formula>AA$9&gt;=20/24</formula>
    </cfRule>
    <cfRule type="expression" dxfId="7195" priority="461">
      <formula>AND(AA$9&gt;=14/24,AA$9&lt;20/24)</formula>
    </cfRule>
    <cfRule type="expression" dxfId="7194" priority="462">
      <formula>AND(AA$9&gt;=8/24,AA$9&lt;14/24)</formula>
    </cfRule>
    <cfRule type="expression" dxfId="7193" priority="463">
      <formula>AA$9&lt;8/24</formula>
    </cfRule>
  </conditionalFormatting>
  <conditionalFormatting sqref="AA48:AF48">
    <cfRule type="expression" dxfId="7192" priority="459">
      <formula>AA48&gt;$AG48</formula>
    </cfRule>
  </conditionalFormatting>
  <conditionalFormatting sqref="E60:U60">
    <cfRule type="expression" dxfId="7191" priority="455">
      <formula>E$9&gt;=20/24</formula>
    </cfRule>
    <cfRule type="expression" dxfId="7190" priority="456">
      <formula>AND(E$9&gt;=14/24,E$9&lt;20/24)</formula>
    </cfRule>
    <cfRule type="expression" dxfId="7189" priority="457">
      <formula>AND(E$9&gt;=8/24,E$9&lt;14/24)</formula>
    </cfRule>
    <cfRule type="expression" dxfId="7188" priority="458">
      <formula>E$9&lt;8/24</formula>
    </cfRule>
  </conditionalFormatting>
  <conditionalFormatting sqref="E60:U60">
    <cfRule type="expression" dxfId="7187" priority="454">
      <formula>E60&gt;$AG60</formula>
    </cfRule>
  </conditionalFormatting>
  <conditionalFormatting sqref="C69:G71">
    <cfRule type="expression" dxfId="7186" priority="384">
      <formula>C$9&gt;=20/24</formula>
    </cfRule>
    <cfRule type="expression" dxfId="7185" priority="385">
      <formula>AND(C$9&gt;=14/24,C$9&lt;20/24)</formula>
    </cfRule>
    <cfRule type="expression" dxfId="7184" priority="386">
      <formula>AND(C$9&gt;=8/24,C$9&lt;14/24)</formula>
    </cfRule>
    <cfRule type="expression" dxfId="7183" priority="387">
      <formula>C$9&lt;8/24</formula>
    </cfRule>
  </conditionalFormatting>
  <conditionalFormatting sqref="C60:D60">
    <cfRule type="expression" dxfId="7182" priority="375">
      <formula>C$9&gt;=20/24</formula>
    </cfRule>
    <cfRule type="expression" dxfId="7181" priority="376">
      <formula>AND(C$9&gt;=14/24,C$9&lt;20/24)</formula>
    </cfRule>
    <cfRule type="expression" dxfId="7180" priority="377">
      <formula>AND(C$9&gt;=8/24,C$9&lt;14/24)</formula>
    </cfRule>
    <cfRule type="expression" dxfId="7179" priority="378">
      <formula>C$9&lt;8/24</formula>
    </cfRule>
  </conditionalFormatting>
  <conditionalFormatting sqref="C77">
    <cfRule type="expression" dxfId="7178" priority="450">
      <formula>C$9&gt;=20/24</formula>
    </cfRule>
    <cfRule type="expression" dxfId="7177" priority="451">
      <formula>AND(C$9&gt;=14/24,C$9&lt;20/24)</formula>
    </cfRule>
    <cfRule type="expression" dxfId="7176" priority="452">
      <formula>AND(C$9&gt;=8/24,C$9&lt;14/24)</formula>
    </cfRule>
    <cfRule type="expression" dxfId="7175" priority="453">
      <formula>C$9&lt;8/24</formula>
    </cfRule>
  </conditionalFormatting>
  <conditionalFormatting sqref="E50:AF50">
    <cfRule type="expression" dxfId="7174" priority="449">
      <formula>E50&gt;$AG50</formula>
    </cfRule>
  </conditionalFormatting>
  <conditionalFormatting sqref="C79:D83">
    <cfRule type="expression" dxfId="7173" priority="440">
      <formula>C$9&gt;=20/24</formula>
    </cfRule>
    <cfRule type="expression" dxfId="7172" priority="441">
      <formula>AND(C$9&gt;=14/24,C$9&lt;20/24)</formula>
    </cfRule>
    <cfRule type="expression" dxfId="7171" priority="442">
      <formula>AND(C$9&gt;=8/24,C$9&lt;14/24)</formula>
    </cfRule>
    <cfRule type="expression" dxfId="7170" priority="443">
      <formula>C$9&lt;8/24</formula>
    </cfRule>
  </conditionalFormatting>
  <conditionalFormatting sqref="A11">
    <cfRule type="expression" dxfId="7169" priority="439">
      <formula>$AH11=0</formula>
    </cfRule>
  </conditionalFormatting>
  <conditionalFormatting sqref="AA11:AF11">
    <cfRule type="expression" dxfId="7168" priority="435">
      <formula>AA$9&gt;=20/24</formula>
    </cfRule>
    <cfRule type="expression" dxfId="7167" priority="436">
      <formula>AND(AA$9&gt;=14/24,AA$9&lt;20/24)</formula>
    </cfRule>
    <cfRule type="expression" dxfId="7166" priority="437">
      <formula>AND(AA$9&gt;=8/24,AA$9&lt;14/24)</formula>
    </cfRule>
    <cfRule type="expression" dxfId="7165" priority="438">
      <formula>AA$9&lt;8/24</formula>
    </cfRule>
  </conditionalFormatting>
  <conditionalFormatting sqref="AA11:AF11">
    <cfRule type="expression" dxfId="7164" priority="434">
      <formula>AA11&gt;$AG11</formula>
    </cfRule>
  </conditionalFormatting>
  <conditionalFormatting sqref="A18">
    <cfRule type="expression" dxfId="7163" priority="432">
      <formula>$AH18=0</formula>
    </cfRule>
  </conditionalFormatting>
  <conditionalFormatting sqref="AL18">
    <cfRule type="iconSet" priority="433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7162" priority="428">
      <formula>AA$9&gt;=20/24</formula>
    </cfRule>
    <cfRule type="expression" dxfId="7161" priority="429">
      <formula>AND(AA$9&gt;=14/24,AA$9&lt;20/24)</formula>
    </cfRule>
    <cfRule type="expression" dxfId="7160" priority="430">
      <formula>AND(AA$9&gt;=8/24,AA$9&lt;14/24)</formula>
    </cfRule>
    <cfRule type="expression" dxfId="7159" priority="431">
      <formula>AA$9&lt;8/24</formula>
    </cfRule>
  </conditionalFormatting>
  <conditionalFormatting sqref="AA18:AF18">
    <cfRule type="expression" dxfId="7158" priority="427">
      <formula>AA18&gt;$AG18</formula>
    </cfRule>
  </conditionalFormatting>
  <conditionalFormatting sqref="A35">
    <cfRule type="expression" dxfId="7157" priority="425">
      <formula>$AH35=0</formula>
    </cfRule>
  </conditionalFormatting>
  <conditionalFormatting sqref="AL35">
    <cfRule type="iconSet" priority="426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7156" priority="421">
      <formula>AA$9&gt;=20/24</formula>
    </cfRule>
    <cfRule type="expression" dxfId="7155" priority="422">
      <formula>AND(AA$9&gt;=14/24,AA$9&lt;20/24)</formula>
    </cfRule>
    <cfRule type="expression" dxfId="7154" priority="423">
      <formula>AND(AA$9&gt;=8/24,AA$9&lt;14/24)</formula>
    </cfRule>
    <cfRule type="expression" dxfId="7153" priority="424">
      <formula>AA$9&lt;8/24</formula>
    </cfRule>
  </conditionalFormatting>
  <conditionalFormatting sqref="AA35:AF35">
    <cfRule type="expression" dxfId="7152" priority="420">
      <formula>AA35&gt;$AG35</formula>
    </cfRule>
  </conditionalFormatting>
  <conditionalFormatting sqref="A46">
    <cfRule type="expression" dxfId="7151" priority="418">
      <formula>$AH46=0</formula>
    </cfRule>
  </conditionalFormatting>
  <conditionalFormatting sqref="AL46">
    <cfRule type="iconSet" priority="419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7150" priority="417">
      <formula>AA46&gt;$AG46</formula>
    </cfRule>
  </conditionalFormatting>
  <conditionalFormatting sqref="AA46:AF46">
    <cfRule type="expression" dxfId="7149" priority="413">
      <formula>AA$9&gt;=20/24</formula>
    </cfRule>
    <cfRule type="expression" dxfId="7148" priority="414">
      <formula>AND(AA$9&gt;=14/24,AA$9&lt;20/24)</formula>
    </cfRule>
    <cfRule type="expression" dxfId="7147" priority="415">
      <formula>AND(AA$9&gt;=8/24,AA$9&lt;14/24)</formula>
    </cfRule>
    <cfRule type="expression" dxfId="7146" priority="416">
      <formula>AA$9&lt;8/24</formula>
    </cfRule>
  </conditionalFormatting>
  <conditionalFormatting sqref="D120:AF120">
    <cfRule type="expression" dxfId="7145" priority="409">
      <formula>D$9&gt;=20/24</formula>
    </cfRule>
    <cfRule type="expression" dxfId="7144" priority="410">
      <formula>AND(D$9&gt;=14/24,D$9&lt;20/24)</formula>
    </cfRule>
    <cfRule type="expression" dxfId="7143" priority="411">
      <formula>AND(D$9&gt;=8/24,D$9&lt;14/24)</formula>
    </cfRule>
    <cfRule type="expression" dxfId="7142" priority="412">
      <formula>D$9&lt;8/24</formula>
    </cfRule>
  </conditionalFormatting>
  <conditionalFormatting sqref="C120">
    <cfRule type="expression" dxfId="7141" priority="405">
      <formula>C$9&gt;=20/24</formula>
    </cfRule>
    <cfRule type="expression" dxfId="7140" priority="406">
      <formula>AND(C$9&gt;=14/24,C$9&lt;20/24)</formula>
    </cfRule>
    <cfRule type="expression" dxfId="7139" priority="407">
      <formula>AND(C$9&gt;=8/24,C$9&lt;14/24)</formula>
    </cfRule>
    <cfRule type="expression" dxfId="7138" priority="408">
      <formula>C$9&lt;8/24</formula>
    </cfRule>
  </conditionalFormatting>
  <conditionalFormatting sqref="C56:D58 C59:G59">
    <cfRule type="expression" dxfId="7137" priority="393">
      <formula>C$9&gt;=20/24</formula>
    </cfRule>
    <cfRule type="expression" dxfId="7136" priority="394">
      <formula>AND(C$9&gt;=14/24,C$9&lt;20/24)</formula>
    </cfRule>
    <cfRule type="expression" dxfId="7135" priority="395">
      <formula>AND(C$9&gt;=8/24,C$9&lt;14/24)</formula>
    </cfRule>
    <cfRule type="expression" dxfId="7134" priority="396">
      <formula>C$9&lt;8/24</formula>
    </cfRule>
  </conditionalFormatting>
  <conditionalFormatting sqref="C55:D55">
    <cfRule type="expression" dxfId="7133" priority="389">
      <formula>C$9&gt;=20/24</formula>
    </cfRule>
    <cfRule type="expression" dxfId="7132" priority="390">
      <formula>AND(C$9&gt;=14/24,C$9&lt;20/24)</formula>
    </cfRule>
    <cfRule type="expression" dxfId="7131" priority="391">
      <formula>AND(C$9&gt;=8/24,C$9&lt;14/24)</formula>
    </cfRule>
    <cfRule type="expression" dxfId="7130" priority="392">
      <formula>C$9&lt;8/24</formula>
    </cfRule>
  </conditionalFormatting>
  <conditionalFormatting sqref="C55:D58 C59:G59">
    <cfRule type="expression" dxfId="7129" priority="388">
      <formula>C55&gt;$AG55</formula>
    </cfRule>
  </conditionalFormatting>
  <conditionalFormatting sqref="C69:G71">
    <cfRule type="expression" dxfId="7128" priority="383">
      <formula>C69&gt;$AG69</formula>
    </cfRule>
  </conditionalFormatting>
  <conditionalFormatting sqref="C60:D60">
    <cfRule type="expression" dxfId="7127" priority="374">
      <formula>C60&gt;$AG60</formula>
    </cfRule>
  </conditionalFormatting>
  <conditionalFormatting sqref="N19:Z22 G44:Z45 AA31:AF31">
    <cfRule type="expression" dxfId="7126" priority="353">
      <formula>G$9&gt;=20/24</formula>
    </cfRule>
    <cfRule type="expression" dxfId="7125" priority="354">
      <formula>AND(G$9&gt;=14/24,G$9&lt;20/24)</formula>
    </cfRule>
    <cfRule type="expression" dxfId="7124" priority="355">
      <formula>AND(G$9&gt;=8/24,G$9&lt;14/24)</formula>
    </cfRule>
    <cfRule type="expression" dxfId="7123" priority="356">
      <formula>G$9&lt;8/24</formula>
    </cfRule>
  </conditionalFormatting>
  <conditionalFormatting sqref="N19:Z22 G44:Z45 AA31:AF31">
    <cfRule type="expression" dxfId="7122" priority="352">
      <formula>G19&gt;$AG19</formula>
    </cfRule>
  </conditionalFormatting>
  <conditionalFormatting sqref="C67:D68">
    <cfRule type="expression" dxfId="7121" priority="343">
      <formula>C67&gt;$AG67</formula>
    </cfRule>
  </conditionalFormatting>
  <conditionalFormatting sqref="C54:D54">
    <cfRule type="expression" dxfId="7120" priority="335">
      <formula>C$9&gt;=20/24</formula>
    </cfRule>
    <cfRule type="expression" dxfId="7119" priority="336">
      <formula>AND(C$9&gt;=14/24,C$9&lt;20/24)</formula>
    </cfRule>
    <cfRule type="expression" dxfId="7118" priority="337">
      <formula>AND(C$9&gt;=8/24,C$9&lt;14/24)</formula>
    </cfRule>
    <cfRule type="expression" dxfId="7117" priority="338">
      <formula>C$9&lt;8/24</formula>
    </cfRule>
  </conditionalFormatting>
  <conditionalFormatting sqref="C54:D54">
    <cfRule type="expression" dxfId="7116" priority="334">
      <formula>C54&gt;$AG54</formula>
    </cfRule>
  </conditionalFormatting>
  <conditionalFormatting sqref="C61:Z66">
    <cfRule type="expression" dxfId="7115" priority="326">
      <formula>C$9&gt;=20/24</formula>
    </cfRule>
    <cfRule type="expression" dxfId="7114" priority="327">
      <formula>AND(C$9&gt;=14/24,C$9&lt;20/24)</formula>
    </cfRule>
    <cfRule type="expression" dxfId="7113" priority="328">
      <formula>AND(C$9&gt;=8/24,C$9&lt;14/24)</formula>
    </cfRule>
    <cfRule type="expression" dxfId="7112" priority="329">
      <formula>C$9&lt;8/24</formula>
    </cfRule>
  </conditionalFormatting>
  <conditionalFormatting sqref="C61:Z66">
    <cfRule type="expression" dxfId="7111" priority="325">
      <formula>C61&gt;$AG61</formula>
    </cfRule>
  </conditionalFormatting>
  <conditionalFormatting sqref="G47:Z47">
    <cfRule type="expression" dxfId="7110" priority="324">
      <formula>G47&gt;$AG47</formula>
    </cfRule>
  </conditionalFormatting>
  <conditionalFormatting sqref="N13:Z13">
    <cfRule type="expression" dxfId="7109" priority="320">
      <formula>N$9&gt;=20/24</formula>
    </cfRule>
    <cfRule type="expression" dxfId="7108" priority="321">
      <formula>AND(N$9&gt;=14/24,N$9&lt;20/24)</formula>
    </cfRule>
    <cfRule type="expression" dxfId="7107" priority="322">
      <formula>AND(N$9&gt;=8/24,N$9&lt;14/24)</formula>
    </cfRule>
    <cfRule type="expression" dxfId="7106" priority="323">
      <formula>N$9&lt;8/24</formula>
    </cfRule>
  </conditionalFormatting>
  <conditionalFormatting sqref="N13:Z13">
    <cfRule type="expression" dxfId="7105" priority="319">
      <formula>N13&gt;$AG13</formula>
    </cfRule>
  </conditionalFormatting>
  <conditionalFormatting sqref="G47:Z47">
    <cfRule type="expression" dxfId="7104" priority="315">
      <formula>G$9&gt;=20/24</formula>
    </cfRule>
    <cfRule type="expression" dxfId="7103" priority="316">
      <formula>AND(G$9&gt;=14/24,G$9&lt;20/24)</formula>
    </cfRule>
    <cfRule type="expression" dxfId="7102" priority="317">
      <formula>AND(G$9&gt;=8/24,G$9&lt;14/24)</formula>
    </cfRule>
    <cfRule type="expression" dxfId="7101" priority="318">
      <formula>G$9&lt;8/24</formula>
    </cfRule>
  </conditionalFormatting>
  <conditionalFormatting sqref="G48:Z48">
    <cfRule type="expression" dxfId="7100" priority="311">
      <formula>G$9&gt;=20/24</formula>
    </cfRule>
    <cfRule type="expression" dxfId="7099" priority="312">
      <formula>AND(G$9&gt;=14/24,G$9&lt;20/24)</formula>
    </cfRule>
    <cfRule type="expression" dxfId="7098" priority="313">
      <formula>AND(G$9&gt;=8/24,G$9&lt;14/24)</formula>
    </cfRule>
    <cfRule type="expression" dxfId="7097" priority="314">
      <formula>G$9&lt;8/24</formula>
    </cfRule>
  </conditionalFormatting>
  <conditionalFormatting sqref="G48:Z48">
    <cfRule type="expression" dxfId="7096" priority="310">
      <formula>G48&gt;$AG48</formula>
    </cfRule>
  </conditionalFormatting>
  <conditionalFormatting sqref="N11:Z11">
    <cfRule type="expression" dxfId="7095" priority="305">
      <formula>N$9&gt;=20/24</formula>
    </cfRule>
    <cfRule type="expression" dxfId="7094" priority="306">
      <formula>AND(N$9&gt;=14/24,N$9&lt;20/24)</formula>
    </cfRule>
    <cfRule type="expression" dxfId="7093" priority="307">
      <formula>AND(N$9&gt;=8/24,N$9&lt;14/24)</formula>
    </cfRule>
    <cfRule type="expression" dxfId="7092" priority="308">
      <formula>N$9&lt;8/24</formula>
    </cfRule>
  </conditionalFormatting>
  <conditionalFormatting sqref="N11:Z11">
    <cfRule type="expression" dxfId="7091" priority="304">
      <formula>N11&gt;$AG11</formula>
    </cfRule>
  </conditionalFormatting>
  <conditionalFormatting sqref="G46:Z46">
    <cfRule type="expression" dxfId="7090" priority="293">
      <formula>G46&gt;$AG46</formula>
    </cfRule>
  </conditionalFormatting>
  <conditionalFormatting sqref="G46:Z46">
    <cfRule type="expression" dxfId="7089" priority="289">
      <formula>G$9&gt;=20/24</formula>
    </cfRule>
    <cfRule type="expression" dxfId="7088" priority="290">
      <formula>AND(G$9&gt;=14/24,G$9&lt;20/24)</formula>
    </cfRule>
    <cfRule type="expression" dxfId="7087" priority="291">
      <formula>AND(G$9&gt;=8/24,G$9&lt;14/24)</formula>
    </cfRule>
    <cfRule type="expression" dxfId="7086" priority="292">
      <formula>G$9&lt;8/24</formula>
    </cfRule>
  </conditionalFormatting>
  <conditionalFormatting sqref="AE55:AF57">
    <cfRule type="expression" dxfId="7085" priority="281">
      <formula>AE$9&gt;=20/24</formula>
    </cfRule>
    <cfRule type="expression" dxfId="7084" priority="282">
      <formula>AND(AE$9&gt;=14/24,AE$9&lt;20/24)</formula>
    </cfRule>
    <cfRule type="expression" dxfId="7083" priority="283">
      <formula>AND(AE$9&gt;=8/24,AE$9&lt;14/24)</formula>
    </cfRule>
    <cfRule type="expression" dxfId="7082" priority="284">
      <formula>AE$9&lt;8/24</formula>
    </cfRule>
  </conditionalFormatting>
  <conditionalFormatting sqref="AE55:AF57">
    <cfRule type="expression" dxfId="7081" priority="280">
      <formula>AE55&gt;$AG55</formula>
    </cfRule>
  </conditionalFormatting>
  <conditionalFormatting sqref="AE73">
    <cfRule type="expression" dxfId="7080" priority="271">
      <formula>AE$9&gt;=20/24</formula>
    </cfRule>
    <cfRule type="expression" dxfId="7079" priority="272">
      <formula>AND(AE$9&gt;=14/24,AE$9&lt;20/24)</formula>
    </cfRule>
    <cfRule type="expression" dxfId="7078" priority="273">
      <formula>AND(AE$9&gt;=8/24,AE$9&lt;14/24)</formula>
    </cfRule>
    <cfRule type="expression" dxfId="7077" priority="274">
      <formula>AE$9&lt;8/24</formula>
    </cfRule>
  </conditionalFormatting>
  <conditionalFormatting sqref="AE74:AE75">
    <cfRule type="expression" dxfId="7076" priority="267">
      <formula>AE$9&gt;=20/24</formula>
    </cfRule>
    <cfRule type="expression" dxfId="7075" priority="268">
      <formula>AND(AE$9&gt;=14/24,AE$9&lt;20/24)</formula>
    </cfRule>
    <cfRule type="expression" dxfId="7074" priority="269">
      <formula>AND(AE$9&gt;=8/24,AE$9&lt;14/24)</formula>
    </cfRule>
    <cfRule type="expression" dxfId="7073" priority="270">
      <formula>AE$9&lt;8/24</formula>
    </cfRule>
  </conditionalFormatting>
  <conditionalFormatting sqref="AE76:AF78">
    <cfRule type="expression" dxfId="7072" priority="263">
      <formula>AE$9&gt;=20/24</formula>
    </cfRule>
    <cfRule type="expression" dxfId="7071" priority="264">
      <formula>AND(AE$9&gt;=14/24,AE$9&lt;20/24)</formula>
    </cfRule>
    <cfRule type="expression" dxfId="7070" priority="265">
      <formula>AND(AE$9&gt;=8/24,AE$9&lt;14/24)</formula>
    </cfRule>
    <cfRule type="expression" dxfId="7069" priority="266">
      <formula>AE$9&lt;8/24</formula>
    </cfRule>
  </conditionalFormatting>
  <conditionalFormatting sqref="AE79:AF83">
    <cfRule type="expression" dxfId="7068" priority="259">
      <formula>AE$9&gt;=20/24</formula>
    </cfRule>
    <cfRule type="expression" dxfId="7067" priority="260">
      <formula>AND(AE$9&gt;=14/24,AE$9&lt;20/24)</formula>
    </cfRule>
    <cfRule type="expression" dxfId="7066" priority="261">
      <formula>AND(AE$9&gt;=8/24,AE$9&lt;14/24)</formula>
    </cfRule>
    <cfRule type="expression" dxfId="7065" priority="262">
      <formula>AE$9&lt;8/24</formula>
    </cfRule>
  </conditionalFormatting>
  <conditionalFormatting sqref="B111 B113:B119 B14:M17 B12:M12">
    <cfRule type="expression" dxfId="7064" priority="126">
      <formula>B$9&gt;=20/24</formula>
    </cfRule>
    <cfRule type="expression" dxfId="7063" priority="127">
      <formula>AND(B$9&gt;=14/24,B$9&lt;20/24)</formula>
    </cfRule>
    <cfRule type="expression" dxfId="7062" priority="128">
      <formula>AND(B$9&gt;=8/24,B$9&lt;14/24)</formula>
    </cfRule>
    <cfRule type="expression" dxfId="7061" priority="129">
      <formula>B$9&lt;8/24</formula>
    </cfRule>
  </conditionalFormatting>
  <conditionalFormatting sqref="B14:M17 B12:M12">
    <cfRule type="expression" dxfId="7060" priority="125">
      <formula>B12&gt;$AG12</formula>
    </cfRule>
  </conditionalFormatting>
  <conditionalFormatting sqref="B101">
    <cfRule type="expression" dxfId="7059" priority="121">
      <formula>B$9&gt;=20/24</formula>
    </cfRule>
    <cfRule type="expression" dxfId="7058" priority="122">
      <formula>AND(B$9&gt;=14/24,B$9&lt;20/24)</formula>
    </cfRule>
    <cfRule type="expression" dxfId="7057" priority="123">
      <formula>AND(B$9&gt;=8/24,B$9&lt;14/24)</formula>
    </cfRule>
    <cfRule type="expression" dxfId="7056" priority="124">
      <formula>B$9&lt;8/24</formula>
    </cfRule>
  </conditionalFormatting>
  <conditionalFormatting sqref="B73">
    <cfRule type="expression" dxfId="7055" priority="117">
      <formula>B$9&gt;=20/24</formula>
    </cfRule>
    <cfRule type="expression" dxfId="7054" priority="118">
      <formula>AND(B$9&gt;=14/24,B$9&lt;20/24)</formula>
    </cfRule>
    <cfRule type="expression" dxfId="7053" priority="119">
      <formula>AND(B$9&gt;=8/24,B$9&lt;14/24)</formula>
    </cfRule>
    <cfRule type="expression" dxfId="7052" priority="120">
      <formula>B$9&lt;8/24</formula>
    </cfRule>
  </conditionalFormatting>
  <conditionalFormatting sqref="B88 B98 B74:B76 B69:B71 B49:E49">
    <cfRule type="expression" dxfId="7051" priority="113">
      <formula>B$9&gt;=20/24</formula>
    </cfRule>
    <cfRule type="expression" dxfId="7050" priority="114">
      <formula>AND(B$9&gt;=14/24,B$9&lt;20/24)</formula>
    </cfRule>
    <cfRule type="expression" dxfId="7049" priority="115">
      <formula>AND(B$9&gt;=8/24,B$9&lt;14/24)</formula>
    </cfRule>
    <cfRule type="expression" dxfId="7048" priority="116">
      <formula>B$9&lt;8/24</formula>
    </cfRule>
  </conditionalFormatting>
  <conditionalFormatting sqref="B69:B71 B49:E49">
    <cfRule type="expression" dxfId="7047" priority="112">
      <formula>B49&gt;$AG49</formula>
    </cfRule>
  </conditionalFormatting>
  <conditionalFormatting sqref="B55:B60">
    <cfRule type="expression" dxfId="7046" priority="108">
      <formula>B$9&gt;=20/24</formula>
    </cfRule>
    <cfRule type="expression" dxfId="7045" priority="109">
      <formula>AND(B$9&gt;=14/24,B$9&lt;20/24)</formula>
    </cfRule>
    <cfRule type="expression" dxfId="7044" priority="110">
      <formula>AND(B$9&gt;=8/24,B$9&lt;14/24)</formula>
    </cfRule>
    <cfRule type="expression" dxfId="7043" priority="111">
      <formula>B$9&lt;8/24</formula>
    </cfRule>
  </conditionalFormatting>
  <conditionalFormatting sqref="B55:B60">
    <cfRule type="expression" dxfId="7042" priority="107">
      <formula>B55&gt;$AG55</formula>
    </cfRule>
  </conditionalFormatting>
  <conditionalFormatting sqref="B99 B90">
    <cfRule type="expression" dxfId="7041" priority="103">
      <formula>B$9&gt;=20/24</formula>
    </cfRule>
    <cfRule type="expression" dxfId="7040" priority="104">
      <formula>AND(B$9&gt;=14/24,B$9&lt;20/24)</formula>
    </cfRule>
    <cfRule type="expression" dxfId="7039" priority="105">
      <formula>AND(B$9&gt;=8/24,B$9&lt;14/24)</formula>
    </cfRule>
    <cfRule type="expression" dxfId="7038" priority="106">
      <formula>B$9&lt;8/24</formula>
    </cfRule>
  </conditionalFormatting>
  <conditionalFormatting sqref="B93:B97">
    <cfRule type="expression" dxfId="7037" priority="99">
      <formula>B$9&gt;=20/24</formula>
    </cfRule>
    <cfRule type="expression" dxfId="7036" priority="100">
      <formula>AND(B$9&gt;=14/24,B$9&lt;20/24)</formula>
    </cfRule>
    <cfRule type="expression" dxfId="7035" priority="101">
      <formula>AND(B$9&gt;=8/24,B$9&lt;14/24)</formula>
    </cfRule>
    <cfRule type="expression" dxfId="7034" priority="102">
      <formula>B$9&lt;8/24</formula>
    </cfRule>
  </conditionalFormatting>
  <conditionalFormatting sqref="B51:D53">
    <cfRule type="expression" dxfId="7033" priority="95">
      <formula>B$9&gt;=20/24</formula>
    </cfRule>
    <cfRule type="expression" dxfId="7032" priority="96">
      <formula>AND(B$9&gt;=14/24,B$9&lt;20/24)</formula>
    </cfRule>
    <cfRule type="expression" dxfId="7031" priority="97">
      <formula>AND(B$9&gt;=8/24,B$9&lt;14/24)</formula>
    </cfRule>
    <cfRule type="expression" dxfId="7030" priority="98">
      <formula>B$9&lt;8/24</formula>
    </cfRule>
  </conditionalFormatting>
  <conditionalFormatting sqref="B51:D53">
    <cfRule type="expression" dxfId="7029" priority="94">
      <formula>B51&gt;$AG51</formula>
    </cfRule>
  </conditionalFormatting>
  <conditionalFormatting sqref="B109">
    <cfRule type="expression" dxfId="7028" priority="90">
      <formula>B$9&gt;=20/24</formula>
    </cfRule>
    <cfRule type="expression" dxfId="7027" priority="91">
      <formula>AND(B$9&gt;=14/24,B$9&lt;20/24)</formula>
    </cfRule>
    <cfRule type="expression" dxfId="7026" priority="92">
      <formula>AND(B$9&gt;=8/24,B$9&lt;14/24)</formula>
    </cfRule>
    <cfRule type="expression" dxfId="7025" priority="93">
      <formula>B$9&lt;8/24</formula>
    </cfRule>
  </conditionalFormatting>
  <conditionalFormatting sqref="B112">
    <cfRule type="expression" dxfId="7024" priority="86">
      <formula>B$9&gt;=20/24</formula>
    </cfRule>
    <cfRule type="expression" dxfId="7023" priority="87">
      <formula>AND(B$9&gt;=14/24,B$9&lt;20/24)</formula>
    </cfRule>
    <cfRule type="expression" dxfId="7022" priority="88">
      <formula>AND(B$9&gt;=8/24,B$9&lt;14/24)</formula>
    </cfRule>
    <cfRule type="expression" dxfId="7021" priority="89">
      <formula>B$9&lt;8/24</formula>
    </cfRule>
  </conditionalFormatting>
  <conditionalFormatting sqref="B102:B108">
    <cfRule type="expression" dxfId="7020" priority="82">
      <formula>B$9&gt;=20/24</formula>
    </cfRule>
    <cfRule type="expression" dxfId="7019" priority="83">
      <formula>AND(B$9&gt;=14/24,B$9&lt;20/24)</formula>
    </cfRule>
    <cfRule type="expression" dxfId="7018" priority="84">
      <formula>AND(B$9&gt;=8/24,B$9&lt;14/24)</formula>
    </cfRule>
    <cfRule type="expression" dxfId="7017" priority="85">
      <formula>B$9&lt;8/24</formula>
    </cfRule>
  </conditionalFormatting>
  <conditionalFormatting sqref="B36:F45 B19:M30 G36:Z43 B32:Z34 N23:Z30">
    <cfRule type="expression" dxfId="7016" priority="78">
      <formula>B$9&gt;=20/24</formula>
    </cfRule>
    <cfRule type="expression" dxfId="7015" priority="79">
      <formula>AND(B$9&gt;=14/24,B$9&lt;20/24)</formula>
    </cfRule>
    <cfRule type="expression" dxfId="7014" priority="80">
      <formula>AND(B$9&gt;=8/24,B$9&lt;14/24)</formula>
    </cfRule>
    <cfRule type="expression" dxfId="7013" priority="81">
      <formula>B$9&lt;8/24</formula>
    </cfRule>
  </conditionalFormatting>
  <conditionalFormatting sqref="B36:F45 B19:M30 G36:Z43 B32:Z34 N23:Z30">
    <cfRule type="expression" dxfId="7012" priority="77">
      <formula>B19&gt;$AG19</formula>
    </cfRule>
  </conditionalFormatting>
  <conditionalFormatting sqref="B85:B87 B77">
    <cfRule type="expression" dxfId="7011" priority="73">
      <formula>B$9&gt;=20/24</formula>
    </cfRule>
    <cfRule type="expression" dxfId="7010" priority="74">
      <formula>AND(B$9&gt;=14/24,B$9&lt;20/24)</formula>
    </cfRule>
    <cfRule type="expression" dxfId="7009" priority="75">
      <formula>AND(B$9&gt;=8/24,B$9&lt;14/24)</formula>
    </cfRule>
    <cfRule type="expression" dxfId="7008" priority="76">
      <formula>B$9&lt;8/24</formula>
    </cfRule>
  </conditionalFormatting>
  <conditionalFormatting sqref="B89 B91 B100 B72">
    <cfRule type="expression" dxfId="7007" priority="69">
      <formula>B$9&gt;=20/24</formula>
    </cfRule>
    <cfRule type="expression" dxfId="7006" priority="70">
      <formula>AND(B$9&gt;=14/24,B$9&lt;20/24)</formula>
    </cfRule>
    <cfRule type="expression" dxfId="7005" priority="71">
      <formula>AND(B$9&gt;=8/24,B$9&lt;14/24)</formula>
    </cfRule>
    <cfRule type="expression" dxfId="7004" priority="72">
      <formula>B$9&lt;8/24</formula>
    </cfRule>
  </conditionalFormatting>
  <conditionalFormatting sqref="B72 B67:B68">
    <cfRule type="expression" dxfId="7003" priority="68">
      <formula>B67&gt;$AG67</formula>
    </cfRule>
  </conditionalFormatting>
  <conditionalFormatting sqref="B84">
    <cfRule type="expression" dxfId="7002" priority="64">
      <formula>B$9&gt;=20/24</formula>
    </cfRule>
    <cfRule type="expression" dxfId="7001" priority="65">
      <formula>AND(B$9&gt;=14/24,B$9&lt;20/24)</formula>
    </cfRule>
    <cfRule type="expression" dxfId="7000" priority="66">
      <formula>AND(B$9&gt;=8/24,B$9&lt;14/24)</formula>
    </cfRule>
    <cfRule type="expression" dxfId="6999" priority="67">
      <formula>B$9&lt;8/24</formula>
    </cfRule>
  </conditionalFormatting>
  <conditionalFormatting sqref="B54">
    <cfRule type="expression" dxfId="6998" priority="60">
      <formula>B$9&gt;=20/24</formula>
    </cfRule>
    <cfRule type="expression" dxfId="6997" priority="61">
      <formula>AND(B$9&gt;=14/24,B$9&lt;20/24)</formula>
    </cfRule>
    <cfRule type="expression" dxfId="6996" priority="62">
      <formula>AND(B$9&gt;=8/24,B$9&lt;14/24)</formula>
    </cfRule>
    <cfRule type="expression" dxfId="6995" priority="63">
      <formula>B$9&lt;8/24</formula>
    </cfRule>
  </conditionalFormatting>
  <conditionalFormatting sqref="B54">
    <cfRule type="expression" dxfId="6994" priority="59">
      <formula>B54&gt;$AG54</formula>
    </cfRule>
  </conditionalFormatting>
  <conditionalFormatting sqref="B61:B66">
    <cfRule type="expression" dxfId="6993" priority="51">
      <formula>B$9&gt;=20/24</formula>
    </cfRule>
    <cfRule type="expression" dxfId="6992" priority="52">
      <formula>AND(B$9&gt;=14/24,B$9&lt;20/24)</formula>
    </cfRule>
    <cfRule type="expression" dxfId="6991" priority="53">
      <formula>AND(B$9&gt;=8/24,B$9&lt;14/24)</formula>
    </cfRule>
    <cfRule type="expression" dxfId="6990" priority="54">
      <formula>B$9&lt;8/24</formula>
    </cfRule>
  </conditionalFormatting>
  <conditionalFormatting sqref="B61:B66">
    <cfRule type="expression" dxfId="6989" priority="50">
      <formula>B61&gt;$AG61</formula>
    </cfRule>
  </conditionalFormatting>
  <conditionalFormatting sqref="B47:F47">
    <cfRule type="expression" dxfId="6988" priority="49">
      <formula>B47&gt;$AG47</formula>
    </cfRule>
  </conditionalFormatting>
  <conditionalFormatting sqref="B13:M13">
    <cfRule type="expression" dxfId="6987" priority="45">
      <formula>B$9&gt;=20/24</formula>
    </cfRule>
    <cfRule type="expression" dxfId="6986" priority="46">
      <formula>AND(B$9&gt;=14/24,B$9&lt;20/24)</formula>
    </cfRule>
    <cfRule type="expression" dxfId="6985" priority="47">
      <formula>AND(B$9&gt;=8/24,B$9&lt;14/24)</formula>
    </cfRule>
    <cfRule type="expression" dxfId="6984" priority="48">
      <formula>B$9&lt;8/24</formula>
    </cfRule>
  </conditionalFormatting>
  <conditionalFormatting sqref="B13:M13">
    <cfRule type="expression" dxfId="6983" priority="44">
      <formula>B13&gt;$AG13</formula>
    </cfRule>
  </conditionalFormatting>
  <conditionalFormatting sqref="B47:F47">
    <cfRule type="expression" dxfId="6982" priority="40">
      <formula>B$9&gt;=20/24</formula>
    </cfRule>
    <cfRule type="expression" dxfId="6981" priority="41">
      <formula>AND(B$9&gt;=14/24,B$9&lt;20/24)</formula>
    </cfRule>
    <cfRule type="expression" dxfId="6980" priority="42">
      <formula>AND(B$9&gt;=8/24,B$9&lt;14/24)</formula>
    </cfRule>
    <cfRule type="expression" dxfId="6979" priority="43">
      <formula>B$9&lt;8/24</formula>
    </cfRule>
  </conditionalFormatting>
  <conditionalFormatting sqref="B79:B83">
    <cfRule type="expression" dxfId="6978" priority="36">
      <formula>B$9&gt;=20/24</formula>
    </cfRule>
    <cfRule type="expression" dxfId="6977" priority="37">
      <formula>AND(B$9&gt;=14/24,B$9&lt;20/24)</formula>
    </cfRule>
    <cfRule type="expression" dxfId="6976" priority="38">
      <formula>AND(B$9&gt;=8/24,B$9&lt;14/24)</formula>
    </cfRule>
    <cfRule type="expression" dxfId="6975" priority="39">
      <formula>B$9&lt;8/24</formula>
    </cfRule>
  </conditionalFormatting>
  <conditionalFormatting sqref="B48:F48">
    <cfRule type="expression" dxfId="6974" priority="32">
      <formula>B$9&gt;=20/24</formula>
    </cfRule>
    <cfRule type="expression" dxfId="6973" priority="33">
      <formula>AND(B$9&gt;=14/24,B$9&lt;20/24)</formula>
    </cfRule>
    <cfRule type="expression" dxfId="6972" priority="34">
      <formula>AND(B$9&gt;=8/24,B$9&lt;14/24)</formula>
    </cfRule>
    <cfRule type="expression" dxfId="6971" priority="35">
      <formula>B$9&lt;8/24</formula>
    </cfRule>
  </conditionalFormatting>
  <conditionalFormatting sqref="B48:F48">
    <cfRule type="expression" dxfId="6970" priority="31">
      <formula>B48&gt;$AG48</formula>
    </cfRule>
  </conditionalFormatting>
  <conditionalFormatting sqref="B50:D50">
    <cfRule type="expression" dxfId="6969" priority="30">
      <formula>B50&gt;$AG50</formula>
    </cfRule>
  </conditionalFormatting>
  <conditionalFormatting sqref="B11:M11">
    <cfRule type="expression" dxfId="6968" priority="26">
      <formula>B$9&gt;=20/24</formula>
    </cfRule>
    <cfRule type="expression" dxfId="6967" priority="27">
      <formula>AND(B$9&gt;=14/24,B$9&lt;20/24)</formula>
    </cfRule>
    <cfRule type="expression" dxfId="6966" priority="28">
      <formula>AND(B$9&gt;=8/24,B$9&lt;14/24)</formula>
    </cfRule>
    <cfRule type="expression" dxfId="6965" priority="29">
      <formula>B$9&lt;8/24</formula>
    </cfRule>
  </conditionalFormatting>
  <conditionalFormatting sqref="B11:M11">
    <cfRule type="expression" dxfId="6964" priority="25">
      <formula>B11&gt;$AG11</formula>
    </cfRule>
  </conditionalFormatting>
  <conditionalFormatting sqref="B18:Z18">
    <cfRule type="expression" dxfId="6963" priority="21">
      <formula>B$9&gt;=20/24</formula>
    </cfRule>
    <cfRule type="expression" dxfId="6962" priority="22">
      <formula>AND(B$9&gt;=14/24,B$9&lt;20/24)</formula>
    </cfRule>
    <cfRule type="expression" dxfId="6961" priority="23">
      <formula>AND(B$9&gt;=8/24,B$9&lt;14/24)</formula>
    </cfRule>
    <cfRule type="expression" dxfId="6960" priority="24">
      <formula>B$9&lt;8/24</formula>
    </cfRule>
  </conditionalFormatting>
  <conditionalFormatting sqref="B18:Z18">
    <cfRule type="expression" dxfId="6959" priority="20">
      <formula>B18&gt;$AG18</formula>
    </cfRule>
  </conditionalFormatting>
  <conditionalFormatting sqref="B35:Z35">
    <cfRule type="expression" dxfId="6958" priority="16">
      <formula>B$9&gt;=20/24</formula>
    </cfRule>
    <cfRule type="expression" dxfId="6957" priority="17">
      <formula>AND(B$9&gt;=14/24,B$9&lt;20/24)</formula>
    </cfRule>
    <cfRule type="expression" dxfId="6956" priority="18">
      <formula>AND(B$9&gt;=8/24,B$9&lt;14/24)</formula>
    </cfRule>
    <cfRule type="expression" dxfId="6955" priority="19">
      <formula>B$9&lt;8/24</formula>
    </cfRule>
  </conditionalFormatting>
  <conditionalFormatting sqref="B35:Z35">
    <cfRule type="expression" dxfId="6954" priority="15">
      <formula>B35&gt;$AG35</formula>
    </cfRule>
  </conditionalFormatting>
  <conditionalFormatting sqref="B46:F46">
    <cfRule type="expression" dxfId="6953" priority="14">
      <formula>B46&gt;$AG46</formula>
    </cfRule>
  </conditionalFormatting>
  <conditionalFormatting sqref="B46:F46">
    <cfRule type="expression" dxfId="6952" priority="10">
      <formula>B$9&gt;=20/24</formula>
    </cfRule>
    <cfRule type="expression" dxfId="6951" priority="11">
      <formula>AND(B$9&gt;=14/24,B$9&lt;20/24)</formula>
    </cfRule>
    <cfRule type="expression" dxfId="6950" priority="12">
      <formula>AND(B$9&gt;=8/24,B$9&lt;14/24)</formula>
    </cfRule>
    <cfRule type="expression" dxfId="6949" priority="13">
      <formula>B$9&lt;8/24</formula>
    </cfRule>
  </conditionalFormatting>
  <conditionalFormatting sqref="B120">
    <cfRule type="expression" dxfId="6948" priority="6">
      <formula>B$9&gt;=20/24</formula>
    </cfRule>
    <cfRule type="expression" dxfId="6947" priority="7">
      <formula>AND(B$9&gt;=14/24,B$9&lt;20/24)</formula>
    </cfRule>
    <cfRule type="expression" dxfId="6946" priority="8">
      <formula>AND(B$9&gt;=8/24,B$9&lt;14/24)</formula>
    </cfRule>
    <cfRule type="expression" dxfId="6945" priority="9">
      <formula>B$9&lt;8/24</formula>
    </cfRule>
  </conditionalFormatting>
  <conditionalFormatting sqref="B31:Z31">
    <cfRule type="expression" dxfId="6944" priority="2">
      <formula>B$9&gt;=20/24</formula>
    </cfRule>
    <cfRule type="expression" dxfId="6943" priority="3">
      <formula>AND(B$9&gt;=14/24,B$9&lt;20/24)</formula>
    </cfRule>
    <cfRule type="expression" dxfId="6942" priority="4">
      <formula>AND(B$9&gt;=8/24,B$9&lt;14/24)</formula>
    </cfRule>
    <cfRule type="expression" dxfId="6941" priority="5">
      <formula>B$9&lt;8/24</formula>
    </cfRule>
  </conditionalFormatting>
  <conditionalFormatting sqref="B31:Z31">
    <cfRule type="expression" dxfId="6940" priority="1">
      <formula>B31&gt;$AG31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4" id="{8D3FB372-A7F4-431A-A198-D04D743800F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15" id="{30C9EB7D-57AE-4528-AFB7-337DF7D3E23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6" id="{A3886C77-C525-4B06-B0A8-8EA092A216C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7" id="{0D7F6EC2-3C9B-4718-9F95-7713AE943C0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55" id="{19A6FA96-8D14-4319-B421-7E83107A790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C16FAF3B-EADD-41C1-866C-DC6667ED20B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C930B8E3-35E8-4FA1-B290-B1974639646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C068F41B-B25E-4F17-BF12-929D2166E47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CJ281"/>
  <sheetViews>
    <sheetView zoomScale="90" zoomScaleNormal="90" workbookViewId="0">
      <pane ySplit="10" topLeftCell="A11" activePane="bottomLeft" state="frozen"/>
      <selection activeCell="Z85" sqref="Z85"/>
      <selection pane="bottomLeft" activeCell="AF38" sqref="AF3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5" width="6.85546875" style="1" customWidth="1"/>
    <col min="26" max="26" width="9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2080/02/18</v>
      </c>
      <c r="C4" s="191"/>
      <c r="D4" s="191"/>
      <c r="E4" s="192" t="str">
        <f ca="1">"2079/"&amp;"12/"&amp;INT(MID(CELL("filename",G6),FIND("]",CELL("filename",G6))+1,200))</f>
        <v>2079/12/18</v>
      </c>
      <c r="F4" s="192"/>
      <c r="G4" s="192"/>
      <c r="H4" s="192" t="str">
        <f ca="1">TEXT(E4,"dddd")</f>
        <v>Monday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116.1</v>
      </c>
      <c r="C5" s="30">
        <f t="shared" si="0"/>
        <v>122.10000000000001</v>
      </c>
      <c r="D5" s="30">
        <f t="shared" si="0"/>
        <v>165.1</v>
      </c>
      <c r="E5" s="30">
        <f t="shared" si="0"/>
        <v>200.6</v>
      </c>
      <c r="F5" s="30">
        <f t="shared" si="0"/>
        <v>195.5</v>
      </c>
      <c r="G5" s="30">
        <f t="shared" si="0"/>
        <v>192.8</v>
      </c>
      <c r="H5" s="30">
        <f t="shared" si="0"/>
        <v>192.6</v>
      </c>
      <c r="I5" s="30">
        <f t="shared" si="0"/>
        <v>359.8</v>
      </c>
      <c r="J5" s="30">
        <f t="shared" si="0"/>
        <v>371.3</v>
      </c>
      <c r="K5" s="30">
        <f t="shared" si="0"/>
        <v>412.20000000000005</v>
      </c>
      <c r="L5" s="30">
        <f t="shared" si="0"/>
        <v>412.20000000000005</v>
      </c>
      <c r="M5" s="30">
        <f t="shared" si="0"/>
        <v>375.3</v>
      </c>
      <c r="N5" s="30">
        <f t="shared" si="0"/>
        <v>406.9</v>
      </c>
      <c r="O5" s="30">
        <f t="shared" si="0"/>
        <v>452.6</v>
      </c>
      <c r="P5" s="30">
        <f t="shared" si="0"/>
        <v>415.7</v>
      </c>
      <c r="Q5" s="30">
        <f t="shared" si="0"/>
        <v>402.4</v>
      </c>
      <c r="R5" s="30">
        <f t="shared" si="0"/>
        <v>412.3</v>
      </c>
      <c r="S5" s="30">
        <f t="shared" si="0"/>
        <v>430.20000000000005</v>
      </c>
      <c r="T5" s="30">
        <f t="shared" si="0"/>
        <v>412.8</v>
      </c>
      <c r="U5" s="30">
        <f>V84</f>
        <v>462.2</v>
      </c>
      <c r="V5" s="30">
        <f t="shared" si="0"/>
        <v>462.2</v>
      </c>
      <c r="W5" s="30">
        <f>X84</f>
        <v>454</v>
      </c>
      <c r="X5" s="30">
        <f t="shared" si="0"/>
        <v>389</v>
      </c>
      <c r="Y5" s="30">
        <f t="shared" si="0"/>
        <v>392</v>
      </c>
      <c r="Z5" s="30">
        <f t="shared" si="0"/>
        <v>123.8</v>
      </c>
      <c r="AA5" s="30">
        <f t="shared" si="0"/>
        <v>93</v>
      </c>
      <c r="AB5" s="30">
        <f t="shared" si="0"/>
        <v>88.7</v>
      </c>
      <c r="AC5" s="30">
        <f t="shared" si="0"/>
        <v>96.4</v>
      </c>
      <c r="AD5" s="30">
        <f t="shared" si="0"/>
        <v>144</v>
      </c>
      <c r="AE5" s="30">
        <f t="shared" si="0"/>
        <v>86</v>
      </c>
      <c r="AF5" s="30">
        <f>B84</f>
        <v>155.80000000000001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1805MW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Load=1567</v>
      </c>
      <c r="B7" s="35">
        <f t="shared" ref="B7:AF7" si="1">B91</f>
        <v>1673.84</v>
      </c>
      <c r="C7" s="35">
        <f t="shared" si="1"/>
        <v>1622.5399999999997</v>
      </c>
      <c r="D7" s="35">
        <f t="shared" si="1"/>
        <v>1614.4399999999998</v>
      </c>
      <c r="E7" s="35">
        <f t="shared" si="1"/>
        <v>1600.64</v>
      </c>
      <c r="F7" s="35">
        <f t="shared" si="1"/>
        <v>1620.74</v>
      </c>
      <c r="G7" s="35">
        <f t="shared" si="1"/>
        <v>1566.74</v>
      </c>
      <c r="H7" s="35">
        <f t="shared" si="1"/>
        <v>1600.44</v>
      </c>
      <c r="I7" s="35">
        <f t="shared" si="1"/>
        <v>1568.1399999999999</v>
      </c>
      <c r="J7" s="35">
        <f t="shared" si="1"/>
        <v>1697.84</v>
      </c>
      <c r="K7" s="35">
        <f t="shared" si="1"/>
        <v>1705.64</v>
      </c>
      <c r="L7" s="35">
        <f t="shared" si="1"/>
        <v>1805.44</v>
      </c>
      <c r="M7" s="35">
        <f t="shared" si="1"/>
        <v>1742.0400000000002</v>
      </c>
      <c r="N7" s="35">
        <f>N91</f>
        <v>1648.34</v>
      </c>
      <c r="O7" s="35">
        <f t="shared" si="1"/>
        <v>1742.54</v>
      </c>
      <c r="P7" s="35">
        <f t="shared" si="1"/>
        <v>1778.04</v>
      </c>
      <c r="Q7" s="35">
        <f t="shared" si="1"/>
        <v>1746.74</v>
      </c>
      <c r="R7" s="35">
        <f t="shared" si="1"/>
        <v>1809.8400000000001</v>
      </c>
      <c r="S7" s="35">
        <f t="shared" si="1"/>
        <v>1825.6399999999999</v>
      </c>
      <c r="T7" s="35">
        <f t="shared" si="1"/>
        <v>1817.3</v>
      </c>
      <c r="U7" s="35">
        <f t="shared" si="1"/>
        <v>1811.4399999999998</v>
      </c>
      <c r="V7" s="35">
        <f>V91</f>
        <v>1771.74</v>
      </c>
      <c r="W7" s="35">
        <f t="shared" si="1"/>
        <v>1760.24</v>
      </c>
      <c r="X7" s="35">
        <f>X91</f>
        <v>1680.54</v>
      </c>
      <c r="Y7" s="35">
        <f t="shared" si="1"/>
        <v>1640.84</v>
      </c>
      <c r="Z7" s="35">
        <f t="shared" si="1"/>
        <v>1800.84</v>
      </c>
      <c r="AA7" s="35">
        <f t="shared" si="1"/>
        <v>1965.94</v>
      </c>
      <c r="AB7" s="35">
        <f t="shared" si="1"/>
        <v>1881.8400000000001</v>
      </c>
      <c r="AC7" s="35">
        <f t="shared" si="1"/>
        <v>1871.34</v>
      </c>
      <c r="AD7" s="35">
        <f t="shared" si="1"/>
        <v>1689.3400000000001</v>
      </c>
      <c r="AE7" s="35">
        <f t="shared" si="1"/>
        <v>1742.4400000000003</v>
      </c>
      <c r="AF7" s="35">
        <f t="shared" si="1"/>
        <v>1659.4400000000003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36</v>
      </c>
      <c r="C11" s="45">
        <v>36</v>
      </c>
      <c r="D11" s="45">
        <v>36</v>
      </c>
      <c r="E11" s="45">
        <v>36</v>
      </c>
      <c r="F11" s="45">
        <v>36</v>
      </c>
      <c r="G11" s="45">
        <v>36</v>
      </c>
      <c r="H11" s="45">
        <v>36</v>
      </c>
      <c r="I11" s="45">
        <v>36</v>
      </c>
      <c r="J11" s="45">
        <v>36</v>
      </c>
      <c r="K11" s="45">
        <v>36</v>
      </c>
      <c r="L11" s="45">
        <v>36</v>
      </c>
      <c r="M11" s="45">
        <v>30</v>
      </c>
      <c r="N11" s="45">
        <v>30</v>
      </c>
      <c r="O11" s="45">
        <v>30</v>
      </c>
      <c r="P11" s="45">
        <v>30</v>
      </c>
      <c r="Q11" s="45">
        <v>30</v>
      </c>
      <c r="R11" s="45">
        <v>30</v>
      </c>
      <c r="S11" s="45">
        <v>30</v>
      </c>
      <c r="T11" s="45">
        <v>30</v>
      </c>
      <c r="U11" s="45">
        <v>30</v>
      </c>
      <c r="V11" s="45">
        <v>29</v>
      </c>
      <c r="W11" s="45">
        <v>28</v>
      </c>
      <c r="X11" s="45">
        <v>28</v>
      </c>
      <c r="Y11" s="45">
        <v>28</v>
      </c>
      <c r="Z11" s="45">
        <v>28</v>
      </c>
      <c r="AA11" s="45">
        <v>28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:AH76" si="2">MAX(B11:AF11)</f>
        <v>36</v>
      </c>
      <c r="AI11" s="48">
        <f t="shared" ref="AI11:AI76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38</v>
      </c>
      <c r="C12" s="45">
        <v>38</v>
      </c>
      <c r="D12" s="45">
        <v>38</v>
      </c>
      <c r="E12" s="45">
        <v>36</v>
      </c>
      <c r="F12" s="45">
        <v>36</v>
      </c>
      <c r="G12" s="45">
        <v>36</v>
      </c>
      <c r="H12" s="45">
        <v>36</v>
      </c>
      <c r="I12" s="45">
        <v>36</v>
      </c>
      <c r="J12" s="45">
        <v>36</v>
      </c>
      <c r="K12" s="45">
        <v>36</v>
      </c>
      <c r="L12" s="45">
        <v>36</v>
      </c>
      <c r="M12" s="45">
        <v>36</v>
      </c>
      <c r="N12" s="45">
        <v>36</v>
      </c>
      <c r="O12" s="45">
        <v>36</v>
      </c>
      <c r="P12" s="45">
        <v>36</v>
      </c>
      <c r="Q12" s="45">
        <v>36</v>
      </c>
      <c r="R12" s="45">
        <v>36</v>
      </c>
      <c r="S12" s="45">
        <v>36</v>
      </c>
      <c r="T12" s="45">
        <v>36</v>
      </c>
      <c r="U12" s="45">
        <v>36</v>
      </c>
      <c r="V12" s="45">
        <v>36</v>
      </c>
      <c r="W12" s="45">
        <v>36</v>
      </c>
      <c r="X12" s="45">
        <v>36</v>
      </c>
      <c r="Y12" s="45">
        <v>36</v>
      </c>
      <c r="Z12" s="45">
        <v>36</v>
      </c>
      <c r="AA12" s="45">
        <v>36</v>
      </c>
      <c r="AB12" s="45">
        <v>36</v>
      </c>
      <c r="AC12" s="45">
        <v>36</v>
      </c>
      <c r="AD12" s="45">
        <v>36</v>
      </c>
      <c r="AE12" s="45">
        <v>36</v>
      </c>
      <c r="AF12" s="45">
        <v>36</v>
      </c>
      <c r="AG12" s="50">
        <v>54</v>
      </c>
      <c r="AH12" s="47">
        <f t="shared" si="2"/>
        <v>38</v>
      </c>
      <c r="AI12" s="48">
        <f t="shared" si="3"/>
        <v>36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21</v>
      </c>
      <c r="C13" s="45">
        <v>21</v>
      </c>
      <c r="D13" s="45">
        <v>21</v>
      </c>
      <c r="E13" s="45">
        <v>27.6</v>
      </c>
      <c r="F13" s="45">
        <v>27.6</v>
      </c>
      <c r="G13" s="45">
        <v>27.6</v>
      </c>
      <c r="H13" s="45">
        <v>27.6</v>
      </c>
      <c r="I13" s="45">
        <v>27.6</v>
      </c>
      <c r="J13" s="45">
        <v>27.6</v>
      </c>
      <c r="K13" s="45">
        <v>27.6</v>
      </c>
      <c r="L13" s="45">
        <v>27.6</v>
      </c>
      <c r="M13" s="45">
        <v>24</v>
      </c>
      <c r="N13" s="45">
        <v>24</v>
      </c>
      <c r="O13" s="45">
        <v>24</v>
      </c>
      <c r="P13" s="45">
        <v>24</v>
      </c>
      <c r="Q13" s="45">
        <v>24</v>
      </c>
      <c r="R13" s="45">
        <v>24</v>
      </c>
      <c r="S13" s="45">
        <v>24</v>
      </c>
      <c r="T13" s="45">
        <v>24</v>
      </c>
      <c r="U13" s="45">
        <v>24</v>
      </c>
      <c r="V13" s="45">
        <v>24</v>
      </c>
      <c r="W13" s="45">
        <v>24</v>
      </c>
      <c r="X13" s="45">
        <v>24</v>
      </c>
      <c r="Y13" s="45">
        <v>24</v>
      </c>
      <c r="Z13" s="45">
        <v>24</v>
      </c>
      <c r="AA13" s="45">
        <v>19</v>
      </c>
      <c r="AB13" s="45">
        <v>19</v>
      </c>
      <c r="AC13" s="45">
        <v>19</v>
      </c>
      <c r="AD13" s="45">
        <v>21.9</v>
      </c>
      <c r="AE13" s="45">
        <v>21.9</v>
      </c>
      <c r="AF13" s="45">
        <v>21.9</v>
      </c>
      <c r="AG13" s="46">
        <v>52.4</v>
      </c>
      <c r="AH13" s="47">
        <f t="shared" si="2"/>
        <v>27.6</v>
      </c>
      <c r="AI13" s="48">
        <f t="shared" si="3"/>
        <v>19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50.5</v>
      </c>
      <c r="C14" s="58">
        <v>50.5</v>
      </c>
      <c r="D14" s="58">
        <v>50.5</v>
      </c>
      <c r="E14" s="58">
        <v>50.6</v>
      </c>
      <c r="F14" s="58">
        <v>50.6</v>
      </c>
      <c r="G14" s="58">
        <v>50.6</v>
      </c>
      <c r="H14" s="58">
        <v>50.6</v>
      </c>
      <c r="I14" s="58">
        <v>50.6</v>
      </c>
      <c r="J14" s="58">
        <v>50.6</v>
      </c>
      <c r="K14" s="58">
        <v>50.6</v>
      </c>
      <c r="L14" s="58">
        <v>50.6</v>
      </c>
      <c r="M14" s="58">
        <v>50.6</v>
      </c>
      <c r="N14" s="58">
        <v>50.6</v>
      </c>
      <c r="O14" s="58">
        <v>50.6</v>
      </c>
      <c r="P14" s="58">
        <v>50.6</v>
      </c>
      <c r="Q14" s="58">
        <v>50.6</v>
      </c>
      <c r="R14" s="58">
        <v>50.6</v>
      </c>
      <c r="S14" s="58">
        <v>50.6</v>
      </c>
      <c r="T14" s="58">
        <v>50.6</v>
      </c>
      <c r="U14" s="58">
        <v>50.6</v>
      </c>
      <c r="V14" s="58">
        <v>50.6</v>
      </c>
      <c r="W14" s="58">
        <v>50.6</v>
      </c>
      <c r="X14" s="58">
        <v>50.6</v>
      </c>
      <c r="Y14" s="58">
        <v>50.6</v>
      </c>
      <c r="Z14" s="58">
        <v>50.6</v>
      </c>
      <c r="AA14" s="45">
        <v>50.6</v>
      </c>
      <c r="AB14" s="45">
        <v>50.6</v>
      </c>
      <c r="AC14" s="45">
        <v>50.6</v>
      </c>
      <c r="AD14" s="45">
        <v>50.5</v>
      </c>
      <c r="AE14" s="45">
        <v>50.5</v>
      </c>
      <c r="AF14" s="45">
        <v>50.5</v>
      </c>
      <c r="AG14" s="50">
        <v>50</v>
      </c>
      <c r="AH14" s="47">
        <f t="shared" si="2"/>
        <v>50.6</v>
      </c>
      <c r="AI14" s="48">
        <f t="shared" si="3"/>
        <v>50.5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35</v>
      </c>
      <c r="C15" s="45">
        <v>35</v>
      </c>
      <c r="D15" s="45">
        <v>35</v>
      </c>
      <c r="E15" s="45">
        <v>32.200000000000003</v>
      </c>
      <c r="F15" s="45">
        <v>32.200000000000003</v>
      </c>
      <c r="G15" s="45">
        <v>32.200000000000003</v>
      </c>
      <c r="H15" s="45">
        <v>32.200000000000003</v>
      </c>
      <c r="I15" s="45">
        <v>32.200000000000003</v>
      </c>
      <c r="J15" s="45">
        <v>32.200000000000003</v>
      </c>
      <c r="K15" s="45">
        <v>32.200000000000003</v>
      </c>
      <c r="L15" s="45">
        <v>32.200000000000003</v>
      </c>
      <c r="M15" s="45">
        <v>28.9</v>
      </c>
      <c r="N15" s="45">
        <v>28.9</v>
      </c>
      <c r="O15" s="45">
        <v>28.9</v>
      </c>
      <c r="P15" s="45">
        <v>28.9</v>
      </c>
      <c r="Q15" s="45">
        <v>28.9</v>
      </c>
      <c r="R15" s="45">
        <v>28.9</v>
      </c>
      <c r="S15" s="45">
        <v>28.9</v>
      </c>
      <c r="T15" s="45">
        <v>28.9</v>
      </c>
      <c r="U15" s="45">
        <v>28.9</v>
      </c>
      <c r="V15" s="45">
        <v>28.9</v>
      </c>
      <c r="W15" s="45">
        <v>28.9</v>
      </c>
      <c r="X15" s="45">
        <v>28.9</v>
      </c>
      <c r="Y15" s="45">
        <v>28.9</v>
      </c>
      <c r="Z15" s="45">
        <v>28.9</v>
      </c>
      <c r="AA15" s="45">
        <v>33</v>
      </c>
      <c r="AB15" s="45">
        <v>33</v>
      </c>
      <c r="AC15" s="45">
        <v>33</v>
      </c>
      <c r="AD15" s="45">
        <v>35.6</v>
      </c>
      <c r="AE15" s="45">
        <v>35.6</v>
      </c>
      <c r="AF15" s="45">
        <v>35.6</v>
      </c>
      <c r="AG15" s="50">
        <v>45</v>
      </c>
      <c r="AH15" s="47">
        <f t="shared" si="2"/>
        <v>35.6</v>
      </c>
      <c r="AI15" s="48">
        <f t="shared" si="3"/>
        <v>28.9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27</v>
      </c>
      <c r="C16" s="45">
        <v>27</v>
      </c>
      <c r="D16" s="45">
        <v>27</v>
      </c>
      <c r="E16" s="45">
        <v>27</v>
      </c>
      <c r="F16" s="45">
        <v>27</v>
      </c>
      <c r="G16" s="45">
        <v>27</v>
      </c>
      <c r="H16" s="45">
        <v>27</v>
      </c>
      <c r="I16" s="45">
        <v>27</v>
      </c>
      <c r="J16" s="45">
        <v>27</v>
      </c>
      <c r="K16" s="45">
        <v>27</v>
      </c>
      <c r="L16" s="45">
        <v>27</v>
      </c>
      <c r="M16" s="45">
        <v>27</v>
      </c>
      <c r="N16" s="45">
        <v>27</v>
      </c>
      <c r="O16" s="45">
        <v>27</v>
      </c>
      <c r="P16" s="45">
        <v>27</v>
      </c>
      <c r="Q16" s="45">
        <v>27</v>
      </c>
      <c r="R16" s="45">
        <v>27</v>
      </c>
      <c r="S16" s="45">
        <v>27</v>
      </c>
      <c r="T16" s="45">
        <v>27</v>
      </c>
      <c r="U16" s="45">
        <v>27</v>
      </c>
      <c r="V16" s="45">
        <v>27</v>
      </c>
      <c r="W16" s="45">
        <v>27</v>
      </c>
      <c r="X16" s="45">
        <v>27</v>
      </c>
      <c r="Y16" s="45">
        <v>27</v>
      </c>
      <c r="Z16" s="45">
        <v>27</v>
      </c>
      <c r="AA16" s="45">
        <v>27</v>
      </c>
      <c r="AB16" s="45">
        <v>27</v>
      </c>
      <c r="AC16" s="45">
        <v>27</v>
      </c>
      <c r="AD16" s="45">
        <v>27</v>
      </c>
      <c r="AE16" s="45">
        <v>27</v>
      </c>
      <c r="AF16" s="45">
        <v>27</v>
      </c>
      <c r="AG16" s="50">
        <v>44</v>
      </c>
      <c r="AH16" s="47">
        <f>MAX(B16:AG16)</f>
        <v>44</v>
      </c>
      <c r="AI16" s="48">
        <f>MIN(B16:AG16)</f>
        <v>27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32</v>
      </c>
      <c r="C17" s="45">
        <v>32</v>
      </c>
      <c r="D17" s="45">
        <v>32</v>
      </c>
      <c r="E17" s="45">
        <v>30</v>
      </c>
      <c r="F17" s="45">
        <v>30</v>
      </c>
      <c r="G17" s="45">
        <v>30</v>
      </c>
      <c r="H17" s="45">
        <v>30</v>
      </c>
      <c r="I17" s="45">
        <v>30</v>
      </c>
      <c r="J17" s="45">
        <v>30</v>
      </c>
      <c r="K17" s="45">
        <v>30</v>
      </c>
      <c r="L17" s="45">
        <v>30</v>
      </c>
      <c r="M17" s="45">
        <v>24.5</v>
      </c>
      <c r="N17" s="45">
        <v>24.5</v>
      </c>
      <c r="O17" s="45">
        <v>24.5</v>
      </c>
      <c r="P17" s="45">
        <v>24.5</v>
      </c>
      <c r="Q17" s="45">
        <v>24.5</v>
      </c>
      <c r="R17" s="45">
        <v>24.5</v>
      </c>
      <c r="S17" s="45">
        <v>24.5</v>
      </c>
      <c r="T17" s="45">
        <v>24.5</v>
      </c>
      <c r="U17" s="45">
        <v>24.5</v>
      </c>
      <c r="V17" s="45">
        <v>24.5</v>
      </c>
      <c r="W17" s="45">
        <v>24.5</v>
      </c>
      <c r="X17" s="45">
        <v>24.5</v>
      </c>
      <c r="Y17" s="45">
        <v>24.5</v>
      </c>
      <c r="Z17" s="45">
        <v>24.5</v>
      </c>
      <c r="AA17" s="45">
        <v>28</v>
      </c>
      <c r="AB17" s="45">
        <v>28</v>
      </c>
      <c r="AC17" s="45">
        <v>28</v>
      </c>
      <c r="AD17" s="45">
        <v>31</v>
      </c>
      <c r="AE17" s="45">
        <v>31</v>
      </c>
      <c r="AF17" s="45">
        <v>31</v>
      </c>
      <c r="AG17" s="50">
        <v>42</v>
      </c>
      <c r="AH17" s="47">
        <f t="shared" si="2"/>
        <v>32</v>
      </c>
      <c r="AI17" s="48">
        <f t="shared" si="3"/>
        <v>24.5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27</v>
      </c>
      <c r="C18" s="45">
        <v>27</v>
      </c>
      <c r="D18" s="45">
        <v>27</v>
      </c>
      <c r="E18" s="45">
        <v>27</v>
      </c>
      <c r="F18" s="45">
        <v>27</v>
      </c>
      <c r="G18" s="45">
        <v>27</v>
      </c>
      <c r="H18" s="45">
        <v>27</v>
      </c>
      <c r="I18" s="45">
        <v>27</v>
      </c>
      <c r="J18" s="45">
        <v>27</v>
      </c>
      <c r="K18" s="45">
        <v>27</v>
      </c>
      <c r="L18" s="45">
        <v>27</v>
      </c>
      <c r="M18" s="45">
        <v>22</v>
      </c>
      <c r="N18" s="45">
        <v>22</v>
      </c>
      <c r="O18" s="45">
        <v>22</v>
      </c>
      <c r="P18" s="45">
        <v>22</v>
      </c>
      <c r="Q18" s="45">
        <v>22</v>
      </c>
      <c r="R18" s="45">
        <v>22</v>
      </c>
      <c r="S18" s="45">
        <v>22</v>
      </c>
      <c r="T18" s="45">
        <v>22</v>
      </c>
      <c r="U18" s="45">
        <v>22</v>
      </c>
      <c r="V18" s="45">
        <v>22</v>
      </c>
      <c r="W18" s="45">
        <v>22</v>
      </c>
      <c r="X18" s="45">
        <v>22</v>
      </c>
      <c r="Y18" s="45">
        <v>22</v>
      </c>
      <c r="Z18" s="45">
        <v>22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50">
        <v>38.46</v>
      </c>
      <c r="AH18" s="47">
        <f t="shared" si="2"/>
        <v>27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27</v>
      </c>
      <c r="C19" s="45">
        <v>27</v>
      </c>
      <c r="D19" s="45">
        <v>27</v>
      </c>
      <c r="E19" s="45">
        <v>27</v>
      </c>
      <c r="F19" s="45">
        <v>27</v>
      </c>
      <c r="G19" s="45">
        <v>27</v>
      </c>
      <c r="H19" s="45">
        <v>27</v>
      </c>
      <c r="I19" s="45">
        <v>27</v>
      </c>
      <c r="J19" s="45">
        <v>27</v>
      </c>
      <c r="K19" s="45">
        <v>27</v>
      </c>
      <c r="L19" s="45">
        <v>27</v>
      </c>
      <c r="M19" s="45">
        <v>22</v>
      </c>
      <c r="N19" s="45">
        <v>22</v>
      </c>
      <c r="O19" s="45">
        <v>22</v>
      </c>
      <c r="P19" s="45">
        <v>22</v>
      </c>
      <c r="Q19" s="45">
        <v>22</v>
      </c>
      <c r="R19" s="45">
        <v>22</v>
      </c>
      <c r="S19" s="45">
        <v>22</v>
      </c>
      <c r="T19" s="45">
        <v>22</v>
      </c>
      <c r="U19" s="45">
        <v>22</v>
      </c>
      <c r="V19" s="45">
        <v>22</v>
      </c>
      <c r="W19" s="45">
        <v>22</v>
      </c>
      <c r="X19" s="45">
        <v>22</v>
      </c>
      <c r="Y19" s="45">
        <v>22</v>
      </c>
      <c r="Z19" s="45">
        <v>22</v>
      </c>
      <c r="AA19" s="45">
        <v>22</v>
      </c>
      <c r="AB19" s="45">
        <v>22</v>
      </c>
      <c r="AC19" s="45">
        <v>22</v>
      </c>
      <c r="AD19" s="45">
        <v>22</v>
      </c>
      <c r="AE19" s="45">
        <v>22</v>
      </c>
      <c r="AF19" s="45">
        <v>22</v>
      </c>
      <c r="AG19" s="50">
        <v>36</v>
      </c>
      <c r="AH19" s="47">
        <f t="shared" si="2"/>
        <v>27</v>
      </c>
      <c r="AI19" s="48">
        <f t="shared" si="3"/>
        <v>22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16</v>
      </c>
      <c r="C20" s="45">
        <v>16</v>
      </c>
      <c r="D20" s="45">
        <v>16</v>
      </c>
      <c r="E20" s="45">
        <v>22</v>
      </c>
      <c r="F20" s="45">
        <v>20</v>
      </c>
      <c r="G20" s="45">
        <v>20</v>
      </c>
      <c r="H20" s="45">
        <v>20</v>
      </c>
      <c r="I20" s="45">
        <v>20</v>
      </c>
      <c r="J20" s="45">
        <v>18.5</v>
      </c>
      <c r="K20" s="45">
        <v>18.5</v>
      </c>
      <c r="L20" s="45">
        <v>18.5</v>
      </c>
      <c r="M20" s="45">
        <v>16.7</v>
      </c>
      <c r="N20" s="45">
        <v>16.7</v>
      </c>
      <c r="O20" s="45">
        <v>16.7</v>
      </c>
      <c r="P20" s="45">
        <v>16.7</v>
      </c>
      <c r="Q20" s="45">
        <v>16.7</v>
      </c>
      <c r="R20" s="45">
        <v>16.7</v>
      </c>
      <c r="S20" s="45">
        <v>16.7</v>
      </c>
      <c r="T20" s="45">
        <v>16.7</v>
      </c>
      <c r="U20" s="45">
        <v>16.7</v>
      </c>
      <c r="V20" s="45">
        <v>16.7</v>
      </c>
      <c r="W20" s="45">
        <v>16.7</v>
      </c>
      <c r="X20" s="45">
        <v>16.7</v>
      </c>
      <c r="Y20" s="45">
        <v>16.7</v>
      </c>
      <c r="Z20" s="45">
        <v>16.7</v>
      </c>
      <c r="AA20" s="45">
        <v>20</v>
      </c>
      <c r="AB20" s="45">
        <v>20</v>
      </c>
      <c r="AC20" s="45">
        <v>20</v>
      </c>
      <c r="AD20" s="45">
        <v>20</v>
      </c>
      <c r="AE20" s="45">
        <v>20</v>
      </c>
      <c r="AF20" s="45">
        <v>20</v>
      </c>
      <c r="AG20" s="51">
        <v>30</v>
      </c>
      <c r="AH20" s="47">
        <f t="shared" si="2"/>
        <v>22</v>
      </c>
      <c r="AI20" s="48">
        <f t="shared" si="3"/>
        <v>16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11</v>
      </c>
      <c r="C21" s="45">
        <v>11</v>
      </c>
      <c r="D21" s="45">
        <v>11</v>
      </c>
      <c r="E21" s="45">
        <v>13.2</v>
      </c>
      <c r="F21" s="45">
        <v>13.2</v>
      </c>
      <c r="G21" s="45">
        <v>13.2</v>
      </c>
      <c r="H21" s="45">
        <v>13.2</v>
      </c>
      <c r="I21" s="45">
        <v>13.2</v>
      </c>
      <c r="J21" s="45">
        <v>13.2</v>
      </c>
      <c r="K21" s="45">
        <v>13.2</v>
      </c>
      <c r="L21" s="45">
        <v>13.2</v>
      </c>
      <c r="M21" s="45">
        <v>12.2</v>
      </c>
      <c r="N21" s="45">
        <v>12.2</v>
      </c>
      <c r="O21" s="45">
        <v>12.2</v>
      </c>
      <c r="P21" s="45">
        <v>12.2</v>
      </c>
      <c r="Q21" s="45">
        <v>12.2</v>
      </c>
      <c r="R21" s="45">
        <v>12.2</v>
      </c>
      <c r="S21" s="45">
        <v>12.2</v>
      </c>
      <c r="T21" s="45">
        <v>12.2</v>
      </c>
      <c r="U21" s="45">
        <v>12.2</v>
      </c>
      <c r="V21" s="45">
        <v>12.2</v>
      </c>
      <c r="W21" s="45">
        <v>12.2</v>
      </c>
      <c r="X21" s="45">
        <v>12.2</v>
      </c>
      <c r="Y21" s="45">
        <v>12.2</v>
      </c>
      <c r="Z21" s="45">
        <v>12.2</v>
      </c>
      <c r="AA21" s="45">
        <v>11</v>
      </c>
      <c r="AB21" s="45">
        <v>11</v>
      </c>
      <c r="AC21" s="45">
        <v>11</v>
      </c>
      <c r="AD21" s="45">
        <v>11</v>
      </c>
      <c r="AE21" s="45">
        <v>11</v>
      </c>
      <c r="AF21" s="45">
        <v>11</v>
      </c>
      <c r="AG21" s="50">
        <v>24.2</v>
      </c>
      <c r="AH21" s="47">
        <f t="shared" si="2"/>
        <v>13.2</v>
      </c>
      <c r="AI21" s="48">
        <f t="shared" si="3"/>
        <v>11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19.5</v>
      </c>
      <c r="C22" s="45">
        <v>19.5</v>
      </c>
      <c r="D22" s="45">
        <v>19.5</v>
      </c>
      <c r="E22" s="45">
        <v>19.5</v>
      </c>
      <c r="F22" s="45">
        <v>19.5</v>
      </c>
      <c r="G22" s="45">
        <v>19.5</v>
      </c>
      <c r="H22" s="45">
        <v>19.5</v>
      </c>
      <c r="I22" s="45">
        <v>19.5</v>
      </c>
      <c r="J22" s="45">
        <v>19.5</v>
      </c>
      <c r="K22" s="45">
        <v>19.5</v>
      </c>
      <c r="L22" s="45">
        <v>19.5</v>
      </c>
      <c r="M22" s="45">
        <v>19.5</v>
      </c>
      <c r="N22" s="45">
        <v>19.5</v>
      </c>
      <c r="O22" s="45">
        <v>19.5</v>
      </c>
      <c r="P22" s="45">
        <v>19.5</v>
      </c>
      <c r="Q22" s="45">
        <v>19.5</v>
      </c>
      <c r="R22" s="45">
        <v>19.5</v>
      </c>
      <c r="S22" s="45">
        <v>19.5</v>
      </c>
      <c r="T22" s="45">
        <v>19.5</v>
      </c>
      <c r="U22" s="45">
        <v>19.5</v>
      </c>
      <c r="V22" s="45">
        <v>19.5</v>
      </c>
      <c r="W22" s="45">
        <v>19.5</v>
      </c>
      <c r="X22" s="45">
        <v>19.5</v>
      </c>
      <c r="Y22" s="45">
        <v>19.5</v>
      </c>
      <c r="Z22" s="45">
        <v>19.5</v>
      </c>
      <c r="AA22" s="45">
        <v>19.5</v>
      </c>
      <c r="AB22" s="45">
        <v>19.5</v>
      </c>
      <c r="AC22" s="45">
        <v>19.5</v>
      </c>
      <c r="AD22" s="45">
        <v>19</v>
      </c>
      <c r="AE22" s="45">
        <v>19</v>
      </c>
      <c r="AF22" s="45">
        <v>19</v>
      </c>
      <c r="AG22" s="50">
        <v>28</v>
      </c>
      <c r="AH22" s="47">
        <f t="shared" si="2"/>
        <v>19.5</v>
      </c>
      <c r="AI22" s="48">
        <f t="shared" si="3"/>
        <v>19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12.2</v>
      </c>
      <c r="C23" s="45">
        <v>12.2</v>
      </c>
      <c r="D23" s="45">
        <v>12.2</v>
      </c>
      <c r="E23" s="45">
        <v>11</v>
      </c>
      <c r="F23" s="45">
        <v>11</v>
      </c>
      <c r="G23" s="45">
        <v>11</v>
      </c>
      <c r="H23" s="45">
        <v>11</v>
      </c>
      <c r="I23" s="45">
        <v>11</v>
      </c>
      <c r="J23" s="45">
        <v>11</v>
      </c>
      <c r="K23" s="45">
        <v>11</v>
      </c>
      <c r="L23" s="45">
        <v>11</v>
      </c>
      <c r="M23" s="45">
        <v>11</v>
      </c>
      <c r="N23" s="45">
        <v>11</v>
      </c>
      <c r="O23" s="45">
        <v>11</v>
      </c>
      <c r="P23" s="45">
        <v>11</v>
      </c>
      <c r="Q23" s="45">
        <v>11</v>
      </c>
      <c r="R23" s="45">
        <v>11</v>
      </c>
      <c r="S23" s="45">
        <v>11</v>
      </c>
      <c r="T23" s="45">
        <v>11</v>
      </c>
      <c r="U23" s="45">
        <v>11</v>
      </c>
      <c r="V23" s="45">
        <v>11</v>
      </c>
      <c r="W23" s="45">
        <v>11</v>
      </c>
      <c r="X23" s="45">
        <v>11</v>
      </c>
      <c r="Y23" s="45">
        <v>11</v>
      </c>
      <c r="Z23" s="45">
        <v>11</v>
      </c>
      <c r="AA23" s="45">
        <v>11</v>
      </c>
      <c r="AB23" s="45">
        <v>14</v>
      </c>
      <c r="AC23" s="45">
        <v>14</v>
      </c>
      <c r="AD23" s="45">
        <v>14</v>
      </c>
      <c r="AE23" s="45">
        <v>14</v>
      </c>
      <c r="AF23" s="45">
        <v>14</v>
      </c>
      <c r="AG23" s="51">
        <v>30</v>
      </c>
      <c r="AH23" s="47">
        <f t="shared" si="2"/>
        <v>14</v>
      </c>
      <c r="AI23" s="48">
        <f t="shared" si="3"/>
        <v>11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16.399999999999999</v>
      </c>
      <c r="C24" s="45">
        <v>16.399999999999999</v>
      </c>
      <c r="D24" s="45">
        <v>16.399999999999999</v>
      </c>
      <c r="E24" s="45">
        <v>17.7</v>
      </c>
      <c r="F24" s="45">
        <v>17.7</v>
      </c>
      <c r="G24" s="45">
        <v>17.7</v>
      </c>
      <c r="H24" s="45">
        <v>17.7</v>
      </c>
      <c r="I24" s="45">
        <v>17.7</v>
      </c>
      <c r="J24" s="45">
        <v>17.7</v>
      </c>
      <c r="K24" s="45">
        <v>17.7</v>
      </c>
      <c r="L24" s="45">
        <v>17.7</v>
      </c>
      <c r="M24" s="45">
        <v>17.7</v>
      </c>
      <c r="N24" s="45">
        <v>17.7</v>
      </c>
      <c r="O24" s="45">
        <v>17.7</v>
      </c>
      <c r="P24" s="45">
        <v>17.7</v>
      </c>
      <c r="Q24" s="45">
        <v>17.7</v>
      </c>
      <c r="R24" s="45">
        <v>17.7</v>
      </c>
      <c r="S24" s="45">
        <v>17.7</v>
      </c>
      <c r="T24" s="45">
        <v>17.7</v>
      </c>
      <c r="U24" s="45">
        <v>17.7</v>
      </c>
      <c r="V24" s="45">
        <v>17.7</v>
      </c>
      <c r="W24" s="45">
        <v>17.7</v>
      </c>
      <c r="X24" s="45">
        <v>17.7</v>
      </c>
      <c r="Y24" s="45">
        <v>17.7</v>
      </c>
      <c r="Z24" s="45">
        <v>17.7</v>
      </c>
      <c r="AA24" s="45">
        <v>17.7</v>
      </c>
      <c r="AB24" s="45">
        <v>17.7</v>
      </c>
      <c r="AC24" s="45">
        <v>17.7</v>
      </c>
      <c r="AD24" s="45">
        <v>16.399999999999999</v>
      </c>
      <c r="AE24" s="45">
        <v>16.399999999999999</v>
      </c>
      <c r="AF24" s="45">
        <v>16.399999999999999</v>
      </c>
      <c r="AG24" s="50">
        <v>25</v>
      </c>
      <c r="AH24" s="47">
        <f t="shared" si="2"/>
        <v>17.7</v>
      </c>
      <c r="AI24" s="48">
        <f t="shared" si="3"/>
        <v>16.399999999999999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14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7.5</v>
      </c>
      <c r="C26" s="45">
        <v>7.5</v>
      </c>
      <c r="D26" s="45">
        <v>7.5</v>
      </c>
      <c r="E26" s="45">
        <v>7.5</v>
      </c>
      <c r="F26" s="45">
        <v>7.5</v>
      </c>
      <c r="G26" s="45">
        <v>7.5</v>
      </c>
      <c r="H26" s="45">
        <v>7.5</v>
      </c>
      <c r="I26" s="45">
        <v>7.5</v>
      </c>
      <c r="J26" s="45">
        <v>7.5</v>
      </c>
      <c r="K26" s="45">
        <v>7.5</v>
      </c>
      <c r="L26" s="45">
        <v>7.5</v>
      </c>
      <c r="M26" s="45">
        <v>7.5</v>
      </c>
      <c r="N26" s="45">
        <v>7.5</v>
      </c>
      <c r="O26" s="45">
        <v>7.5</v>
      </c>
      <c r="P26" s="45">
        <v>7.5</v>
      </c>
      <c r="Q26" s="45">
        <v>7.5</v>
      </c>
      <c r="R26" s="45">
        <v>7.5</v>
      </c>
      <c r="S26" s="45">
        <v>7.5</v>
      </c>
      <c r="T26" s="45">
        <v>7.5</v>
      </c>
      <c r="U26" s="45">
        <v>7.5</v>
      </c>
      <c r="V26" s="45">
        <v>7.5</v>
      </c>
      <c r="W26" s="45">
        <v>7.5</v>
      </c>
      <c r="X26" s="45">
        <v>7.5</v>
      </c>
      <c r="Y26" s="45">
        <v>7.5</v>
      </c>
      <c r="Z26" s="45">
        <v>7.5</v>
      </c>
      <c r="AA26" s="45">
        <v>7.5</v>
      </c>
      <c r="AB26" s="45">
        <v>7.5</v>
      </c>
      <c r="AC26" s="45">
        <v>7.5</v>
      </c>
      <c r="AD26" s="45">
        <v>7.5</v>
      </c>
      <c r="AE26" s="45">
        <v>7.5</v>
      </c>
      <c r="AF26" s="45">
        <v>7.5</v>
      </c>
      <c r="AG26" s="50">
        <v>25</v>
      </c>
      <c r="AH26" s="47">
        <f t="shared" si="2"/>
        <v>7.5</v>
      </c>
      <c r="AI26" s="48">
        <f t="shared" si="3"/>
        <v>7.5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13</v>
      </c>
      <c r="C27" s="45">
        <v>13</v>
      </c>
      <c r="D27" s="45">
        <v>13</v>
      </c>
      <c r="E27" s="45">
        <v>18</v>
      </c>
      <c r="F27" s="45">
        <v>18</v>
      </c>
      <c r="G27" s="45">
        <v>18</v>
      </c>
      <c r="H27" s="45">
        <v>18</v>
      </c>
      <c r="I27" s="45">
        <v>18</v>
      </c>
      <c r="J27" s="45">
        <v>18</v>
      </c>
      <c r="K27" s="45">
        <v>18</v>
      </c>
      <c r="L27" s="45">
        <v>18</v>
      </c>
      <c r="M27" s="45">
        <v>18</v>
      </c>
      <c r="N27" s="45">
        <v>18</v>
      </c>
      <c r="O27" s="45">
        <v>18</v>
      </c>
      <c r="P27" s="45">
        <v>18</v>
      </c>
      <c r="Q27" s="45">
        <v>18</v>
      </c>
      <c r="R27" s="45">
        <v>18</v>
      </c>
      <c r="S27" s="45">
        <v>18</v>
      </c>
      <c r="T27" s="45">
        <v>18</v>
      </c>
      <c r="U27" s="45">
        <v>18</v>
      </c>
      <c r="V27" s="45">
        <v>18</v>
      </c>
      <c r="W27" s="45">
        <v>18</v>
      </c>
      <c r="X27" s="45">
        <v>18</v>
      </c>
      <c r="Y27" s="45">
        <v>18</v>
      </c>
      <c r="Z27" s="45">
        <v>18</v>
      </c>
      <c r="AA27" s="45">
        <v>18</v>
      </c>
      <c r="AB27" s="45">
        <v>18</v>
      </c>
      <c r="AC27" s="45">
        <v>18</v>
      </c>
      <c r="AD27" s="45">
        <v>16</v>
      </c>
      <c r="AE27" s="45">
        <v>16</v>
      </c>
      <c r="AF27" s="45">
        <v>16</v>
      </c>
      <c r="AG27" s="50">
        <v>25</v>
      </c>
      <c r="AH27" s="47">
        <f t="shared" si="2"/>
        <v>18</v>
      </c>
      <c r="AI27" s="48">
        <f t="shared" si="3"/>
        <v>13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9</v>
      </c>
      <c r="C28" s="45">
        <v>9</v>
      </c>
      <c r="D28" s="45">
        <v>9</v>
      </c>
      <c r="E28" s="45">
        <v>9</v>
      </c>
      <c r="F28" s="45">
        <v>9</v>
      </c>
      <c r="G28" s="45">
        <v>9</v>
      </c>
      <c r="H28" s="45">
        <v>9</v>
      </c>
      <c r="I28" s="45">
        <v>9</v>
      </c>
      <c r="J28" s="45">
        <v>9</v>
      </c>
      <c r="K28" s="45">
        <v>9</v>
      </c>
      <c r="L28" s="45">
        <v>9</v>
      </c>
      <c r="M28" s="45">
        <v>9</v>
      </c>
      <c r="N28" s="45">
        <v>9</v>
      </c>
      <c r="O28" s="45">
        <v>9</v>
      </c>
      <c r="P28" s="45">
        <v>9</v>
      </c>
      <c r="Q28" s="45">
        <v>9</v>
      </c>
      <c r="R28" s="45">
        <v>9</v>
      </c>
      <c r="S28" s="45">
        <v>9</v>
      </c>
      <c r="T28" s="45">
        <v>9</v>
      </c>
      <c r="U28" s="45">
        <v>9</v>
      </c>
      <c r="V28" s="45">
        <v>9</v>
      </c>
      <c r="W28" s="45">
        <v>9</v>
      </c>
      <c r="X28" s="45">
        <v>9</v>
      </c>
      <c r="Y28" s="45">
        <v>9</v>
      </c>
      <c r="Z28" s="45">
        <v>9</v>
      </c>
      <c r="AA28" s="45">
        <v>9</v>
      </c>
      <c r="AB28" s="45">
        <v>9</v>
      </c>
      <c r="AC28" s="45">
        <v>9</v>
      </c>
      <c r="AD28" s="45">
        <v>8.6</v>
      </c>
      <c r="AE28" s="45">
        <v>8.6</v>
      </c>
      <c r="AF28" s="45">
        <v>8.6</v>
      </c>
      <c r="AG28" s="50">
        <v>23.5</v>
      </c>
      <c r="AH28" s="47">
        <f t="shared" si="2"/>
        <v>9</v>
      </c>
      <c r="AI28" s="48">
        <f t="shared" si="3"/>
        <v>8.6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4.5</v>
      </c>
      <c r="C29" s="45">
        <v>4.5</v>
      </c>
      <c r="D29" s="45">
        <v>4.5</v>
      </c>
      <c r="E29" s="45">
        <v>4.5</v>
      </c>
      <c r="F29" s="45">
        <v>4.5</v>
      </c>
      <c r="G29" s="45">
        <v>4.5</v>
      </c>
      <c r="H29" s="45">
        <v>4.5</v>
      </c>
      <c r="I29" s="45">
        <v>4.5</v>
      </c>
      <c r="J29" s="45">
        <v>4.5</v>
      </c>
      <c r="K29" s="45">
        <v>4.5</v>
      </c>
      <c r="L29" s="45">
        <v>4.5</v>
      </c>
      <c r="M29" s="45">
        <v>4.5</v>
      </c>
      <c r="N29" s="45">
        <v>4.5</v>
      </c>
      <c r="O29" s="45">
        <v>4.5</v>
      </c>
      <c r="P29" s="45">
        <v>4.5</v>
      </c>
      <c r="Q29" s="45">
        <v>4.5</v>
      </c>
      <c r="R29" s="45">
        <v>4.5</v>
      </c>
      <c r="S29" s="45">
        <v>4.5</v>
      </c>
      <c r="T29" s="45">
        <v>4.5</v>
      </c>
      <c r="U29" s="45">
        <v>4.5</v>
      </c>
      <c r="V29" s="45">
        <v>4.5</v>
      </c>
      <c r="W29" s="45">
        <v>4.5</v>
      </c>
      <c r="X29" s="45">
        <v>4.5</v>
      </c>
      <c r="Y29" s="45">
        <v>4.5</v>
      </c>
      <c r="Z29" s="45">
        <v>4.5</v>
      </c>
      <c r="AA29" s="45">
        <v>4.5</v>
      </c>
      <c r="AB29" s="45">
        <v>4.5</v>
      </c>
      <c r="AC29" s="45">
        <v>4.5</v>
      </c>
      <c r="AD29" s="45">
        <v>4.5</v>
      </c>
      <c r="AE29" s="45">
        <v>4.5</v>
      </c>
      <c r="AF29" s="45">
        <v>4.5</v>
      </c>
      <c r="AG29" s="50">
        <v>22.2</v>
      </c>
      <c r="AH29" s="47">
        <f t="shared" si="2"/>
        <v>4.5</v>
      </c>
      <c r="AI29" s="48">
        <f t="shared" si="3"/>
        <v>4.5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50">
        <v>22</v>
      </c>
      <c r="AH31" s="47">
        <f t="shared" si="2"/>
        <v>4.5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9.8000000000000007</v>
      </c>
      <c r="C32" s="45">
        <v>9.8000000000000007</v>
      </c>
      <c r="D32" s="45">
        <v>9.8000000000000007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8</v>
      </c>
      <c r="AB32" s="45">
        <v>8</v>
      </c>
      <c r="AC32" s="45">
        <v>8</v>
      </c>
      <c r="AD32" s="45">
        <v>10</v>
      </c>
      <c r="AE32" s="45">
        <v>10</v>
      </c>
      <c r="AF32" s="45">
        <v>10</v>
      </c>
      <c r="AG32" s="50">
        <v>22</v>
      </c>
      <c r="AH32" s="47">
        <f t="shared" si="2"/>
        <v>10</v>
      </c>
      <c r="AI32" s="48">
        <f t="shared" si="3"/>
        <v>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18</v>
      </c>
      <c r="C33" s="45">
        <v>18</v>
      </c>
      <c r="D33" s="45">
        <v>18</v>
      </c>
      <c r="E33" s="45">
        <v>16.5</v>
      </c>
      <c r="F33" s="45">
        <v>16.5</v>
      </c>
      <c r="G33" s="45">
        <v>16.5</v>
      </c>
      <c r="H33" s="45">
        <v>16.5</v>
      </c>
      <c r="I33" s="45">
        <v>16.5</v>
      </c>
      <c r="J33" s="45">
        <v>16.5</v>
      </c>
      <c r="K33" s="45">
        <v>16.5</v>
      </c>
      <c r="L33" s="45">
        <v>16.5</v>
      </c>
      <c r="M33" s="45">
        <v>16.5</v>
      </c>
      <c r="N33" s="45">
        <v>16.5</v>
      </c>
      <c r="O33" s="45">
        <v>16.5</v>
      </c>
      <c r="P33" s="45">
        <v>16.5</v>
      </c>
      <c r="Q33" s="45">
        <v>16.5</v>
      </c>
      <c r="R33" s="45">
        <v>16.5</v>
      </c>
      <c r="S33" s="45">
        <v>16.5</v>
      </c>
      <c r="T33" s="45">
        <v>16.5</v>
      </c>
      <c r="U33" s="45">
        <v>16.5</v>
      </c>
      <c r="V33" s="45">
        <v>16.5</v>
      </c>
      <c r="W33" s="45">
        <v>16.5</v>
      </c>
      <c r="X33" s="45">
        <v>16.5</v>
      </c>
      <c r="Y33" s="45">
        <v>16.5</v>
      </c>
      <c r="Z33" s="45">
        <v>16.5</v>
      </c>
      <c r="AA33" s="45">
        <v>15</v>
      </c>
      <c r="AB33" s="45">
        <v>15</v>
      </c>
      <c r="AC33" s="45">
        <v>15</v>
      </c>
      <c r="AD33" s="45">
        <v>10.1</v>
      </c>
      <c r="AE33" s="45">
        <v>10.1</v>
      </c>
      <c r="AF33" s="45">
        <v>10.1</v>
      </c>
      <c r="AG33" s="50">
        <v>20</v>
      </c>
      <c r="AH33" s="47">
        <f t="shared" si="2"/>
        <v>18</v>
      </c>
      <c r="AI33" s="48">
        <f t="shared" si="3"/>
        <v>10.1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</v>
      </c>
      <c r="C34" s="45">
        <v>9</v>
      </c>
      <c r="D34" s="45">
        <v>9</v>
      </c>
      <c r="E34" s="45">
        <v>9</v>
      </c>
      <c r="F34" s="45">
        <v>9</v>
      </c>
      <c r="G34" s="45">
        <v>9</v>
      </c>
      <c r="H34" s="45">
        <v>9</v>
      </c>
      <c r="I34" s="45">
        <v>9</v>
      </c>
      <c r="J34" s="45">
        <v>9</v>
      </c>
      <c r="K34" s="45">
        <v>9</v>
      </c>
      <c r="L34" s="45">
        <v>9</v>
      </c>
      <c r="M34" s="45">
        <v>9</v>
      </c>
      <c r="N34" s="45">
        <v>9</v>
      </c>
      <c r="O34" s="45">
        <v>9</v>
      </c>
      <c r="P34" s="45">
        <v>9</v>
      </c>
      <c r="Q34" s="45">
        <v>9</v>
      </c>
      <c r="R34" s="45">
        <v>9</v>
      </c>
      <c r="S34" s="45">
        <v>9</v>
      </c>
      <c r="T34" s="45">
        <v>9</v>
      </c>
      <c r="U34" s="45">
        <v>9</v>
      </c>
      <c r="V34" s="45">
        <v>9</v>
      </c>
      <c r="W34" s="45">
        <v>9</v>
      </c>
      <c r="X34" s="45">
        <v>9</v>
      </c>
      <c r="Y34" s="45">
        <v>9</v>
      </c>
      <c r="Z34" s="45">
        <v>9</v>
      </c>
      <c r="AA34" s="45">
        <v>9</v>
      </c>
      <c r="AB34" s="45">
        <v>9</v>
      </c>
      <c r="AC34" s="45">
        <v>9</v>
      </c>
      <c r="AD34" s="45">
        <v>8.5</v>
      </c>
      <c r="AE34" s="45">
        <v>8.5</v>
      </c>
      <c r="AF34" s="45">
        <v>8.5</v>
      </c>
      <c r="AG34" s="50">
        <v>18</v>
      </c>
      <c r="AH34" s="47">
        <f t="shared" si="2"/>
        <v>9</v>
      </c>
      <c r="AI34" s="48">
        <f t="shared" si="3"/>
        <v>8.5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0">
        <v>13.6</v>
      </c>
      <c r="AH37" s="47">
        <f t="shared" si="2"/>
        <v>0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6.2</v>
      </c>
      <c r="C38" s="45">
        <v>6.2</v>
      </c>
      <c r="D38" s="45">
        <v>6.2</v>
      </c>
      <c r="E38" s="45">
        <v>6.2</v>
      </c>
      <c r="F38" s="45">
        <v>6.2</v>
      </c>
      <c r="G38" s="45">
        <v>6.2</v>
      </c>
      <c r="H38" s="45">
        <v>6.2</v>
      </c>
      <c r="I38" s="45">
        <v>6.2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50">
        <v>13</v>
      </c>
      <c r="AH38" s="47">
        <f t="shared" si="2"/>
        <v>6.2</v>
      </c>
      <c r="AI38" s="48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3</v>
      </c>
      <c r="C40" s="45">
        <v>3</v>
      </c>
      <c r="D40" s="45">
        <v>3</v>
      </c>
      <c r="E40" s="45">
        <v>3</v>
      </c>
      <c r="F40" s="45">
        <v>3</v>
      </c>
      <c r="G40" s="45">
        <v>3</v>
      </c>
      <c r="H40" s="45">
        <v>3</v>
      </c>
      <c r="I40" s="45">
        <v>3</v>
      </c>
      <c r="J40" s="45">
        <v>3</v>
      </c>
      <c r="K40" s="45">
        <v>3</v>
      </c>
      <c r="L40" s="45">
        <v>3</v>
      </c>
      <c r="M40" s="45">
        <v>3</v>
      </c>
      <c r="N40" s="45">
        <v>3</v>
      </c>
      <c r="O40" s="45">
        <v>3</v>
      </c>
      <c r="P40" s="45">
        <v>3</v>
      </c>
      <c r="Q40" s="45">
        <v>3</v>
      </c>
      <c r="R40" s="45">
        <v>3</v>
      </c>
      <c r="S40" s="45">
        <v>3</v>
      </c>
      <c r="T40" s="45">
        <v>3</v>
      </c>
      <c r="U40" s="45">
        <v>3</v>
      </c>
      <c r="V40" s="45">
        <v>3</v>
      </c>
      <c r="W40" s="45">
        <v>3</v>
      </c>
      <c r="X40" s="45">
        <v>3</v>
      </c>
      <c r="Y40" s="45">
        <v>3</v>
      </c>
      <c r="Z40" s="45">
        <v>3</v>
      </c>
      <c r="AA40" s="45">
        <v>3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3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>
        <v>3.6</v>
      </c>
      <c r="N45" s="45">
        <v>3.6</v>
      </c>
      <c r="O45" s="45">
        <v>3.6</v>
      </c>
      <c r="P45" s="45">
        <v>3.6</v>
      </c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3.6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5</v>
      </c>
      <c r="C46" s="45">
        <v>5</v>
      </c>
      <c r="D46" s="45">
        <v>5</v>
      </c>
      <c r="E46" s="45">
        <v>5</v>
      </c>
      <c r="F46" s="45">
        <v>5</v>
      </c>
      <c r="G46" s="45">
        <v>5</v>
      </c>
      <c r="H46" s="45">
        <v>5</v>
      </c>
      <c r="I46" s="45">
        <v>5</v>
      </c>
      <c r="J46" s="45">
        <v>5</v>
      </c>
      <c r="K46" s="45">
        <v>5</v>
      </c>
      <c r="L46" s="45">
        <v>5</v>
      </c>
      <c r="M46" s="45">
        <v>5</v>
      </c>
      <c r="N46" s="45">
        <v>5</v>
      </c>
      <c r="O46" s="45">
        <v>5</v>
      </c>
      <c r="P46" s="45">
        <v>5</v>
      </c>
      <c r="Q46" s="45">
        <v>5</v>
      </c>
      <c r="R46" s="45">
        <v>5</v>
      </c>
      <c r="S46" s="45">
        <v>5</v>
      </c>
      <c r="T46" s="45">
        <v>5</v>
      </c>
      <c r="U46" s="45">
        <v>5</v>
      </c>
      <c r="V46" s="45">
        <v>5</v>
      </c>
      <c r="W46" s="45">
        <v>5</v>
      </c>
      <c r="X46" s="45">
        <v>5</v>
      </c>
      <c r="Y46" s="45">
        <v>5</v>
      </c>
      <c r="Z46" s="45">
        <v>5</v>
      </c>
      <c r="AA46" s="45">
        <v>5</v>
      </c>
      <c r="AB46" s="45">
        <v>5</v>
      </c>
      <c r="AC46" s="45">
        <v>5</v>
      </c>
      <c r="AD46" s="45">
        <v>5</v>
      </c>
      <c r="AE46" s="45">
        <v>5</v>
      </c>
      <c r="AF46" s="45">
        <v>5</v>
      </c>
      <c r="AG46" s="54">
        <v>10</v>
      </c>
      <c r="AH46" s="47">
        <f t="shared" si="2"/>
        <v>5</v>
      </c>
      <c r="AI46" s="48">
        <f t="shared" si="3"/>
        <v>5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9</v>
      </c>
      <c r="C47" s="45">
        <v>9</v>
      </c>
      <c r="D47" s="45">
        <v>9</v>
      </c>
      <c r="E47" s="45">
        <v>9</v>
      </c>
      <c r="F47" s="45">
        <v>9</v>
      </c>
      <c r="G47" s="45">
        <v>9</v>
      </c>
      <c r="H47" s="45">
        <v>9</v>
      </c>
      <c r="I47" s="45">
        <v>9</v>
      </c>
      <c r="J47" s="45">
        <v>9</v>
      </c>
      <c r="K47" s="45">
        <v>9</v>
      </c>
      <c r="L47" s="45">
        <v>9</v>
      </c>
      <c r="M47" s="45">
        <v>9</v>
      </c>
      <c r="N47" s="45">
        <v>9</v>
      </c>
      <c r="O47" s="45">
        <v>9</v>
      </c>
      <c r="P47" s="45">
        <v>9</v>
      </c>
      <c r="Q47" s="45">
        <v>9</v>
      </c>
      <c r="R47" s="45">
        <v>9</v>
      </c>
      <c r="S47" s="45">
        <v>9</v>
      </c>
      <c r="T47" s="45">
        <v>9</v>
      </c>
      <c r="U47" s="45">
        <v>9</v>
      </c>
      <c r="V47" s="45">
        <v>9</v>
      </c>
      <c r="W47" s="45">
        <v>9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9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233</v>
      </c>
      <c r="C48" s="56">
        <v>233</v>
      </c>
      <c r="D48" s="56">
        <v>233</v>
      </c>
      <c r="E48" s="56">
        <v>233</v>
      </c>
      <c r="F48" s="56">
        <v>233</v>
      </c>
      <c r="G48" s="56">
        <v>233</v>
      </c>
      <c r="H48" s="56">
        <v>233</v>
      </c>
      <c r="I48" s="56">
        <v>233</v>
      </c>
      <c r="J48" s="56">
        <v>233</v>
      </c>
      <c r="K48" s="56">
        <v>233</v>
      </c>
      <c r="L48" s="56">
        <v>233</v>
      </c>
      <c r="M48" s="56">
        <v>233</v>
      </c>
      <c r="N48" s="56">
        <v>233</v>
      </c>
      <c r="O48" s="56">
        <v>233</v>
      </c>
      <c r="P48" s="56">
        <v>233</v>
      </c>
      <c r="Q48" s="56">
        <v>233</v>
      </c>
      <c r="R48" s="56">
        <v>233</v>
      </c>
      <c r="S48" s="56">
        <v>233</v>
      </c>
      <c r="T48" s="56">
        <v>233</v>
      </c>
      <c r="U48" s="56">
        <v>233</v>
      </c>
      <c r="V48" s="56">
        <v>233</v>
      </c>
      <c r="W48" s="56">
        <v>233</v>
      </c>
      <c r="X48" s="56">
        <v>233</v>
      </c>
      <c r="Y48" s="56">
        <v>233</v>
      </c>
      <c r="Z48" s="56">
        <v>233</v>
      </c>
      <c r="AA48" s="56">
        <v>200</v>
      </c>
      <c r="AB48" s="56">
        <v>200</v>
      </c>
      <c r="AC48" s="56">
        <v>200</v>
      </c>
      <c r="AD48" s="56">
        <v>200</v>
      </c>
      <c r="AE48" s="56">
        <v>200</v>
      </c>
      <c r="AF48" s="56">
        <v>200</v>
      </c>
      <c r="AG48" s="54">
        <v>85</v>
      </c>
      <c r="AH48" s="47">
        <f t="shared" si="2"/>
        <v>233</v>
      </c>
      <c r="AI48" s="48">
        <f t="shared" si="3"/>
        <v>200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6"/>
      <c r="Z49" s="56"/>
      <c r="AA49" s="56">
        <v>0</v>
      </c>
      <c r="AB49" s="56"/>
      <c r="AC49" s="56"/>
      <c r="AD49" s="56">
        <v>51</v>
      </c>
      <c r="AE49" s="56">
        <v>51</v>
      </c>
      <c r="AF49" s="56">
        <v>51</v>
      </c>
      <c r="AG49" s="54">
        <v>240</v>
      </c>
      <c r="AH49" s="47">
        <f t="shared" si="2"/>
        <v>51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 t="shared" ref="B50:AF50" si="4">SUM(B11:B48)</f>
        <v>767.1</v>
      </c>
      <c r="C50" s="60">
        <f t="shared" si="4"/>
        <v>767.1</v>
      </c>
      <c r="D50" s="60">
        <f t="shared" si="4"/>
        <v>767.1</v>
      </c>
      <c r="E50" s="60">
        <f t="shared" si="4"/>
        <v>777</v>
      </c>
      <c r="F50" s="60">
        <f t="shared" si="4"/>
        <v>775</v>
      </c>
      <c r="G50" s="60">
        <f t="shared" si="4"/>
        <v>775</v>
      </c>
      <c r="H50" s="60">
        <f t="shared" si="4"/>
        <v>775</v>
      </c>
      <c r="I50" s="60">
        <f t="shared" si="4"/>
        <v>775</v>
      </c>
      <c r="J50" s="60">
        <f t="shared" si="4"/>
        <v>767.30000000000007</v>
      </c>
      <c r="K50" s="60">
        <f t="shared" si="4"/>
        <v>767.30000000000007</v>
      </c>
      <c r="L50" s="60">
        <f t="shared" si="4"/>
        <v>767.30000000000007</v>
      </c>
      <c r="M50" s="60">
        <f t="shared" si="4"/>
        <v>736.1</v>
      </c>
      <c r="N50" s="60">
        <f t="shared" si="4"/>
        <v>736.1</v>
      </c>
      <c r="O50" s="60">
        <f t="shared" si="4"/>
        <v>736.1</v>
      </c>
      <c r="P50" s="60">
        <f t="shared" si="4"/>
        <v>736.1</v>
      </c>
      <c r="Q50" s="60">
        <f t="shared" si="4"/>
        <v>736.1</v>
      </c>
      <c r="R50" s="60">
        <f t="shared" si="4"/>
        <v>736.1</v>
      </c>
      <c r="S50" s="60">
        <f t="shared" si="4"/>
        <v>736.1</v>
      </c>
      <c r="T50" s="60">
        <f t="shared" si="4"/>
        <v>736.1</v>
      </c>
      <c r="U50" s="60">
        <f t="shared" si="4"/>
        <v>736.1</v>
      </c>
      <c r="V50" s="60">
        <f>SUM(V11:V48)</f>
        <v>735.1</v>
      </c>
      <c r="W50" s="60">
        <f>SUM(W11:W48)</f>
        <v>734.1</v>
      </c>
      <c r="X50" s="60">
        <f>SUM(X11:X48)</f>
        <v>725.1</v>
      </c>
      <c r="Y50" s="60">
        <f t="shared" si="4"/>
        <v>725.1</v>
      </c>
      <c r="Z50" s="60">
        <f t="shared" si="4"/>
        <v>725.1</v>
      </c>
      <c r="AA50" s="60">
        <v>725.30000000000007</v>
      </c>
      <c r="AB50" s="60">
        <f t="shared" si="4"/>
        <v>672.80000000000007</v>
      </c>
      <c r="AC50" s="60">
        <f t="shared" si="4"/>
        <v>672.80000000000007</v>
      </c>
      <c r="AD50" s="60">
        <f t="shared" si="4"/>
        <v>673.60000000000014</v>
      </c>
      <c r="AE50" s="60">
        <f t="shared" si="4"/>
        <v>673.60000000000014</v>
      </c>
      <c r="AF50" s="60">
        <f t="shared" si="4"/>
        <v>673.60000000000014</v>
      </c>
      <c r="AG50" s="61">
        <f>SUM(AG13:AG48)</f>
        <v>922.14</v>
      </c>
      <c r="AH50" s="47">
        <f t="shared" si="2"/>
        <v>777</v>
      </c>
      <c r="AI50" s="48">
        <f t="shared" si="3"/>
        <v>672.80000000000007</v>
      </c>
      <c r="AK50" s="49"/>
    </row>
    <row r="51" spans="1:41" x14ac:dyDescent="0.25">
      <c r="A51" s="62" t="s">
        <v>57</v>
      </c>
      <c r="B51" s="45">
        <v>290</v>
      </c>
      <c r="C51" s="45">
        <v>290</v>
      </c>
      <c r="D51" s="45">
        <v>290</v>
      </c>
      <c r="E51" s="45">
        <v>250</v>
      </c>
      <c r="F51" s="45">
        <v>240</v>
      </c>
      <c r="G51" s="45">
        <v>195</v>
      </c>
      <c r="H51" s="45">
        <v>225</v>
      </c>
      <c r="I51" s="45">
        <v>195</v>
      </c>
      <c r="J51" s="45">
        <v>160</v>
      </c>
      <c r="K51" s="45">
        <v>130</v>
      </c>
      <c r="L51" s="45">
        <v>145</v>
      </c>
      <c r="M51" s="45">
        <v>90</v>
      </c>
      <c r="N51" s="45">
        <v>70</v>
      </c>
      <c r="O51" s="45">
        <v>108</v>
      </c>
      <c r="P51" s="63">
        <v>110</v>
      </c>
      <c r="Q51" s="63">
        <v>110</v>
      </c>
      <c r="R51" s="63">
        <v>176</v>
      </c>
      <c r="S51" s="63">
        <v>170</v>
      </c>
      <c r="T51" s="45">
        <v>150</v>
      </c>
      <c r="U51" s="45">
        <v>160</v>
      </c>
      <c r="V51" s="45">
        <v>70</v>
      </c>
      <c r="W51" s="45">
        <v>70</v>
      </c>
      <c r="X51" s="45">
        <v>40</v>
      </c>
      <c r="Y51" s="45">
        <v>80</v>
      </c>
      <c r="Z51" s="45">
        <v>80</v>
      </c>
      <c r="AA51" s="45">
        <v>400</v>
      </c>
      <c r="AB51" s="45">
        <v>400</v>
      </c>
      <c r="AC51" s="45">
        <v>440</v>
      </c>
      <c r="AD51" s="45">
        <v>420</v>
      </c>
      <c r="AE51" s="45">
        <v>400</v>
      </c>
      <c r="AF51" s="45">
        <v>380</v>
      </c>
      <c r="AG51" s="51">
        <v>456</v>
      </c>
      <c r="AH51" s="47">
        <f t="shared" si="2"/>
        <v>440</v>
      </c>
      <c r="AI51" s="48">
        <f t="shared" si="3"/>
        <v>40</v>
      </c>
      <c r="AK51" s="49"/>
    </row>
    <row r="52" spans="1:41" x14ac:dyDescent="0.25">
      <c r="A52" s="64" t="s">
        <v>58</v>
      </c>
      <c r="B52" s="65">
        <v>55</v>
      </c>
      <c r="C52" s="65">
        <v>55</v>
      </c>
      <c r="D52" s="65">
        <v>41</v>
      </c>
      <c r="E52" s="65">
        <v>41</v>
      </c>
      <c r="F52" s="65">
        <v>41</v>
      </c>
      <c r="G52" s="65">
        <v>41</v>
      </c>
      <c r="H52" s="65">
        <v>41</v>
      </c>
      <c r="I52" s="65">
        <v>41</v>
      </c>
      <c r="J52" s="65">
        <v>41</v>
      </c>
      <c r="K52" s="65">
        <v>41</v>
      </c>
      <c r="L52" s="65">
        <v>41</v>
      </c>
      <c r="M52" s="65">
        <v>41</v>
      </c>
      <c r="N52" s="65">
        <v>41</v>
      </c>
      <c r="O52" s="65">
        <v>41</v>
      </c>
      <c r="P52" s="65">
        <v>41</v>
      </c>
      <c r="Q52" s="65">
        <v>41</v>
      </c>
      <c r="R52" s="65">
        <v>41</v>
      </c>
      <c r="S52" s="65">
        <v>41</v>
      </c>
      <c r="T52" s="65">
        <v>41</v>
      </c>
      <c r="U52" s="65">
        <v>41</v>
      </c>
      <c r="V52" s="65">
        <v>41</v>
      </c>
      <c r="W52" s="65">
        <v>41</v>
      </c>
      <c r="X52" s="65">
        <v>41</v>
      </c>
      <c r="Y52" s="65">
        <v>41</v>
      </c>
      <c r="Z52" s="65">
        <v>41</v>
      </c>
      <c r="AA52" s="65">
        <v>42</v>
      </c>
      <c r="AB52" s="65">
        <v>42</v>
      </c>
      <c r="AC52" s="65">
        <v>42</v>
      </c>
      <c r="AD52" s="65">
        <v>42</v>
      </c>
      <c r="AE52" s="65">
        <v>42</v>
      </c>
      <c r="AF52" s="65">
        <v>42</v>
      </c>
      <c r="AG52" s="54">
        <v>60</v>
      </c>
      <c r="AH52" s="47">
        <f t="shared" si="2"/>
        <v>55</v>
      </c>
      <c r="AI52" s="48">
        <f t="shared" si="3"/>
        <v>41</v>
      </c>
      <c r="AK52" s="49"/>
    </row>
    <row r="53" spans="1:41" ht="15.75" thickBot="1" x14ac:dyDescent="0.3">
      <c r="A53" s="66" t="s">
        <v>59</v>
      </c>
      <c r="B53" s="67">
        <v>22.5</v>
      </c>
      <c r="C53" s="67">
        <v>22.5</v>
      </c>
      <c r="D53" s="67">
        <v>22.4</v>
      </c>
      <c r="E53" s="67">
        <v>22.4</v>
      </c>
      <c r="F53" s="67">
        <v>22.4</v>
      </c>
      <c r="G53" s="67">
        <v>22.5</v>
      </c>
      <c r="H53" s="67">
        <v>22.4</v>
      </c>
      <c r="I53" s="67">
        <v>22.5</v>
      </c>
      <c r="J53" s="67">
        <v>22.4</v>
      </c>
      <c r="K53" s="67">
        <v>22.4</v>
      </c>
      <c r="L53" s="67">
        <v>22.5</v>
      </c>
      <c r="M53" s="67">
        <v>22.4</v>
      </c>
      <c r="N53" s="67">
        <v>22.4</v>
      </c>
      <c r="O53" s="67">
        <v>22.4</v>
      </c>
      <c r="P53" s="67">
        <v>22.4</v>
      </c>
      <c r="Q53" s="67">
        <v>22.4</v>
      </c>
      <c r="R53" s="67">
        <v>22.4</v>
      </c>
      <c r="S53" s="67">
        <v>22.4</v>
      </c>
      <c r="T53" s="67">
        <v>22.4</v>
      </c>
      <c r="U53" s="67">
        <v>22.4</v>
      </c>
      <c r="V53" s="67">
        <v>22.4</v>
      </c>
      <c r="W53" s="67">
        <v>22.4</v>
      </c>
      <c r="X53" s="67">
        <v>22.4</v>
      </c>
      <c r="Y53" s="67">
        <v>22.4</v>
      </c>
      <c r="Z53" s="67">
        <v>22.4</v>
      </c>
      <c r="AA53" s="67">
        <v>22</v>
      </c>
      <c r="AB53" s="67">
        <v>22.5</v>
      </c>
      <c r="AC53" s="67">
        <v>22.4</v>
      </c>
      <c r="AD53" s="67">
        <v>22.4</v>
      </c>
      <c r="AE53" s="67">
        <v>22.2</v>
      </c>
      <c r="AF53" s="67">
        <v>22.2</v>
      </c>
      <c r="AG53" s="68">
        <v>22.1</v>
      </c>
      <c r="AH53" s="47">
        <f t="shared" si="2"/>
        <v>22.5</v>
      </c>
      <c r="AI53" s="48">
        <f t="shared" si="3"/>
        <v>22</v>
      </c>
      <c r="AK53" s="49"/>
    </row>
    <row r="54" spans="1:41" ht="15.75" thickBot="1" x14ac:dyDescent="0.3">
      <c r="A54" s="69" t="s">
        <v>60</v>
      </c>
      <c r="B54" s="60">
        <f t="shared" ref="B54:AG54" si="5">SUM(B51:B53)</f>
        <v>367.5</v>
      </c>
      <c r="C54" s="60">
        <f t="shared" si="5"/>
        <v>367.5</v>
      </c>
      <c r="D54" s="60">
        <f t="shared" si="5"/>
        <v>353.4</v>
      </c>
      <c r="E54" s="60">
        <f t="shared" si="5"/>
        <v>313.39999999999998</v>
      </c>
      <c r="F54" s="60">
        <f t="shared" si="5"/>
        <v>303.39999999999998</v>
      </c>
      <c r="G54" s="60">
        <f t="shared" si="5"/>
        <v>258.5</v>
      </c>
      <c r="H54" s="60">
        <f t="shared" si="5"/>
        <v>288.39999999999998</v>
      </c>
      <c r="I54" s="60">
        <f t="shared" si="5"/>
        <v>258.5</v>
      </c>
      <c r="J54" s="60">
        <f t="shared" si="5"/>
        <v>223.4</v>
      </c>
      <c r="K54" s="60">
        <f t="shared" si="5"/>
        <v>193.4</v>
      </c>
      <c r="L54" s="60">
        <f t="shared" si="5"/>
        <v>208.5</v>
      </c>
      <c r="M54" s="60">
        <f t="shared" si="5"/>
        <v>153.4</v>
      </c>
      <c r="N54" s="60">
        <f t="shared" si="5"/>
        <v>133.4</v>
      </c>
      <c r="O54" s="60">
        <f t="shared" si="5"/>
        <v>171.4</v>
      </c>
      <c r="P54" s="60">
        <f t="shared" si="5"/>
        <v>173.4</v>
      </c>
      <c r="Q54" s="60">
        <f t="shared" si="5"/>
        <v>173.4</v>
      </c>
      <c r="R54" s="60">
        <f t="shared" si="5"/>
        <v>239.4</v>
      </c>
      <c r="S54" s="60">
        <f t="shared" si="5"/>
        <v>233.4</v>
      </c>
      <c r="T54" s="60">
        <f t="shared" si="5"/>
        <v>213.4</v>
      </c>
      <c r="U54" s="60">
        <f t="shared" si="5"/>
        <v>223.4</v>
      </c>
      <c r="V54" s="60">
        <f>SUM(V51:V53)</f>
        <v>133.4</v>
      </c>
      <c r="W54" s="60">
        <f>SUM(W51:W53)</f>
        <v>133.4</v>
      </c>
      <c r="X54" s="60">
        <f>SUM(X51:X53)</f>
        <v>103.4</v>
      </c>
      <c r="Y54" s="60">
        <f t="shared" si="5"/>
        <v>143.4</v>
      </c>
      <c r="Z54" s="60">
        <f t="shared" si="5"/>
        <v>143.4</v>
      </c>
      <c r="AA54" s="60">
        <v>464</v>
      </c>
      <c r="AB54" s="60">
        <f t="shared" si="5"/>
        <v>464.5</v>
      </c>
      <c r="AC54" s="60">
        <f t="shared" si="5"/>
        <v>504.4</v>
      </c>
      <c r="AD54" s="60">
        <f t="shared" si="5"/>
        <v>484.4</v>
      </c>
      <c r="AE54" s="60">
        <f t="shared" si="5"/>
        <v>464.2</v>
      </c>
      <c r="AF54" s="60">
        <f t="shared" si="5"/>
        <v>444.2</v>
      </c>
      <c r="AG54" s="61">
        <f t="shared" si="5"/>
        <v>538.1</v>
      </c>
      <c r="AH54" s="47">
        <f t="shared" si="2"/>
        <v>504.4</v>
      </c>
      <c r="AI54" s="48">
        <f t="shared" si="3"/>
        <v>103.4</v>
      </c>
      <c r="AK54" s="49"/>
    </row>
    <row r="55" spans="1:41" x14ac:dyDescent="0.25">
      <c r="A55" s="44" t="s">
        <v>61</v>
      </c>
      <c r="B55" s="45">
        <v>122</v>
      </c>
      <c r="C55" s="45">
        <v>131.9</v>
      </c>
      <c r="D55" s="45">
        <v>131.9</v>
      </c>
      <c r="E55" s="45">
        <v>78.2</v>
      </c>
      <c r="F55" s="45">
        <v>76.400000000000006</v>
      </c>
      <c r="G55" s="45">
        <v>71.099999999999994</v>
      </c>
      <c r="H55" s="45">
        <v>76.5</v>
      </c>
      <c r="I55" s="45">
        <v>74</v>
      </c>
      <c r="J55" s="45">
        <v>82.2</v>
      </c>
      <c r="K55" s="45">
        <v>86.5</v>
      </c>
      <c r="L55" s="45">
        <v>81.5</v>
      </c>
      <c r="M55" s="45">
        <v>81</v>
      </c>
      <c r="N55" s="45">
        <v>71.5</v>
      </c>
      <c r="O55" s="45">
        <v>90.2</v>
      </c>
      <c r="P55" s="45">
        <v>110</v>
      </c>
      <c r="Q55" s="45">
        <v>134</v>
      </c>
      <c r="R55" s="45">
        <v>134</v>
      </c>
      <c r="S55" s="45">
        <v>130</v>
      </c>
      <c r="T55" s="45">
        <v>121</v>
      </c>
      <c r="U55" s="45">
        <v>110</v>
      </c>
      <c r="V55" s="45">
        <v>130</v>
      </c>
      <c r="W55" s="45">
        <v>130</v>
      </c>
      <c r="X55" s="45">
        <v>126</v>
      </c>
      <c r="Y55" s="45">
        <v>132</v>
      </c>
      <c r="Z55" s="45">
        <v>142</v>
      </c>
      <c r="AA55" s="45">
        <v>140</v>
      </c>
      <c r="AB55" s="45">
        <v>143.69999999999999</v>
      </c>
      <c r="AC55" s="45">
        <v>143.6</v>
      </c>
      <c r="AD55" s="45">
        <v>143.30000000000001</v>
      </c>
      <c r="AE55" s="45">
        <v>143.30000000000001</v>
      </c>
      <c r="AF55" s="45">
        <v>143.30000000000001</v>
      </c>
      <c r="AG55" s="51">
        <v>144</v>
      </c>
      <c r="AH55" s="47">
        <f t="shared" si="2"/>
        <v>143.69999999999999</v>
      </c>
      <c r="AI55" s="48">
        <f t="shared" si="3"/>
        <v>71.099999999999994</v>
      </c>
      <c r="AK55" s="49"/>
    </row>
    <row r="56" spans="1:41" x14ac:dyDescent="0.25">
      <c r="A56" s="53" t="s">
        <v>62</v>
      </c>
      <c r="B56" s="65">
        <v>50</v>
      </c>
      <c r="C56" s="65">
        <v>49.3</v>
      </c>
      <c r="D56" s="65">
        <v>49.3</v>
      </c>
      <c r="E56" s="65">
        <v>70.400000000000006</v>
      </c>
      <c r="F56" s="65">
        <v>71.400000000000006</v>
      </c>
      <c r="G56" s="65">
        <v>71.900000000000006</v>
      </c>
      <c r="H56" s="65">
        <v>73.2</v>
      </c>
      <c r="I56" s="65">
        <v>73.400000000000006</v>
      </c>
      <c r="J56" s="65">
        <v>73.3</v>
      </c>
      <c r="K56" s="65">
        <v>72.900000000000006</v>
      </c>
      <c r="L56" s="65">
        <v>72.5</v>
      </c>
      <c r="M56" s="65">
        <v>72.5</v>
      </c>
      <c r="N56" s="65">
        <v>72.2</v>
      </c>
      <c r="O56" s="65">
        <v>70.900000000000006</v>
      </c>
      <c r="P56" s="65">
        <v>69.099999999999994</v>
      </c>
      <c r="Q56" s="65">
        <v>69.3</v>
      </c>
      <c r="R56" s="65">
        <v>70</v>
      </c>
      <c r="S56" s="65">
        <v>70</v>
      </c>
      <c r="T56" s="45">
        <v>68.599999999999994</v>
      </c>
      <c r="U56" s="45">
        <v>70</v>
      </c>
      <c r="V56" s="45">
        <v>68</v>
      </c>
      <c r="W56" s="45">
        <v>68</v>
      </c>
      <c r="X56" s="45">
        <v>68</v>
      </c>
      <c r="Y56" s="45">
        <v>50.5</v>
      </c>
      <c r="Z56" s="45">
        <v>50</v>
      </c>
      <c r="AA56" s="45">
        <v>70.5</v>
      </c>
      <c r="AB56" s="45">
        <v>60</v>
      </c>
      <c r="AC56" s="45">
        <v>71.400000000000006</v>
      </c>
      <c r="AD56" s="65">
        <v>71</v>
      </c>
      <c r="AE56" s="65">
        <v>71</v>
      </c>
      <c r="AF56" s="65">
        <v>71</v>
      </c>
      <c r="AG56" s="54">
        <v>70</v>
      </c>
      <c r="AH56" s="47">
        <f t="shared" si="2"/>
        <v>73.400000000000006</v>
      </c>
      <c r="AI56" s="48">
        <f t="shared" si="3"/>
        <v>49.3</v>
      </c>
      <c r="AK56" s="49"/>
    </row>
    <row r="57" spans="1:41" x14ac:dyDescent="0.25">
      <c r="A57" s="53" t="s">
        <v>63</v>
      </c>
      <c r="B57" s="65">
        <v>65</v>
      </c>
      <c r="C57" s="65">
        <v>65</v>
      </c>
      <c r="D57" s="65">
        <v>65</v>
      </c>
      <c r="E57" s="65">
        <v>70.900000000000006</v>
      </c>
      <c r="F57" s="65">
        <v>68.3</v>
      </c>
      <c r="G57" s="65">
        <v>69.099999999999994</v>
      </c>
      <c r="H57" s="65">
        <v>68.900000000000006</v>
      </c>
      <c r="I57" s="65">
        <v>69.2</v>
      </c>
      <c r="J57" s="65">
        <v>69.400000000000006</v>
      </c>
      <c r="K57" s="65">
        <v>70</v>
      </c>
      <c r="L57" s="65">
        <v>69.5</v>
      </c>
      <c r="M57" s="65">
        <v>69.599999999999994</v>
      </c>
      <c r="N57" s="65">
        <v>60</v>
      </c>
      <c r="O57" s="65">
        <v>66.900000000000006</v>
      </c>
      <c r="P57" s="65">
        <v>69.900000000000006</v>
      </c>
      <c r="Q57" s="65">
        <v>61</v>
      </c>
      <c r="R57" s="65">
        <v>69</v>
      </c>
      <c r="S57" s="65">
        <v>69</v>
      </c>
      <c r="T57" s="45">
        <v>69.959999999999994</v>
      </c>
      <c r="U57" s="45">
        <v>70.2</v>
      </c>
      <c r="V57" s="45">
        <v>67</v>
      </c>
      <c r="W57" s="45">
        <v>67</v>
      </c>
      <c r="X57" s="45">
        <v>67</v>
      </c>
      <c r="Y57" s="45">
        <v>70</v>
      </c>
      <c r="Z57" s="45">
        <v>68</v>
      </c>
      <c r="AA57" s="45">
        <v>68</v>
      </c>
      <c r="AB57" s="45">
        <v>68.2</v>
      </c>
      <c r="AC57" s="45">
        <v>67.400000000000006</v>
      </c>
      <c r="AD57" s="65">
        <v>68</v>
      </c>
      <c r="AE57" s="65">
        <v>68</v>
      </c>
      <c r="AF57" s="65">
        <v>68</v>
      </c>
      <c r="AG57" s="54">
        <v>69</v>
      </c>
      <c r="AH57" s="47">
        <f t="shared" si="2"/>
        <v>70.900000000000006</v>
      </c>
      <c r="AI57" s="48">
        <f t="shared" si="3"/>
        <v>60</v>
      </c>
      <c r="AK57" s="49"/>
    </row>
    <row r="58" spans="1:41" x14ac:dyDescent="0.25">
      <c r="A58" s="53" t="s">
        <v>64</v>
      </c>
      <c r="B58" s="65">
        <v>61.7</v>
      </c>
      <c r="C58" s="65">
        <v>61.7</v>
      </c>
      <c r="D58" s="65">
        <v>61.7</v>
      </c>
      <c r="E58" s="56">
        <v>61.7</v>
      </c>
      <c r="F58" s="56">
        <v>61.7</v>
      </c>
      <c r="G58" s="56">
        <v>61.7</v>
      </c>
      <c r="H58" s="56">
        <v>61.7</v>
      </c>
      <c r="I58" s="56">
        <v>61.5</v>
      </c>
      <c r="J58" s="56">
        <v>61.5</v>
      </c>
      <c r="K58" s="56">
        <v>61.5</v>
      </c>
      <c r="L58" s="56">
        <v>61.5</v>
      </c>
      <c r="M58" s="65">
        <v>61.2</v>
      </c>
      <c r="N58" s="65">
        <v>61.2</v>
      </c>
      <c r="O58" s="65">
        <v>61.5</v>
      </c>
      <c r="P58" s="65">
        <v>61.5</v>
      </c>
      <c r="Q58" s="65">
        <v>61.5</v>
      </c>
      <c r="R58" s="65">
        <v>61.5</v>
      </c>
      <c r="S58" s="65">
        <v>61.5</v>
      </c>
      <c r="T58" s="45">
        <v>61.5</v>
      </c>
      <c r="U58" s="45">
        <v>61.5</v>
      </c>
      <c r="V58" s="45">
        <v>61.5</v>
      </c>
      <c r="W58" s="45">
        <v>61.5</v>
      </c>
      <c r="X58" s="45">
        <v>61.5</v>
      </c>
      <c r="Y58" s="45">
        <v>61.5</v>
      </c>
      <c r="Z58" s="45">
        <v>61</v>
      </c>
      <c r="AA58" s="45">
        <v>61.5</v>
      </c>
      <c r="AB58" s="45">
        <v>61.5</v>
      </c>
      <c r="AC58" s="45">
        <v>61.7</v>
      </c>
      <c r="AD58" s="65">
        <v>61.7</v>
      </c>
      <c r="AE58" s="65">
        <v>61.7</v>
      </c>
      <c r="AF58" s="65">
        <v>61.7</v>
      </c>
      <c r="AG58" s="54">
        <v>60</v>
      </c>
      <c r="AH58" s="47">
        <f t="shared" si="2"/>
        <v>61.7</v>
      </c>
      <c r="AI58" s="48">
        <f t="shared" si="3"/>
        <v>61</v>
      </c>
      <c r="AK58" s="49"/>
    </row>
    <row r="59" spans="1:41" x14ac:dyDescent="0.25">
      <c r="A59" s="53" t="s">
        <v>65</v>
      </c>
      <c r="B59" s="65">
        <v>15</v>
      </c>
      <c r="C59" s="65">
        <v>15</v>
      </c>
      <c r="D59" s="65">
        <v>15</v>
      </c>
      <c r="E59" s="65">
        <v>15</v>
      </c>
      <c r="F59" s="65">
        <v>15</v>
      </c>
      <c r="G59" s="56">
        <v>15</v>
      </c>
      <c r="H59" s="56">
        <v>15</v>
      </c>
      <c r="I59" s="56">
        <v>15</v>
      </c>
      <c r="J59" s="56">
        <v>10</v>
      </c>
      <c r="K59" s="56">
        <v>10</v>
      </c>
      <c r="L59" s="56">
        <v>10</v>
      </c>
      <c r="M59" s="65">
        <v>10</v>
      </c>
      <c r="N59" s="65">
        <v>10</v>
      </c>
      <c r="O59" s="65">
        <v>10</v>
      </c>
      <c r="P59" s="65">
        <v>10</v>
      </c>
      <c r="Q59" s="65">
        <v>10</v>
      </c>
      <c r="R59" s="65">
        <v>10</v>
      </c>
      <c r="S59" s="65">
        <v>10</v>
      </c>
      <c r="T59" s="45">
        <v>30</v>
      </c>
      <c r="U59" s="45">
        <v>22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15</v>
      </c>
      <c r="AB59" s="45">
        <v>25</v>
      </c>
      <c r="AC59" s="45">
        <v>25</v>
      </c>
      <c r="AD59" s="65">
        <v>15</v>
      </c>
      <c r="AE59" s="65">
        <v>15</v>
      </c>
      <c r="AF59" s="65">
        <v>10</v>
      </c>
      <c r="AG59" s="54">
        <v>30</v>
      </c>
      <c r="AH59" s="47">
        <f t="shared" si="2"/>
        <v>30</v>
      </c>
      <c r="AI59" s="48">
        <f t="shared" si="3"/>
        <v>0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2</v>
      </c>
      <c r="K60" s="65">
        <v>3.8</v>
      </c>
      <c r="L60" s="65">
        <v>6.5</v>
      </c>
      <c r="M60" s="65">
        <v>6.5</v>
      </c>
      <c r="N60" s="65">
        <v>6.5</v>
      </c>
      <c r="O60" s="65">
        <v>6.5</v>
      </c>
      <c r="P60" s="65">
        <v>16.5</v>
      </c>
      <c r="Q60" s="65">
        <v>16.5</v>
      </c>
      <c r="R60" s="65">
        <v>16.5</v>
      </c>
      <c r="S60" s="65">
        <v>16.5</v>
      </c>
      <c r="T60" s="45">
        <v>16.5</v>
      </c>
      <c r="U60" s="45">
        <v>16.5</v>
      </c>
      <c r="V60" s="45">
        <v>16.5</v>
      </c>
      <c r="W60" s="45">
        <v>6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16.5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17</v>
      </c>
      <c r="N61" s="65">
        <v>17</v>
      </c>
      <c r="O61" s="65">
        <v>17</v>
      </c>
      <c r="P61" s="65">
        <v>17</v>
      </c>
      <c r="Q61" s="65">
        <v>17</v>
      </c>
      <c r="R61" s="65">
        <v>17</v>
      </c>
      <c r="S61" s="65">
        <v>17</v>
      </c>
      <c r="T61" s="65">
        <v>17</v>
      </c>
      <c r="U61" s="65">
        <v>17</v>
      </c>
      <c r="V61" s="65">
        <v>17</v>
      </c>
      <c r="W61" s="65">
        <v>17</v>
      </c>
      <c r="X61" s="65">
        <v>17</v>
      </c>
      <c r="Y61" s="65">
        <v>17</v>
      </c>
      <c r="Z61" s="65">
        <v>17</v>
      </c>
      <c r="AA61" s="65">
        <v>17</v>
      </c>
      <c r="AB61" s="65">
        <v>17</v>
      </c>
      <c r="AC61" s="65">
        <v>17</v>
      </c>
      <c r="AD61" s="65">
        <v>17</v>
      </c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17</v>
      </c>
      <c r="AK61" s="49"/>
    </row>
    <row r="62" spans="1:41" x14ac:dyDescent="0.25">
      <c r="A62" s="53" t="s">
        <v>68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54">
        <v>15</v>
      </c>
      <c r="AH62" s="47">
        <f t="shared" si="2"/>
        <v>0</v>
      </c>
      <c r="AI62" s="48">
        <f t="shared" si="3"/>
        <v>0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12.9</v>
      </c>
      <c r="C63" s="65">
        <v>12.9</v>
      </c>
      <c r="D63" s="65">
        <v>12.9</v>
      </c>
      <c r="E63" s="65">
        <v>12.9</v>
      </c>
      <c r="F63" s="65">
        <v>12.9</v>
      </c>
      <c r="G63" s="65">
        <v>12.9</v>
      </c>
      <c r="H63" s="65">
        <v>12.9</v>
      </c>
      <c r="I63" s="65">
        <v>12.9</v>
      </c>
      <c r="J63" s="65">
        <v>12.9</v>
      </c>
      <c r="K63" s="65">
        <v>12.9</v>
      </c>
      <c r="L63" s="65">
        <v>12.9</v>
      </c>
      <c r="M63" s="65">
        <v>12.9</v>
      </c>
      <c r="N63" s="65">
        <v>12.9</v>
      </c>
      <c r="O63" s="65">
        <v>12.9</v>
      </c>
      <c r="P63" s="65">
        <v>12.9</v>
      </c>
      <c r="Q63" s="65">
        <v>12.9</v>
      </c>
      <c r="R63" s="65">
        <v>12.9</v>
      </c>
      <c r="S63" s="65">
        <v>12.9</v>
      </c>
      <c r="T63" s="65">
        <v>12.9</v>
      </c>
      <c r="U63" s="65">
        <v>12.9</v>
      </c>
      <c r="V63" s="65">
        <v>12.9</v>
      </c>
      <c r="W63" s="65">
        <v>12.9</v>
      </c>
      <c r="X63" s="65">
        <v>12.9</v>
      </c>
      <c r="Y63" s="65">
        <v>12.9</v>
      </c>
      <c r="Z63" s="65">
        <v>12.9</v>
      </c>
      <c r="AA63" s="65">
        <v>12</v>
      </c>
      <c r="AB63" s="65">
        <v>12</v>
      </c>
      <c r="AC63" s="65">
        <v>12</v>
      </c>
      <c r="AD63" s="65">
        <v>12</v>
      </c>
      <c r="AE63" s="65">
        <v>12</v>
      </c>
      <c r="AF63" s="65">
        <v>12</v>
      </c>
      <c r="AG63" s="54">
        <v>14.1</v>
      </c>
      <c r="AH63" s="47">
        <f t="shared" si="2"/>
        <v>12.9</v>
      </c>
      <c r="AI63" s="48">
        <f t="shared" si="3"/>
        <v>12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7.2</v>
      </c>
      <c r="C64" s="65">
        <v>7.2</v>
      </c>
      <c r="D64" s="65">
        <v>7.2</v>
      </c>
      <c r="E64" s="65">
        <v>7.2</v>
      </c>
      <c r="F64" s="65">
        <v>7.2</v>
      </c>
      <c r="G64" s="65">
        <v>7.2</v>
      </c>
      <c r="H64" s="65">
        <v>7.2</v>
      </c>
      <c r="I64" s="65">
        <v>7.2</v>
      </c>
      <c r="J64" s="65">
        <v>7.2</v>
      </c>
      <c r="K64" s="65">
        <v>7.2</v>
      </c>
      <c r="L64" s="65">
        <v>7.2</v>
      </c>
      <c r="M64" s="65">
        <v>7.2</v>
      </c>
      <c r="N64" s="65">
        <v>7.2</v>
      </c>
      <c r="O64" s="65">
        <v>7.2</v>
      </c>
      <c r="P64" s="65">
        <v>7.2</v>
      </c>
      <c r="Q64" s="65">
        <v>7.2</v>
      </c>
      <c r="R64" s="65">
        <v>7.2</v>
      </c>
      <c r="S64" s="65">
        <v>7.2</v>
      </c>
      <c r="T64" s="65">
        <v>7.2</v>
      </c>
      <c r="U64" s="65">
        <v>7.2</v>
      </c>
      <c r="V64" s="65">
        <v>7.2</v>
      </c>
      <c r="W64" s="65">
        <v>7.2</v>
      </c>
      <c r="X64" s="65">
        <v>7.2</v>
      </c>
      <c r="Y64" s="65">
        <v>7.2</v>
      </c>
      <c r="Z64" s="65">
        <v>7.2</v>
      </c>
      <c r="AA64" s="65">
        <v>12</v>
      </c>
      <c r="AB64" s="65">
        <v>12</v>
      </c>
      <c r="AC64" s="65">
        <v>12</v>
      </c>
      <c r="AD64" s="65">
        <v>14.2</v>
      </c>
      <c r="AE64" s="65">
        <v>14.2</v>
      </c>
      <c r="AF64" s="65">
        <v>14.2</v>
      </c>
      <c r="AG64" s="54">
        <v>14</v>
      </c>
      <c r="AH64" s="47">
        <f t="shared" si="2"/>
        <v>14.2</v>
      </c>
      <c r="AI64" s="48">
        <f t="shared" si="3"/>
        <v>7.2</v>
      </c>
      <c r="AK64" s="49"/>
    </row>
    <row r="65" spans="1:40" x14ac:dyDescent="0.25">
      <c r="A65" s="53" t="s">
        <v>71</v>
      </c>
      <c r="B65" s="65">
        <v>6.3</v>
      </c>
      <c r="C65" s="65">
        <v>6.3</v>
      </c>
      <c r="D65" s="65">
        <v>6.3</v>
      </c>
      <c r="E65" s="65">
        <v>6.3</v>
      </c>
      <c r="F65" s="65">
        <v>6.3</v>
      </c>
      <c r="G65" s="65">
        <v>6.3</v>
      </c>
      <c r="H65" s="65">
        <v>6.3</v>
      </c>
      <c r="I65" s="65">
        <v>6.3</v>
      </c>
      <c r="J65" s="65">
        <v>6.3</v>
      </c>
      <c r="K65" s="65">
        <v>6.3</v>
      </c>
      <c r="L65" s="65">
        <v>6.3</v>
      </c>
      <c r="M65" s="65">
        <v>6.2</v>
      </c>
      <c r="N65" s="65">
        <v>6.2</v>
      </c>
      <c r="O65" s="65">
        <v>6.2</v>
      </c>
      <c r="P65" s="65">
        <v>6.2</v>
      </c>
      <c r="Q65" s="65">
        <v>6.2</v>
      </c>
      <c r="R65" s="65">
        <v>6.2</v>
      </c>
      <c r="S65" s="65">
        <v>6.2</v>
      </c>
      <c r="T65" s="65">
        <v>6.2</v>
      </c>
      <c r="U65" s="65">
        <v>6.2</v>
      </c>
      <c r="V65" s="65">
        <v>6.2</v>
      </c>
      <c r="W65" s="65">
        <v>6.2</v>
      </c>
      <c r="X65" s="65">
        <v>6.2</v>
      </c>
      <c r="Y65" s="65">
        <v>6.2</v>
      </c>
      <c r="Z65" s="65">
        <v>6.2</v>
      </c>
      <c r="AA65" s="65">
        <v>6.2</v>
      </c>
      <c r="AB65" s="65">
        <v>6.2</v>
      </c>
      <c r="AC65" s="65">
        <v>6.2</v>
      </c>
      <c r="AD65" s="65">
        <v>6.2</v>
      </c>
      <c r="AE65" s="65">
        <v>6.2</v>
      </c>
      <c r="AF65" s="65">
        <v>6.2</v>
      </c>
      <c r="AG65" s="54">
        <v>10.050000000000001</v>
      </c>
      <c r="AH65" s="47">
        <f t="shared" si="2"/>
        <v>6.3</v>
      </c>
      <c r="AI65" s="48">
        <f t="shared" si="3"/>
        <v>6.2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6">SUM(B55:B67)</f>
        <v>362.64</v>
      </c>
      <c r="C68" s="60">
        <f t="shared" si="6"/>
        <v>371.84</v>
      </c>
      <c r="D68" s="60">
        <f t="shared" si="6"/>
        <v>371.84</v>
      </c>
      <c r="E68" s="60">
        <f t="shared" si="6"/>
        <v>345.14000000000004</v>
      </c>
      <c r="F68" s="60">
        <f t="shared" si="6"/>
        <v>341.74</v>
      </c>
      <c r="G68" s="60">
        <f t="shared" si="6"/>
        <v>337.74</v>
      </c>
      <c r="H68" s="60">
        <f t="shared" si="6"/>
        <v>344.24</v>
      </c>
      <c r="I68" s="60">
        <f t="shared" si="6"/>
        <v>342.04</v>
      </c>
      <c r="J68" s="60">
        <f t="shared" si="6"/>
        <v>347.34</v>
      </c>
      <c r="K68" s="60">
        <f t="shared" si="6"/>
        <v>353.64</v>
      </c>
      <c r="L68" s="60">
        <f t="shared" si="6"/>
        <v>350.44</v>
      </c>
      <c r="M68" s="60">
        <f t="shared" si="6"/>
        <v>349.64</v>
      </c>
      <c r="N68" s="60">
        <f t="shared" si="6"/>
        <v>330.23999999999995</v>
      </c>
      <c r="O68" s="60">
        <f t="shared" si="6"/>
        <v>354.84</v>
      </c>
      <c r="P68" s="60">
        <f t="shared" si="6"/>
        <v>385.84</v>
      </c>
      <c r="Q68" s="60">
        <f t="shared" si="6"/>
        <v>401.14</v>
      </c>
      <c r="R68" s="60">
        <f t="shared" si="6"/>
        <v>409.84</v>
      </c>
      <c r="S68" s="60">
        <f t="shared" si="6"/>
        <v>405.84</v>
      </c>
      <c r="T68" s="60">
        <f t="shared" si="6"/>
        <v>416.4</v>
      </c>
      <c r="U68" s="60">
        <f t="shared" si="6"/>
        <v>399.03999999999996</v>
      </c>
      <c r="V68" s="60">
        <f>SUM(V55:V67)</f>
        <v>391.84</v>
      </c>
      <c r="W68" s="60">
        <f>SUM(W55:W67)</f>
        <v>381.34</v>
      </c>
      <c r="X68" s="60">
        <f>SUM(X55:X67)</f>
        <v>371.34</v>
      </c>
      <c r="Y68" s="60">
        <f t="shared" si="6"/>
        <v>362.84</v>
      </c>
      <c r="Z68" s="60">
        <f t="shared" si="6"/>
        <v>369.84</v>
      </c>
      <c r="AA68" s="60">
        <v>407.74</v>
      </c>
      <c r="AB68" s="60">
        <f t="shared" si="6"/>
        <v>411.14</v>
      </c>
      <c r="AC68" s="60">
        <f t="shared" si="6"/>
        <v>421.84</v>
      </c>
      <c r="AD68" s="60">
        <f t="shared" si="6"/>
        <v>413.94</v>
      </c>
      <c r="AE68" s="60">
        <f t="shared" si="6"/>
        <v>413.94</v>
      </c>
      <c r="AF68" s="60">
        <f t="shared" si="6"/>
        <v>408.94</v>
      </c>
      <c r="AG68" s="61">
        <f t="shared" si="6"/>
        <v>489.91</v>
      </c>
      <c r="AH68" s="47">
        <f t="shared" si="2"/>
        <v>421.84</v>
      </c>
      <c r="AI68" s="48">
        <f t="shared" si="3"/>
        <v>330.23999999999995</v>
      </c>
      <c r="AK68" s="49"/>
    </row>
    <row r="69" spans="1:40" x14ac:dyDescent="0.25">
      <c r="A69" s="44" t="s">
        <v>75</v>
      </c>
      <c r="B69" s="45">
        <v>14.1</v>
      </c>
      <c r="C69" s="45">
        <v>14</v>
      </c>
      <c r="D69" s="45">
        <v>14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29.4</v>
      </c>
      <c r="M69" s="45">
        <v>25</v>
      </c>
      <c r="N69" s="45">
        <v>14</v>
      </c>
      <c r="O69" s="45">
        <v>14</v>
      </c>
      <c r="P69" s="45">
        <v>20</v>
      </c>
      <c r="Q69" s="45">
        <v>14.1</v>
      </c>
      <c r="R69" s="45">
        <v>14.1</v>
      </c>
      <c r="S69" s="45">
        <v>24.7</v>
      </c>
      <c r="T69" s="45">
        <v>14</v>
      </c>
      <c r="U69" s="45">
        <v>25</v>
      </c>
      <c r="V69" s="45">
        <v>30</v>
      </c>
      <c r="W69" s="45">
        <v>30</v>
      </c>
      <c r="X69" s="45">
        <v>14</v>
      </c>
      <c r="Y69" s="45">
        <v>13.7</v>
      </c>
      <c r="Z69" s="45">
        <v>13.7</v>
      </c>
      <c r="AA69" s="45">
        <v>60</v>
      </c>
      <c r="AB69" s="45">
        <v>50</v>
      </c>
      <c r="AC69" s="45">
        <v>13.7</v>
      </c>
      <c r="AD69" s="45">
        <v>13.8</v>
      </c>
      <c r="AE69" s="45">
        <v>28.1</v>
      </c>
      <c r="AF69" s="45">
        <v>28.1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4.9000000000000004</v>
      </c>
      <c r="C70" s="45">
        <v>5.4</v>
      </c>
      <c r="D70" s="65">
        <v>5.3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9.1999999999999993</v>
      </c>
      <c r="M70" s="65">
        <v>11.5</v>
      </c>
      <c r="N70" s="65">
        <v>6.8</v>
      </c>
      <c r="O70" s="65">
        <v>6.8</v>
      </c>
      <c r="P70" s="65">
        <v>7.4</v>
      </c>
      <c r="Q70" s="65">
        <v>4.5999999999999996</v>
      </c>
      <c r="R70" s="65">
        <v>5.9</v>
      </c>
      <c r="S70" s="65">
        <v>9.6999999999999993</v>
      </c>
      <c r="T70" s="65">
        <v>5.3</v>
      </c>
      <c r="U70" s="65">
        <v>11.1</v>
      </c>
      <c r="V70" s="65">
        <v>15.2</v>
      </c>
      <c r="W70" s="65">
        <v>15.2</v>
      </c>
      <c r="X70" s="65">
        <v>9.3000000000000007</v>
      </c>
      <c r="Y70" s="65">
        <v>5</v>
      </c>
      <c r="Z70" s="65">
        <v>5</v>
      </c>
      <c r="AA70" s="65">
        <v>25.7</v>
      </c>
      <c r="AB70" s="65">
        <v>29.6</v>
      </c>
      <c r="AC70" s="65">
        <v>14.6</v>
      </c>
      <c r="AD70" s="65">
        <v>5.3</v>
      </c>
      <c r="AE70" s="65">
        <v>13.6</v>
      </c>
      <c r="AF70" s="65">
        <v>13.6</v>
      </c>
      <c r="AG70" s="54">
        <v>32</v>
      </c>
      <c r="AH70" s="47">
        <f t="shared" si="2"/>
        <v>29.6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1.8</v>
      </c>
      <c r="C71" s="45">
        <v>2</v>
      </c>
      <c r="D71" s="67">
        <v>1.9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3.4</v>
      </c>
      <c r="M71" s="67">
        <v>4.2</v>
      </c>
      <c r="N71" s="67">
        <v>2.5</v>
      </c>
      <c r="O71" s="67">
        <v>2.5</v>
      </c>
      <c r="P71" s="67">
        <v>2.7</v>
      </c>
      <c r="Q71" s="67">
        <v>1.7</v>
      </c>
      <c r="R71" s="67">
        <v>2.1</v>
      </c>
      <c r="S71" s="67">
        <v>3.6</v>
      </c>
      <c r="T71" s="67">
        <v>1.9</v>
      </c>
      <c r="U71" s="67">
        <v>4</v>
      </c>
      <c r="V71" s="67">
        <v>4</v>
      </c>
      <c r="W71" s="67">
        <v>4</v>
      </c>
      <c r="X71" s="67">
        <v>3.4</v>
      </c>
      <c r="Y71" s="67">
        <v>1.8</v>
      </c>
      <c r="Z71" s="67">
        <v>1.8</v>
      </c>
      <c r="AA71" s="67">
        <v>9.4</v>
      </c>
      <c r="AB71" s="67">
        <v>10.8</v>
      </c>
      <c r="AC71" s="67">
        <v>5.3</v>
      </c>
      <c r="AD71" s="67">
        <v>1.9</v>
      </c>
      <c r="AE71" s="67">
        <v>5</v>
      </c>
      <c r="AF71" s="67">
        <v>5</v>
      </c>
      <c r="AG71" s="68">
        <v>14</v>
      </c>
      <c r="AH71" s="47">
        <f t="shared" si="2"/>
        <v>10.8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20.8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41.999999999999993</v>
      </c>
      <c r="M72" s="60">
        <f t="shared" ref="M72:AF72" si="7">M69+M70+M71</f>
        <v>40.700000000000003</v>
      </c>
      <c r="N72" s="60">
        <f t="shared" si="7"/>
        <v>23.3</v>
      </c>
      <c r="O72" s="60">
        <f t="shared" si="7"/>
        <v>23.3</v>
      </c>
      <c r="P72" s="60">
        <f t="shared" si="7"/>
        <v>30.099999999999998</v>
      </c>
      <c r="Q72" s="60">
        <f t="shared" si="7"/>
        <v>20.399999999999999</v>
      </c>
      <c r="R72" s="60">
        <f t="shared" si="7"/>
        <v>22.1</v>
      </c>
      <c r="S72" s="60">
        <f t="shared" si="7"/>
        <v>38</v>
      </c>
      <c r="T72" s="60">
        <f t="shared" si="7"/>
        <v>21.2</v>
      </c>
      <c r="U72" s="60">
        <f t="shared" si="7"/>
        <v>40.1</v>
      </c>
      <c r="V72" s="60">
        <f>V69+V70+V71</f>
        <v>49.2</v>
      </c>
      <c r="W72" s="60">
        <f>W69+W70+W71</f>
        <v>49.2</v>
      </c>
      <c r="X72" s="60">
        <f>X69+X70+X71</f>
        <v>26.7</v>
      </c>
      <c r="Y72" s="60">
        <f t="shared" si="7"/>
        <v>20.5</v>
      </c>
      <c r="Z72" s="60">
        <f t="shared" si="7"/>
        <v>20.5</v>
      </c>
      <c r="AA72" s="60">
        <v>95.100000000000009</v>
      </c>
      <c r="AB72" s="60">
        <f t="shared" si="7"/>
        <v>90.399999999999991</v>
      </c>
      <c r="AC72" s="60">
        <f t="shared" si="7"/>
        <v>33.599999999999994</v>
      </c>
      <c r="AD72" s="60">
        <f t="shared" si="7"/>
        <v>21</v>
      </c>
      <c r="AE72" s="60">
        <f t="shared" si="7"/>
        <v>46.7</v>
      </c>
      <c r="AF72" s="60">
        <f t="shared" si="7"/>
        <v>46.7</v>
      </c>
      <c r="AG72" s="61">
        <f>SUM(AG69:AG71)</f>
        <v>106</v>
      </c>
      <c r="AH72" s="47">
        <f t="shared" si="2"/>
        <v>95.100000000000009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64</v>
      </c>
      <c r="C73" s="45">
        <v>51.4</v>
      </c>
      <c r="D73" s="45">
        <v>64.900000000000006</v>
      </c>
      <c r="E73" s="45">
        <v>54.8</v>
      </c>
      <c r="F73" s="45">
        <v>44.2</v>
      </c>
      <c r="G73" s="45">
        <v>52.5</v>
      </c>
      <c r="H73" s="45">
        <v>50.9</v>
      </c>
      <c r="I73" s="45">
        <v>46.6</v>
      </c>
      <c r="J73" s="45">
        <v>46.3</v>
      </c>
      <c r="K73" s="45">
        <v>54</v>
      </c>
      <c r="L73" s="45">
        <v>46.6</v>
      </c>
      <c r="M73" s="45">
        <v>46.6</v>
      </c>
      <c r="N73" s="45">
        <v>54.8</v>
      </c>
      <c r="O73" s="45">
        <v>56.4</v>
      </c>
      <c r="P73" s="45">
        <v>55</v>
      </c>
      <c r="Q73" s="45">
        <v>33.700000000000003</v>
      </c>
      <c r="R73" s="45">
        <v>51.4</v>
      </c>
      <c r="S73" s="45">
        <v>62.3</v>
      </c>
      <c r="T73" s="45">
        <v>65.599999999999994</v>
      </c>
      <c r="U73" s="45">
        <v>73.400000000000006</v>
      </c>
      <c r="V73" s="45">
        <v>60</v>
      </c>
      <c r="W73" s="45">
        <v>60</v>
      </c>
      <c r="X73" s="45">
        <v>60</v>
      </c>
      <c r="Y73" s="45">
        <v>58</v>
      </c>
      <c r="Z73" s="45">
        <v>58</v>
      </c>
      <c r="AA73" s="45">
        <v>66.8</v>
      </c>
      <c r="AB73" s="45">
        <v>66</v>
      </c>
      <c r="AC73" s="45">
        <v>58</v>
      </c>
      <c r="AD73" s="45">
        <v>61</v>
      </c>
      <c r="AE73" s="45">
        <v>42</v>
      </c>
      <c r="AF73" s="45">
        <v>46</v>
      </c>
      <c r="AG73" s="51"/>
      <c r="AH73" s="47">
        <f t="shared" si="2"/>
        <v>73.400000000000006</v>
      </c>
      <c r="AI73" s="48">
        <f t="shared" si="3"/>
        <v>33.700000000000003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65.3</v>
      </c>
      <c r="C75" s="65">
        <v>38.200000000000003</v>
      </c>
      <c r="D75" s="65">
        <v>30.7</v>
      </c>
      <c r="E75" s="65">
        <v>65</v>
      </c>
      <c r="F75" s="65">
        <v>110</v>
      </c>
      <c r="G75" s="65">
        <v>97</v>
      </c>
      <c r="H75" s="65">
        <v>96</v>
      </c>
      <c r="I75" s="65">
        <v>100</v>
      </c>
      <c r="J75" s="65">
        <v>253.3</v>
      </c>
      <c r="K75" s="65">
        <v>257.10000000000002</v>
      </c>
      <c r="L75" s="65">
        <v>296</v>
      </c>
      <c r="M75" s="65">
        <v>296</v>
      </c>
      <c r="N75" s="65">
        <v>296</v>
      </c>
      <c r="O75" s="65">
        <v>287</v>
      </c>
      <c r="P75" s="65">
        <v>291</v>
      </c>
      <c r="Q75" s="65">
        <v>298</v>
      </c>
      <c r="R75" s="65">
        <v>271</v>
      </c>
      <c r="S75" s="65">
        <v>270</v>
      </c>
      <c r="T75" s="65">
        <v>284</v>
      </c>
      <c r="U75" s="65">
        <v>260</v>
      </c>
      <c r="V75" s="65">
        <v>316</v>
      </c>
      <c r="W75" s="65">
        <v>316</v>
      </c>
      <c r="X75" s="65">
        <v>310</v>
      </c>
      <c r="Y75" s="65">
        <v>290</v>
      </c>
      <c r="Z75" s="65">
        <v>293</v>
      </c>
      <c r="AA75" s="65">
        <v>-4</v>
      </c>
      <c r="AB75" s="65">
        <v>0</v>
      </c>
      <c r="AC75" s="65">
        <v>3.7</v>
      </c>
      <c r="AD75" s="65">
        <v>8.4</v>
      </c>
      <c r="AE75" s="65">
        <v>75</v>
      </c>
      <c r="AF75" s="65">
        <v>13</v>
      </c>
      <c r="AG75" s="75"/>
      <c r="AH75" s="47">
        <f t="shared" si="2"/>
        <v>316</v>
      </c>
      <c r="AI75" s="48">
        <f t="shared" si="3"/>
        <v>-4</v>
      </c>
      <c r="AK75" s="49"/>
    </row>
    <row r="76" spans="1:40" x14ac:dyDescent="0.25">
      <c r="A76" s="53" t="s">
        <v>82</v>
      </c>
      <c r="B76" s="65">
        <v>12</v>
      </c>
      <c r="C76" s="65">
        <v>12</v>
      </c>
      <c r="D76" s="65">
        <v>12</v>
      </c>
      <c r="E76" s="76">
        <v>30.8</v>
      </c>
      <c r="F76" s="76">
        <v>31.9</v>
      </c>
      <c r="G76" s="76">
        <v>31.5</v>
      </c>
      <c r="H76" s="76">
        <v>31.4</v>
      </c>
      <c r="I76" s="76">
        <v>31.5</v>
      </c>
      <c r="J76" s="76">
        <v>45.7</v>
      </c>
      <c r="K76" s="76">
        <v>45.7</v>
      </c>
      <c r="L76" s="76">
        <v>55.1</v>
      </c>
      <c r="M76" s="76">
        <v>55.1</v>
      </c>
      <c r="N76" s="76">
        <v>10</v>
      </c>
      <c r="O76" s="76">
        <v>49</v>
      </c>
      <c r="P76" s="76">
        <v>53</v>
      </c>
      <c r="Q76" s="76">
        <v>31</v>
      </c>
      <c r="R76" s="76">
        <v>27</v>
      </c>
      <c r="S76" s="76">
        <v>27</v>
      </c>
      <c r="T76" s="76">
        <v>27.6</v>
      </c>
      <c r="U76" s="76">
        <v>27.6</v>
      </c>
      <c r="V76" s="76">
        <v>45.2</v>
      </c>
      <c r="W76" s="76">
        <v>45.2</v>
      </c>
      <c r="X76" s="76">
        <v>43</v>
      </c>
      <c r="Y76" s="76">
        <v>0</v>
      </c>
      <c r="Z76" s="76">
        <v>0</v>
      </c>
      <c r="AA76" s="76">
        <v>10</v>
      </c>
      <c r="AB76" s="76">
        <v>10</v>
      </c>
      <c r="AC76" s="76">
        <v>10</v>
      </c>
      <c r="AD76" s="65">
        <v>10</v>
      </c>
      <c r="AE76" s="76">
        <v>10</v>
      </c>
      <c r="AF76" s="76">
        <v>10</v>
      </c>
      <c r="AG76" s="75"/>
      <c r="AH76" s="47">
        <f t="shared" si="2"/>
        <v>55.1</v>
      </c>
      <c r="AI76" s="48">
        <f t="shared" si="3"/>
        <v>0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6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36.6</v>
      </c>
      <c r="Q77" s="45">
        <v>36</v>
      </c>
      <c r="R77" s="45">
        <v>36</v>
      </c>
      <c r="S77" s="45">
        <v>36</v>
      </c>
      <c r="T77" s="45">
        <v>36</v>
      </c>
      <c r="U77" s="45">
        <v>34.799999999999997</v>
      </c>
      <c r="V77" s="45">
        <v>24</v>
      </c>
      <c r="W77" s="45">
        <v>24</v>
      </c>
      <c r="X77" s="45">
        <v>24</v>
      </c>
      <c r="Y77" s="45">
        <v>24</v>
      </c>
      <c r="Z77" s="45">
        <v>24</v>
      </c>
      <c r="AA77" s="45">
        <v>25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8">MAX(B77:AF77)</f>
        <v>36.6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45">
        <v>5</v>
      </c>
      <c r="C78" s="45">
        <v>5</v>
      </c>
      <c r="D78" s="65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8"/>
        <v>5</v>
      </c>
      <c r="AI78" s="48">
        <f t="shared" si="9"/>
        <v>5</v>
      </c>
      <c r="AK78" s="49"/>
    </row>
    <row r="79" spans="1:40" ht="15.75" thickBot="1" x14ac:dyDescent="0.3">
      <c r="A79" s="53" t="s">
        <v>85</v>
      </c>
      <c r="B79" s="45">
        <v>7</v>
      </c>
      <c r="C79" s="45">
        <v>7</v>
      </c>
      <c r="D79" s="65">
        <v>7</v>
      </c>
      <c r="E79" s="77">
        <v>7</v>
      </c>
      <c r="F79" s="77">
        <v>7</v>
      </c>
      <c r="G79" s="77">
        <v>7</v>
      </c>
      <c r="H79" s="77">
        <v>7</v>
      </c>
      <c r="I79" s="77">
        <v>7</v>
      </c>
      <c r="J79" s="77">
        <v>7</v>
      </c>
      <c r="K79" s="77">
        <v>7</v>
      </c>
      <c r="L79" s="77">
        <v>7</v>
      </c>
      <c r="M79" s="77">
        <v>7</v>
      </c>
      <c r="N79" s="77">
        <v>7</v>
      </c>
      <c r="O79" s="77">
        <v>7</v>
      </c>
      <c r="P79" s="77">
        <v>7</v>
      </c>
      <c r="Q79" s="77">
        <v>7</v>
      </c>
      <c r="R79" s="77">
        <v>7</v>
      </c>
      <c r="S79" s="77">
        <v>7</v>
      </c>
      <c r="T79" s="77">
        <v>7</v>
      </c>
      <c r="U79" s="77">
        <v>7</v>
      </c>
      <c r="V79" s="77">
        <v>7</v>
      </c>
      <c r="W79" s="77">
        <v>7</v>
      </c>
      <c r="X79" s="77">
        <v>7</v>
      </c>
      <c r="Y79" s="77">
        <v>7</v>
      </c>
      <c r="Z79" s="77">
        <v>7</v>
      </c>
      <c r="AA79" s="77">
        <v>7</v>
      </c>
      <c r="AB79" s="77">
        <v>7</v>
      </c>
      <c r="AC79" s="77">
        <v>7</v>
      </c>
      <c r="AD79" s="77">
        <v>7</v>
      </c>
      <c r="AE79" s="77">
        <v>7</v>
      </c>
      <c r="AF79" s="77">
        <v>7</v>
      </c>
      <c r="AG79" s="75"/>
      <c r="AH79" s="47">
        <f t="shared" si="8"/>
        <v>7</v>
      </c>
      <c r="AI79" s="48">
        <f t="shared" si="9"/>
        <v>7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0</v>
      </c>
      <c r="C80" s="45">
        <v>0</v>
      </c>
      <c r="D80" s="65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2.5</v>
      </c>
      <c r="C81" s="45">
        <v>2.5</v>
      </c>
      <c r="D81" s="65">
        <v>2.5</v>
      </c>
      <c r="E81" s="77">
        <v>2.5</v>
      </c>
      <c r="F81" s="77">
        <v>2.5</v>
      </c>
      <c r="G81" s="77">
        <v>2.5</v>
      </c>
      <c r="H81" s="77">
        <v>2.5</v>
      </c>
      <c r="I81" s="77">
        <v>2.5</v>
      </c>
      <c r="J81" s="77">
        <v>2.5</v>
      </c>
      <c r="K81" s="77">
        <v>2.5</v>
      </c>
      <c r="L81" s="77">
        <v>2.5</v>
      </c>
      <c r="M81" s="77">
        <v>2.5</v>
      </c>
      <c r="N81" s="77">
        <v>2.5</v>
      </c>
      <c r="O81" s="77">
        <v>2.5</v>
      </c>
      <c r="P81" s="77">
        <v>5</v>
      </c>
      <c r="Q81" s="77">
        <v>5</v>
      </c>
      <c r="R81" s="77">
        <v>5</v>
      </c>
      <c r="S81" s="77">
        <v>5</v>
      </c>
      <c r="T81" s="77">
        <v>5</v>
      </c>
      <c r="U81" s="77">
        <v>5</v>
      </c>
      <c r="V81" s="77">
        <v>5</v>
      </c>
      <c r="W81" s="77">
        <v>5</v>
      </c>
      <c r="X81" s="77">
        <v>5</v>
      </c>
      <c r="Y81" s="77">
        <v>5</v>
      </c>
      <c r="Z81" s="77">
        <v>5</v>
      </c>
      <c r="AA81" s="77">
        <v>5</v>
      </c>
      <c r="AB81" s="77">
        <v>5</v>
      </c>
      <c r="AC81" s="77">
        <v>5</v>
      </c>
      <c r="AD81" s="77">
        <v>5</v>
      </c>
      <c r="AE81" s="77">
        <v>5</v>
      </c>
      <c r="AF81" s="77">
        <v>5</v>
      </c>
      <c r="AG81" s="75"/>
      <c r="AH81" s="47">
        <f t="shared" si="8"/>
        <v>5</v>
      </c>
      <c r="AI81" s="48">
        <f t="shared" si="9"/>
        <v>2.5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>
        <v>0</v>
      </c>
      <c r="C82" s="4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>
        <v>0</v>
      </c>
      <c r="C83" s="4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5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5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 t="shared" ref="B84:AF84" si="10">SUMIF(B73:B83,"&gt;0")</f>
        <v>155.80000000000001</v>
      </c>
      <c r="C84" s="60">
        <f t="shared" si="10"/>
        <v>116.1</v>
      </c>
      <c r="D84" s="60">
        <f t="shared" si="10"/>
        <v>122.10000000000001</v>
      </c>
      <c r="E84" s="60">
        <f t="shared" si="10"/>
        <v>165.1</v>
      </c>
      <c r="F84" s="60">
        <f t="shared" si="10"/>
        <v>200.6</v>
      </c>
      <c r="G84" s="60">
        <f t="shared" si="10"/>
        <v>195.5</v>
      </c>
      <c r="H84" s="60">
        <f t="shared" si="10"/>
        <v>192.8</v>
      </c>
      <c r="I84" s="60">
        <f t="shared" si="10"/>
        <v>192.6</v>
      </c>
      <c r="J84" s="60">
        <f t="shared" si="10"/>
        <v>359.8</v>
      </c>
      <c r="K84" s="60">
        <f t="shared" si="10"/>
        <v>371.3</v>
      </c>
      <c r="L84" s="60">
        <f t="shared" si="10"/>
        <v>412.20000000000005</v>
      </c>
      <c r="M84" s="60">
        <f t="shared" si="10"/>
        <v>412.20000000000005</v>
      </c>
      <c r="N84" s="60">
        <f t="shared" si="10"/>
        <v>375.3</v>
      </c>
      <c r="O84" s="60">
        <f t="shared" si="10"/>
        <v>406.9</v>
      </c>
      <c r="P84" s="60">
        <f t="shared" si="10"/>
        <v>452.6</v>
      </c>
      <c r="Q84" s="60">
        <f t="shared" si="10"/>
        <v>415.7</v>
      </c>
      <c r="R84" s="60">
        <f t="shared" si="10"/>
        <v>402.4</v>
      </c>
      <c r="S84" s="60">
        <f t="shared" si="10"/>
        <v>412.3</v>
      </c>
      <c r="T84" s="60">
        <f t="shared" si="10"/>
        <v>430.20000000000005</v>
      </c>
      <c r="U84" s="60">
        <f t="shared" si="10"/>
        <v>412.8</v>
      </c>
      <c r="V84" s="60">
        <f>SUMIF(V73:V83,"&gt;0")</f>
        <v>462.2</v>
      </c>
      <c r="W84" s="60">
        <f>SUMIF(W73:W83,"&gt;0")</f>
        <v>462.2</v>
      </c>
      <c r="X84" s="60">
        <f>SUMIF(X73:X83,"&gt;0")</f>
        <v>454</v>
      </c>
      <c r="Y84" s="60">
        <f t="shared" si="10"/>
        <v>389</v>
      </c>
      <c r="Z84" s="60">
        <f t="shared" si="10"/>
        <v>392</v>
      </c>
      <c r="AA84" s="60">
        <v>123.8</v>
      </c>
      <c r="AB84" s="60">
        <f t="shared" si="10"/>
        <v>93</v>
      </c>
      <c r="AC84" s="60">
        <f t="shared" si="10"/>
        <v>88.7</v>
      </c>
      <c r="AD84" s="60">
        <f t="shared" si="10"/>
        <v>96.4</v>
      </c>
      <c r="AE84" s="60">
        <f t="shared" si="10"/>
        <v>144</v>
      </c>
      <c r="AF84" s="60">
        <f t="shared" si="10"/>
        <v>86</v>
      </c>
      <c r="AG84" s="88">
        <f>SUM(AG73:AG83)</f>
        <v>0</v>
      </c>
      <c r="AH84" s="47">
        <f t="shared" si="8"/>
        <v>462.2</v>
      </c>
      <c r="AI84" s="48">
        <f t="shared" si="9"/>
        <v>86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 t="shared" ref="B89:AG89" si="11">B50+B54+B72+B68+B84+B88</f>
        <v>1673.84</v>
      </c>
      <c r="C89" s="95">
        <f t="shared" si="11"/>
        <v>1622.5399999999997</v>
      </c>
      <c r="D89" s="95">
        <f t="shared" si="11"/>
        <v>1614.4399999999998</v>
      </c>
      <c r="E89" s="95">
        <f t="shared" si="11"/>
        <v>1600.64</v>
      </c>
      <c r="F89" s="95">
        <f t="shared" si="11"/>
        <v>1620.74</v>
      </c>
      <c r="G89" s="95">
        <f t="shared" si="11"/>
        <v>1566.74</v>
      </c>
      <c r="H89" s="95">
        <f t="shared" si="11"/>
        <v>1600.44</v>
      </c>
      <c r="I89" s="95">
        <f t="shared" si="11"/>
        <v>1568.1399999999999</v>
      </c>
      <c r="J89" s="95">
        <f t="shared" si="11"/>
        <v>1697.84</v>
      </c>
      <c r="K89" s="95">
        <f t="shared" si="11"/>
        <v>1685.64</v>
      </c>
      <c r="L89" s="95">
        <f t="shared" si="11"/>
        <v>1780.44</v>
      </c>
      <c r="M89" s="95">
        <f t="shared" si="11"/>
        <v>1692.0400000000002</v>
      </c>
      <c r="N89" s="95">
        <f t="shared" si="11"/>
        <v>1598.34</v>
      </c>
      <c r="O89" s="95">
        <f t="shared" si="11"/>
        <v>1692.54</v>
      </c>
      <c r="P89" s="95">
        <f t="shared" si="11"/>
        <v>1778.04</v>
      </c>
      <c r="Q89" s="95">
        <f t="shared" si="11"/>
        <v>1746.74</v>
      </c>
      <c r="R89" s="95">
        <f t="shared" si="11"/>
        <v>1809.8400000000001</v>
      </c>
      <c r="S89" s="95">
        <f t="shared" si="11"/>
        <v>1825.6399999999999</v>
      </c>
      <c r="T89" s="95">
        <f t="shared" si="11"/>
        <v>1817.3</v>
      </c>
      <c r="U89" s="95">
        <f t="shared" si="11"/>
        <v>1811.4399999999998</v>
      </c>
      <c r="V89" s="95">
        <f>V50+V54+V72+V68+V84+V88</f>
        <v>1771.74</v>
      </c>
      <c r="W89" s="95">
        <f>W50+W54+W72+W68+W84+W88</f>
        <v>1760.24</v>
      </c>
      <c r="X89" s="95">
        <f>X50+X54+X72+X68+X84+X88</f>
        <v>1680.54</v>
      </c>
      <c r="Y89" s="95">
        <f t="shared" si="11"/>
        <v>1640.84</v>
      </c>
      <c r="Z89" s="95">
        <f t="shared" si="11"/>
        <v>1650.84</v>
      </c>
      <c r="AA89" s="95">
        <f t="shared" si="11"/>
        <v>1815.94</v>
      </c>
      <c r="AB89" s="95">
        <f t="shared" si="11"/>
        <v>1731.8400000000001</v>
      </c>
      <c r="AC89" s="95">
        <f t="shared" si="11"/>
        <v>1721.34</v>
      </c>
      <c r="AD89" s="95">
        <f t="shared" si="11"/>
        <v>1689.3400000000001</v>
      </c>
      <c r="AE89" s="95">
        <f t="shared" si="11"/>
        <v>1742.4400000000003</v>
      </c>
      <c r="AF89" s="95">
        <f t="shared" si="11"/>
        <v>1659.4400000000003</v>
      </c>
      <c r="AG89" s="61">
        <f t="shared" si="11"/>
        <v>2111.5500000000002</v>
      </c>
      <c r="AH89" s="47">
        <f t="shared" si="8"/>
        <v>1825.6399999999999</v>
      </c>
      <c r="AI89" s="48">
        <f t="shared" si="9"/>
        <v>1566.74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/>
      <c r="K90" s="97">
        <v>20</v>
      </c>
      <c r="L90" s="97">
        <v>25</v>
      </c>
      <c r="M90" s="97">
        <v>50</v>
      </c>
      <c r="N90" s="97">
        <v>50</v>
      </c>
      <c r="O90" s="97">
        <v>50</v>
      </c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>
        <v>150</v>
      </c>
      <c r="AA90" s="97">
        <v>150</v>
      </c>
      <c r="AB90" s="97">
        <v>150</v>
      </c>
      <c r="AC90" s="97">
        <v>150</v>
      </c>
      <c r="AD90" s="97"/>
      <c r="AE90" s="97"/>
      <c r="AF90" s="97"/>
      <c r="AG90" s="88"/>
      <c r="AH90" s="47">
        <f t="shared" si="8"/>
        <v>150</v>
      </c>
      <c r="AI90" s="48">
        <f t="shared" si="9"/>
        <v>20</v>
      </c>
    </row>
    <row r="91" spans="1:40" ht="15.75" thickBot="1" x14ac:dyDescent="0.3">
      <c r="A91" s="74" t="s">
        <v>100</v>
      </c>
      <c r="B91" s="95">
        <f t="shared" ref="B91:AF91" si="12">B89+B90</f>
        <v>1673.84</v>
      </c>
      <c r="C91" s="95">
        <f t="shared" si="12"/>
        <v>1622.5399999999997</v>
      </c>
      <c r="D91" s="95">
        <f t="shared" si="12"/>
        <v>1614.4399999999998</v>
      </c>
      <c r="E91" s="95">
        <f t="shared" si="12"/>
        <v>1600.64</v>
      </c>
      <c r="F91" s="95">
        <f t="shared" si="12"/>
        <v>1620.74</v>
      </c>
      <c r="G91" s="95">
        <f t="shared" si="12"/>
        <v>1566.74</v>
      </c>
      <c r="H91" s="95">
        <f t="shared" si="12"/>
        <v>1600.44</v>
      </c>
      <c r="I91" s="95">
        <f t="shared" si="12"/>
        <v>1568.1399999999999</v>
      </c>
      <c r="J91" s="95">
        <f t="shared" si="12"/>
        <v>1697.84</v>
      </c>
      <c r="K91" s="95">
        <f t="shared" si="12"/>
        <v>1705.64</v>
      </c>
      <c r="L91" s="95">
        <f t="shared" si="12"/>
        <v>1805.44</v>
      </c>
      <c r="M91" s="95">
        <f t="shared" si="12"/>
        <v>1742.0400000000002</v>
      </c>
      <c r="N91" s="95">
        <f t="shared" si="12"/>
        <v>1648.34</v>
      </c>
      <c r="O91" s="95">
        <f t="shared" si="12"/>
        <v>1742.54</v>
      </c>
      <c r="P91" s="95">
        <f t="shared" si="12"/>
        <v>1778.04</v>
      </c>
      <c r="Q91" s="95">
        <f t="shared" si="12"/>
        <v>1746.74</v>
      </c>
      <c r="R91" s="95">
        <f t="shared" si="12"/>
        <v>1809.8400000000001</v>
      </c>
      <c r="S91" s="95">
        <f t="shared" si="12"/>
        <v>1825.6399999999999</v>
      </c>
      <c r="T91" s="95">
        <f t="shared" si="12"/>
        <v>1817.3</v>
      </c>
      <c r="U91" s="95">
        <f t="shared" si="12"/>
        <v>1811.4399999999998</v>
      </c>
      <c r="V91" s="95">
        <f>V89+V90</f>
        <v>1771.74</v>
      </c>
      <c r="W91" s="95">
        <f>W89+W90</f>
        <v>1760.24</v>
      </c>
      <c r="X91" s="95">
        <f>X89+X90</f>
        <v>1680.54</v>
      </c>
      <c r="Y91" s="95">
        <f t="shared" si="12"/>
        <v>1640.84</v>
      </c>
      <c r="Z91" s="95">
        <f t="shared" si="12"/>
        <v>1800.84</v>
      </c>
      <c r="AA91" s="95">
        <f t="shared" si="12"/>
        <v>1965.94</v>
      </c>
      <c r="AB91" s="95">
        <f t="shared" si="12"/>
        <v>1881.8400000000001</v>
      </c>
      <c r="AC91" s="95">
        <f t="shared" si="12"/>
        <v>1871.34</v>
      </c>
      <c r="AD91" s="95">
        <f t="shared" si="12"/>
        <v>1689.3400000000001</v>
      </c>
      <c r="AE91" s="95">
        <f t="shared" si="12"/>
        <v>1742.4400000000003</v>
      </c>
      <c r="AF91" s="95">
        <f t="shared" si="12"/>
        <v>1659.4400000000003</v>
      </c>
      <c r="AG91" s="88">
        <f>AG88+AG84+AG72+AG68+AG50+AG90</f>
        <v>1573.45</v>
      </c>
      <c r="AH91" s="47">
        <f t="shared" si="8"/>
        <v>1965.94</v>
      </c>
      <c r="AI91" s="48">
        <f t="shared" si="9"/>
        <v>1566.74</v>
      </c>
    </row>
    <row r="92" spans="1:40" ht="15.75" thickBot="1" x14ac:dyDescent="0.3">
      <c r="A92" s="74" t="s">
        <v>101</v>
      </c>
      <c r="B92" s="95">
        <f t="shared" ref="B92:AF92" si="13">B91-B99</f>
        <v>1673.84</v>
      </c>
      <c r="C92" s="95">
        <f t="shared" si="13"/>
        <v>1622.5399999999997</v>
      </c>
      <c r="D92" s="95">
        <f t="shared" si="13"/>
        <v>1614.4399999999998</v>
      </c>
      <c r="E92" s="95">
        <f t="shared" si="13"/>
        <v>1600.64</v>
      </c>
      <c r="F92" s="95">
        <f t="shared" si="13"/>
        <v>1620.74</v>
      </c>
      <c r="G92" s="95">
        <f t="shared" si="13"/>
        <v>1566.74</v>
      </c>
      <c r="H92" s="95">
        <f t="shared" si="13"/>
        <v>1600.44</v>
      </c>
      <c r="I92" s="95">
        <f t="shared" si="13"/>
        <v>1568.1399999999999</v>
      </c>
      <c r="J92" s="95">
        <f t="shared" si="13"/>
        <v>1697.84</v>
      </c>
      <c r="K92" s="95">
        <f t="shared" si="13"/>
        <v>1705.64</v>
      </c>
      <c r="L92" s="95">
        <f t="shared" si="13"/>
        <v>1805.44</v>
      </c>
      <c r="M92" s="95">
        <f t="shared" si="13"/>
        <v>1742.0400000000002</v>
      </c>
      <c r="N92" s="95">
        <f t="shared" si="13"/>
        <v>1648.34</v>
      </c>
      <c r="O92" s="95">
        <f t="shared" si="13"/>
        <v>1742.54</v>
      </c>
      <c r="P92" s="95">
        <f t="shared" si="13"/>
        <v>1778.04</v>
      </c>
      <c r="Q92" s="95">
        <f t="shared" si="13"/>
        <v>1746.74</v>
      </c>
      <c r="R92" s="95">
        <f t="shared" si="13"/>
        <v>1809.8400000000001</v>
      </c>
      <c r="S92" s="95">
        <f t="shared" si="13"/>
        <v>1825.6399999999999</v>
      </c>
      <c r="T92" s="95">
        <f t="shared" si="13"/>
        <v>1817.3</v>
      </c>
      <c r="U92" s="95">
        <f t="shared" si="13"/>
        <v>1811.4399999999998</v>
      </c>
      <c r="V92" s="95">
        <f>V91-V99</f>
        <v>1771.74</v>
      </c>
      <c r="W92" s="95">
        <f>W91-W99</f>
        <v>1760.24</v>
      </c>
      <c r="X92" s="95">
        <f>X91-X99</f>
        <v>1680.54</v>
      </c>
      <c r="Y92" s="95">
        <f t="shared" si="13"/>
        <v>1640.84</v>
      </c>
      <c r="Z92" s="95">
        <f t="shared" si="13"/>
        <v>1800.84</v>
      </c>
      <c r="AA92" s="95">
        <f t="shared" si="13"/>
        <v>1965.94</v>
      </c>
      <c r="AB92" s="95">
        <f t="shared" si="13"/>
        <v>1881.8400000000001</v>
      </c>
      <c r="AC92" s="95">
        <f t="shared" si="13"/>
        <v>1871.34</v>
      </c>
      <c r="AD92" s="95">
        <f t="shared" si="13"/>
        <v>1689.3400000000001</v>
      </c>
      <c r="AE92" s="95">
        <f t="shared" si="13"/>
        <v>1742.4400000000003</v>
      </c>
      <c r="AF92" s="95">
        <f t="shared" si="13"/>
        <v>1659.4400000000003</v>
      </c>
      <c r="AG92" s="88"/>
      <c r="AH92" s="47">
        <f t="shared" si="8"/>
        <v>1965.94</v>
      </c>
      <c r="AI92" s="48">
        <f t="shared" si="9"/>
        <v>1566.74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 t="shared" ref="B100:AF100" si="14">B84-B99</f>
        <v>155.80000000000001</v>
      </c>
      <c r="C100" s="60">
        <f t="shared" si="14"/>
        <v>116.1</v>
      </c>
      <c r="D100" s="60">
        <f t="shared" si="14"/>
        <v>122.10000000000001</v>
      </c>
      <c r="E100" s="60">
        <f t="shared" si="14"/>
        <v>165.1</v>
      </c>
      <c r="F100" s="60">
        <f t="shared" si="14"/>
        <v>200.6</v>
      </c>
      <c r="G100" s="60">
        <f t="shared" si="14"/>
        <v>195.5</v>
      </c>
      <c r="H100" s="60">
        <f t="shared" si="14"/>
        <v>192.8</v>
      </c>
      <c r="I100" s="60">
        <f t="shared" si="14"/>
        <v>192.6</v>
      </c>
      <c r="J100" s="60">
        <f t="shared" si="14"/>
        <v>359.8</v>
      </c>
      <c r="K100" s="60">
        <f t="shared" si="14"/>
        <v>371.3</v>
      </c>
      <c r="L100" s="60">
        <f t="shared" si="14"/>
        <v>412.20000000000005</v>
      </c>
      <c r="M100" s="60">
        <f t="shared" si="14"/>
        <v>412.20000000000005</v>
      </c>
      <c r="N100" s="60">
        <f t="shared" si="14"/>
        <v>375.3</v>
      </c>
      <c r="O100" s="60">
        <f t="shared" si="14"/>
        <v>406.9</v>
      </c>
      <c r="P100" s="60">
        <f t="shared" si="14"/>
        <v>452.6</v>
      </c>
      <c r="Q100" s="60">
        <f t="shared" si="14"/>
        <v>415.7</v>
      </c>
      <c r="R100" s="60">
        <f t="shared" si="14"/>
        <v>402.4</v>
      </c>
      <c r="S100" s="60">
        <f t="shared" si="14"/>
        <v>412.3</v>
      </c>
      <c r="T100" s="60">
        <f t="shared" si="14"/>
        <v>430.20000000000005</v>
      </c>
      <c r="U100" s="60">
        <f t="shared" si="14"/>
        <v>412.8</v>
      </c>
      <c r="V100" s="60">
        <f>V84-V99</f>
        <v>462.2</v>
      </c>
      <c r="W100" s="60">
        <f>W84-W99</f>
        <v>462.2</v>
      </c>
      <c r="X100" s="60">
        <f>X84-X99</f>
        <v>454</v>
      </c>
      <c r="Y100" s="60">
        <f t="shared" si="14"/>
        <v>389</v>
      </c>
      <c r="Z100" s="60">
        <f t="shared" si="14"/>
        <v>392</v>
      </c>
      <c r="AA100" s="60">
        <f t="shared" si="14"/>
        <v>123.8</v>
      </c>
      <c r="AB100" s="60">
        <f t="shared" si="14"/>
        <v>93</v>
      </c>
      <c r="AC100" s="60">
        <f t="shared" si="14"/>
        <v>88.7</v>
      </c>
      <c r="AD100" s="60">
        <f t="shared" si="14"/>
        <v>96.4</v>
      </c>
      <c r="AE100" s="60">
        <f t="shared" si="14"/>
        <v>144</v>
      </c>
      <c r="AF100" s="60">
        <f t="shared" si="14"/>
        <v>86</v>
      </c>
      <c r="AG100" s="88"/>
      <c r="AH100" s="47">
        <f t="shared" si="8"/>
        <v>462.2</v>
      </c>
      <c r="AI100" s="48">
        <f t="shared" si="9"/>
        <v>86</v>
      </c>
    </row>
    <row r="101" spans="1:37" x14ac:dyDescent="0.25">
      <c r="A101" s="100" t="s">
        <v>107</v>
      </c>
      <c r="B101" s="101">
        <v>50.107999999999997</v>
      </c>
      <c r="C101" s="101">
        <v>49.932000000000002</v>
      </c>
      <c r="D101" s="101">
        <v>50.042000000000002</v>
      </c>
      <c r="E101" s="101">
        <v>49.994999999999997</v>
      </c>
      <c r="F101" s="101">
        <v>50.029000000000003</v>
      </c>
      <c r="G101" s="101">
        <v>50.030999999999999</v>
      </c>
      <c r="H101" s="101">
        <v>49.936</v>
      </c>
      <c r="I101" s="101">
        <v>49.981999999999999</v>
      </c>
      <c r="J101" s="101">
        <v>50.024999999999999</v>
      </c>
      <c r="K101" s="101">
        <v>49.997999999999998</v>
      </c>
      <c r="L101" s="101">
        <v>50.1</v>
      </c>
      <c r="M101" s="101">
        <v>50.183</v>
      </c>
      <c r="N101" s="101">
        <v>50.072000000000003</v>
      </c>
      <c r="O101" s="101">
        <v>49.97</v>
      </c>
      <c r="P101" s="101">
        <v>50.043199999999999</v>
      </c>
      <c r="Q101" s="101">
        <v>50.051000000000002</v>
      </c>
      <c r="R101" s="101">
        <v>49.975999999999999</v>
      </c>
      <c r="S101" s="101">
        <v>49</v>
      </c>
      <c r="T101" s="101">
        <v>49.96</v>
      </c>
      <c r="U101" s="101">
        <v>49.95</v>
      </c>
      <c r="V101" s="101">
        <v>50.1</v>
      </c>
      <c r="W101" s="101">
        <v>50.1</v>
      </c>
      <c r="X101" s="101">
        <v>50.06</v>
      </c>
      <c r="Y101" s="101">
        <v>50.01</v>
      </c>
      <c r="Z101" s="101">
        <v>50.09</v>
      </c>
      <c r="AA101" s="101">
        <v>49.89</v>
      </c>
      <c r="AB101" s="101">
        <v>50.073</v>
      </c>
      <c r="AC101" s="101">
        <v>50.045000000000002</v>
      </c>
      <c r="AD101" s="101">
        <v>50.064999999999998</v>
      </c>
      <c r="AE101" s="101">
        <v>50.064999999999998</v>
      </c>
      <c r="AF101" s="101">
        <v>50.021000000000001</v>
      </c>
      <c r="AG101" s="102"/>
      <c r="AH101" s="47">
        <f t="shared" si="8"/>
        <v>50.183</v>
      </c>
      <c r="AI101" s="48">
        <f t="shared" si="9"/>
        <v>49</v>
      </c>
    </row>
    <row r="102" spans="1:37" x14ac:dyDescent="0.25">
      <c r="A102" s="103" t="s">
        <v>108</v>
      </c>
      <c r="B102" s="65">
        <v>126.1</v>
      </c>
      <c r="C102" s="65">
        <v>126.7</v>
      </c>
      <c r="D102" s="65">
        <v>125.5</v>
      </c>
      <c r="E102" s="65">
        <v>122.4</v>
      </c>
      <c r="F102" s="65">
        <v>123.4</v>
      </c>
      <c r="G102" s="65">
        <v>122.7</v>
      </c>
      <c r="H102" s="65">
        <v>122.8</v>
      </c>
      <c r="I102" s="65">
        <v>122.7</v>
      </c>
      <c r="J102" s="65">
        <v>121.7</v>
      </c>
      <c r="K102" s="65">
        <v>123.8</v>
      </c>
      <c r="L102" s="65">
        <v>120.8</v>
      </c>
      <c r="M102" s="65">
        <v>123.3</v>
      </c>
      <c r="N102" s="65">
        <v>124.5</v>
      </c>
      <c r="O102" s="65">
        <v>123.8</v>
      </c>
      <c r="P102" s="65">
        <v>121.5</v>
      </c>
      <c r="Q102" s="65">
        <v>121.5</v>
      </c>
      <c r="R102" s="65">
        <v>121.6</v>
      </c>
      <c r="S102" s="65">
        <v>121.1</v>
      </c>
      <c r="T102" s="65">
        <v>121.1</v>
      </c>
      <c r="U102" s="65">
        <v>123.4</v>
      </c>
      <c r="V102" s="65">
        <v>123.6</v>
      </c>
      <c r="W102" s="65">
        <v>123.6</v>
      </c>
      <c r="X102" s="65">
        <v>125.9</v>
      </c>
      <c r="Y102" s="65">
        <v>124.6</v>
      </c>
      <c r="Z102" s="65">
        <v>124</v>
      </c>
      <c r="AA102" s="65">
        <v>124.7</v>
      </c>
      <c r="AB102" s="65">
        <v>125.6</v>
      </c>
      <c r="AC102" s="65">
        <v>123.1</v>
      </c>
      <c r="AD102" s="65">
        <v>120.9</v>
      </c>
      <c r="AE102" s="65">
        <v>120.9</v>
      </c>
      <c r="AF102" s="65">
        <v>122.3</v>
      </c>
      <c r="AG102" s="104"/>
      <c r="AH102" s="47">
        <f t="shared" si="8"/>
        <v>126.7</v>
      </c>
      <c r="AI102" s="48">
        <f t="shared" si="9"/>
        <v>120.8</v>
      </c>
    </row>
    <row r="103" spans="1:37" x14ac:dyDescent="0.25">
      <c r="A103" s="103" t="s">
        <v>109</v>
      </c>
      <c r="B103" s="65">
        <v>130.80000000000001</v>
      </c>
      <c r="C103" s="65">
        <v>130.80000000000001</v>
      </c>
      <c r="D103" s="65">
        <v>130.19999999999999</v>
      </c>
      <c r="E103" s="65">
        <v>128.1</v>
      </c>
      <c r="F103" s="65">
        <v>128.80000000000001</v>
      </c>
      <c r="G103" s="65">
        <v>128.1</v>
      </c>
      <c r="H103" s="65">
        <v>128</v>
      </c>
      <c r="I103" s="65">
        <v>127.3</v>
      </c>
      <c r="J103" s="65">
        <v>126.6</v>
      </c>
      <c r="K103" s="65">
        <v>127.8</v>
      </c>
      <c r="L103" s="65">
        <v>125.3</v>
      </c>
      <c r="M103" s="65">
        <v>127</v>
      </c>
      <c r="N103" s="65">
        <v>127.7</v>
      </c>
      <c r="O103" s="65">
        <v>126.5</v>
      </c>
      <c r="P103" s="65">
        <v>125.6</v>
      </c>
      <c r="Q103" s="65">
        <v>125.5</v>
      </c>
      <c r="R103" s="65">
        <v>125.6</v>
      </c>
      <c r="S103" s="65">
        <v>125.5</v>
      </c>
      <c r="T103" s="65">
        <v>125.5</v>
      </c>
      <c r="U103" s="65">
        <v>126.1</v>
      </c>
      <c r="V103" s="65">
        <v>126.8</v>
      </c>
      <c r="W103" s="65">
        <v>126.8</v>
      </c>
      <c r="X103" s="65">
        <v>128.80000000000001</v>
      </c>
      <c r="Y103" s="65">
        <v>128.19999999999999</v>
      </c>
      <c r="Z103" s="65">
        <v>127.3</v>
      </c>
      <c r="AA103" s="65">
        <v>127.9</v>
      </c>
      <c r="AB103" s="65">
        <v>129.41</v>
      </c>
      <c r="AC103" s="65">
        <v>127.7</v>
      </c>
      <c r="AD103" s="65">
        <v>126.5</v>
      </c>
      <c r="AE103" s="65">
        <v>126.5</v>
      </c>
      <c r="AF103" s="65">
        <v>128</v>
      </c>
      <c r="AG103" s="104"/>
      <c r="AH103" s="47">
        <f t="shared" si="8"/>
        <v>130.80000000000001</v>
      </c>
      <c r="AI103" s="48">
        <f t="shared" si="9"/>
        <v>125.3</v>
      </c>
    </row>
    <row r="104" spans="1:37" x14ac:dyDescent="0.25">
      <c r="A104" s="103" t="s">
        <v>110</v>
      </c>
      <c r="B104" s="65">
        <v>127</v>
      </c>
      <c r="C104" s="65">
        <v>126.1</v>
      </c>
      <c r="D104" s="65">
        <v>127</v>
      </c>
      <c r="E104" s="65">
        <v>123.2</v>
      </c>
      <c r="F104" s="65">
        <v>124.1</v>
      </c>
      <c r="G104" s="65">
        <v>131.30000000000001</v>
      </c>
      <c r="H104" s="65">
        <v>123.1</v>
      </c>
      <c r="I104" s="65">
        <v>124.1</v>
      </c>
      <c r="J104" s="65">
        <v>126</v>
      </c>
      <c r="K104" s="65">
        <v>127.6</v>
      </c>
      <c r="L104" s="65">
        <v>121.7</v>
      </c>
      <c r="M104" s="65">
        <v>124.4</v>
      </c>
      <c r="N104" s="65">
        <v>127.9</v>
      </c>
      <c r="O104" s="65">
        <v>127.8</v>
      </c>
      <c r="P104" s="65">
        <v>126.4</v>
      </c>
      <c r="Q104" s="65">
        <v>126.6</v>
      </c>
      <c r="R104" s="65">
        <v>126.9</v>
      </c>
      <c r="S104" s="65">
        <v>126.1</v>
      </c>
      <c r="T104" s="65">
        <v>126.1</v>
      </c>
      <c r="U104" s="65">
        <v>128.1</v>
      </c>
      <c r="V104" s="65">
        <v>130.69999999999999</v>
      </c>
      <c r="W104" s="65">
        <v>130.69999999999999</v>
      </c>
      <c r="X104" s="65">
        <v>130</v>
      </c>
      <c r="Y104" s="65">
        <v>127.8</v>
      </c>
      <c r="Z104" s="65">
        <v>127.7</v>
      </c>
      <c r="AA104" s="65">
        <v>121.3</v>
      </c>
      <c r="AB104" s="65">
        <v>128.4</v>
      </c>
      <c r="AC104" s="65">
        <v>126.1</v>
      </c>
      <c r="AD104" s="65">
        <v>124.7</v>
      </c>
      <c r="AE104" s="65">
        <v>124.7</v>
      </c>
      <c r="AF104" s="65">
        <v>127.2</v>
      </c>
      <c r="AG104" s="104"/>
      <c r="AH104" s="47">
        <f t="shared" si="8"/>
        <v>131.30000000000001</v>
      </c>
      <c r="AI104" s="48">
        <f t="shared" si="9"/>
        <v>121.3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>
        <v>127</v>
      </c>
      <c r="AB105" s="65"/>
      <c r="AC105" s="65"/>
      <c r="AD105" s="65"/>
      <c r="AE105" s="65"/>
      <c r="AF105" s="65"/>
      <c r="AG105" s="104"/>
      <c r="AH105" s="47">
        <f t="shared" si="8"/>
        <v>127</v>
      </c>
      <c r="AI105" s="48">
        <f t="shared" si="9"/>
        <v>127</v>
      </c>
    </row>
    <row r="106" spans="1:37" x14ac:dyDescent="0.25">
      <c r="A106" s="105" t="s">
        <v>112</v>
      </c>
      <c r="B106" s="106">
        <v>132.5</v>
      </c>
      <c r="C106" s="106">
        <v>132.9</v>
      </c>
      <c r="D106" s="106">
        <v>132.1</v>
      </c>
      <c r="E106" s="106">
        <v>133.19999999999999</v>
      </c>
      <c r="F106" s="106">
        <v>134.1</v>
      </c>
      <c r="G106" s="106">
        <v>132.1</v>
      </c>
      <c r="H106" s="106">
        <v>133.19999999999999</v>
      </c>
      <c r="I106" s="106">
        <v>131.6</v>
      </c>
      <c r="J106" s="106">
        <v>131.1</v>
      </c>
      <c r="K106" s="106">
        <v>132.69999999999999</v>
      </c>
      <c r="L106" s="106">
        <v>129.9</v>
      </c>
      <c r="M106" s="106">
        <v>131.69999999999999</v>
      </c>
      <c r="N106" s="106">
        <v>129</v>
      </c>
      <c r="O106" s="106">
        <v>134.1</v>
      </c>
      <c r="P106" s="106">
        <v>133</v>
      </c>
      <c r="Q106" s="106">
        <v>131.1</v>
      </c>
      <c r="R106" s="106">
        <v>135.6</v>
      </c>
      <c r="S106" s="106">
        <v>132</v>
      </c>
      <c r="T106" s="106">
        <v>132</v>
      </c>
      <c r="U106" s="106">
        <v>129.6</v>
      </c>
      <c r="V106" s="106">
        <v>132.80000000000001</v>
      </c>
      <c r="W106" s="106">
        <v>132.80000000000001</v>
      </c>
      <c r="X106" s="106">
        <v>135.5</v>
      </c>
      <c r="Y106" s="106">
        <v>134.19999999999999</v>
      </c>
      <c r="Z106" s="106">
        <v>133.9</v>
      </c>
      <c r="AA106" s="106">
        <v>133.30000000000001</v>
      </c>
      <c r="AB106" s="106">
        <v>133.4</v>
      </c>
      <c r="AC106" s="106">
        <v>133.80000000000001</v>
      </c>
      <c r="AD106" s="106">
        <v>130.9</v>
      </c>
      <c r="AE106" s="106">
        <v>130.9</v>
      </c>
      <c r="AF106" s="106">
        <v>131.80000000000001</v>
      </c>
      <c r="AG106" s="107"/>
      <c r="AH106" s="47">
        <f t="shared" si="8"/>
        <v>135.6</v>
      </c>
      <c r="AI106" s="48">
        <f t="shared" si="9"/>
        <v>129</v>
      </c>
    </row>
    <row r="107" spans="1:37" x14ac:dyDescent="0.25">
      <c r="A107" s="103" t="s">
        <v>113</v>
      </c>
      <c r="B107" s="65">
        <v>131.4</v>
      </c>
      <c r="C107" s="65">
        <v>131.69999999999999</v>
      </c>
      <c r="D107" s="65">
        <v>129.9</v>
      </c>
      <c r="E107" s="65">
        <v>132.9</v>
      </c>
      <c r="F107" s="65">
        <v>134.30000000000001</v>
      </c>
      <c r="G107" s="65">
        <v>135.1</v>
      </c>
      <c r="H107" s="65">
        <v>132.4</v>
      </c>
      <c r="I107" s="65">
        <v>129.1</v>
      </c>
      <c r="J107" s="65">
        <v>125.9</v>
      </c>
      <c r="K107" s="65">
        <v>128.4</v>
      </c>
      <c r="L107" s="65">
        <v>126.8</v>
      </c>
      <c r="M107" s="65">
        <v>129</v>
      </c>
      <c r="N107" s="65">
        <v>125.4</v>
      </c>
      <c r="O107" s="65">
        <v>126.4</v>
      </c>
      <c r="P107" s="65">
        <v>120.3</v>
      </c>
      <c r="Q107" s="65">
        <v>126</v>
      </c>
      <c r="R107" s="65">
        <v>127</v>
      </c>
      <c r="S107" s="65">
        <v>128.6</v>
      </c>
      <c r="T107" s="65">
        <v>128.6</v>
      </c>
      <c r="U107" s="65">
        <v>127.4</v>
      </c>
      <c r="V107" s="65">
        <v>129.5</v>
      </c>
      <c r="W107" s="65">
        <v>129.5</v>
      </c>
      <c r="X107" s="65">
        <v>133.69999999999999</v>
      </c>
      <c r="Y107" s="65">
        <v>133.1</v>
      </c>
      <c r="Z107" s="65">
        <v>133</v>
      </c>
      <c r="AA107" s="65">
        <v>130.4</v>
      </c>
      <c r="AB107" s="65">
        <v>133</v>
      </c>
      <c r="AC107" s="65">
        <v>135.69999999999999</v>
      </c>
      <c r="AD107" s="65">
        <v>132.6</v>
      </c>
      <c r="AE107" s="65">
        <v>132.6</v>
      </c>
      <c r="AF107" s="65">
        <v>133.5</v>
      </c>
      <c r="AG107" s="104"/>
      <c r="AH107" s="47">
        <f t="shared" si="8"/>
        <v>135.69999999999999</v>
      </c>
      <c r="AI107" s="48">
        <f t="shared" si="9"/>
        <v>120.3</v>
      </c>
    </row>
    <row r="108" spans="1:37" ht="15.75" thickBot="1" x14ac:dyDescent="0.3">
      <c r="A108" s="103" t="s">
        <v>114</v>
      </c>
      <c r="B108" s="92">
        <v>65.599999999999994</v>
      </c>
      <c r="C108" s="92">
        <v>65.8</v>
      </c>
      <c r="D108" s="92">
        <v>65.599999999999994</v>
      </c>
      <c r="E108" s="92">
        <v>64.400000000000006</v>
      </c>
      <c r="F108" s="92">
        <v>64.7</v>
      </c>
      <c r="G108" s="92">
        <v>64.2</v>
      </c>
      <c r="H108" s="92">
        <v>64.3</v>
      </c>
      <c r="I108" s="92">
        <v>64</v>
      </c>
      <c r="J108" s="92">
        <v>63.4</v>
      </c>
      <c r="K108" s="92">
        <v>64</v>
      </c>
      <c r="L108" s="92">
        <v>62.7</v>
      </c>
      <c r="M108" s="92">
        <v>63.4</v>
      </c>
      <c r="N108" s="92">
        <v>63.7</v>
      </c>
      <c r="O108" s="92">
        <v>62.9</v>
      </c>
      <c r="P108" s="92">
        <v>62.5</v>
      </c>
      <c r="Q108" s="92">
        <v>62.4</v>
      </c>
      <c r="R108" s="92">
        <v>62.7</v>
      </c>
      <c r="S108" s="92">
        <v>63</v>
      </c>
      <c r="T108" s="92">
        <v>63</v>
      </c>
      <c r="U108" s="92">
        <v>62.8</v>
      </c>
      <c r="V108" s="92">
        <v>63.3</v>
      </c>
      <c r="W108" s="92">
        <v>63.3</v>
      </c>
      <c r="X108" s="92">
        <v>64.400000000000006</v>
      </c>
      <c r="Y108" s="92">
        <v>64.2</v>
      </c>
      <c r="Z108" s="92">
        <v>63.7</v>
      </c>
      <c r="AA108" s="92">
        <v>63.8</v>
      </c>
      <c r="AB108" s="92">
        <v>64.8</v>
      </c>
      <c r="AC108" s="92">
        <v>64.2</v>
      </c>
      <c r="AD108" s="92">
        <v>63.6</v>
      </c>
      <c r="AE108" s="92">
        <v>63.6</v>
      </c>
      <c r="AF108" s="92">
        <v>64.5</v>
      </c>
      <c r="AG108" s="108"/>
      <c r="AH108" s="47">
        <f t="shared" si="8"/>
        <v>65.8</v>
      </c>
      <c r="AI108" s="48">
        <f t="shared" si="9"/>
        <v>62.4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 t="s">
        <v>115</v>
      </c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 t="shared" ref="B110:O110" si="15">SUM(B20,B26,B29:B30,B58,B60:B61,B63,B65,B111:B115,B138,B144,B150,B159,B161,B173,B180,B183:B184,B191,B193,B195,B199:B201,B203:B205,B210,B216:B217,B219:B221,B229,B234)</f>
        <v>84.200000000000017</v>
      </c>
      <c r="C110" s="111">
        <f t="shared" si="15"/>
        <v>84.240000000000023</v>
      </c>
      <c r="D110" s="111">
        <f t="shared" si="15"/>
        <v>76.240000000000023</v>
      </c>
      <c r="E110" s="111">
        <f t="shared" si="15"/>
        <v>89.740000000000052</v>
      </c>
      <c r="F110" s="111">
        <f t="shared" si="15"/>
        <v>88.54000000000002</v>
      </c>
      <c r="G110" s="111">
        <f t="shared" si="15"/>
        <v>110.74000000000001</v>
      </c>
      <c r="H110" s="111">
        <f t="shared" si="15"/>
        <v>143.34000000000003</v>
      </c>
      <c r="I110" s="111">
        <f t="shared" si="15"/>
        <v>170.04</v>
      </c>
      <c r="J110" s="111">
        <f t="shared" si="15"/>
        <v>208.44</v>
      </c>
      <c r="K110" s="111">
        <f t="shared" si="15"/>
        <v>236.44000000000005</v>
      </c>
      <c r="L110" s="111">
        <f t="shared" si="15"/>
        <v>256.14000000000004</v>
      </c>
      <c r="M110" s="111">
        <f t="shared" si="15"/>
        <v>238.43999999999997</v>
      </c>
      <c r="N110" s="111">
        <f t="shared" si="15"/>
        <v>246.74</v>
      </c>
      <c r="O110" s="111">
        <f t="shared" si="15"/>
        <v>257.54000000000002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260.79999999999995</v>
      </c>
      <c r="R110" s="111">
        <f t="shared" si="16"/>
        <v>264.3</v>
      </c>
      <c r="S110" s="111">
        <f t="shared" si="16"/>
        <v>314.89999999999998</v>
      </c>
      <c r="T110" s="111">
        <f t="shared" si="16"/>
        <v>272.89999999999998</v>
      </c>
      <c r="U110" s="111">
        <f t="shared" si="16"/>
        <v>267.8</v>
      </c>
      <c r="V110" s="111">
        <f>SUM(V20,V26,V29:V30,V58,V60:V61,V63,V65,V111:V115,V138,V144,V150,V159,V161,V173,V180,V183:V184,V191,V193,V195,V199:V201,V203:V205,V210,V216:V217,V219:V221,V229,V234)</f>
        <v>243.79999999999998</v>
      </c>
      <c r="W110" s="111">
        <f>SUM(W20,W26,W29:W30,W58,W60:W61,W63,W65,W111:W115,W138,W144,W150,W159,W161,W173,W180,W183:W184,W191,W193,W195,W199:W201,W203:W205,W210,W216:W217,W219:W221,W229,W234)</f>
        <v>233.29999999999995</v>
      </c>
      <c r="X110" s="111">
        <f>SUM(X20,X26,X29:X30,X58,X60:X61,X63,X65,X111:X115,X138,X144,X150,X159,X161,X173,X180,X183:X184,X191,X193,X195,X199:X201,X203:X205,X210,X216:X217,X219:X221,X229,X234)</f>
        <v>236.89999999999998</v>
      </c>
      <c r="Y110" s="111">
        <f t="shared" si="16"/>
        <v>259</v>
      </c>
      <c r="Z110" s="111">
        <f t="shared" si="16"/>
        <v>210.59999999999997</v>
      </c>
      <c r="AA110" s="111">
        <v>360.28708333333333</v>
      </c>
      <c r="AB110" s="111">
        <f t="shared" si="16"/>
        <v>235.5</v>
      </c>
      <c r="AC110" s="111">
        <f t="shared" si="16"/>
        <v>249.39999999999998</v>
      </c>
      <c r="AD110" s="111"/>
      <c r="AE110" s="111">
        <f t="shared" si="16"/>
        <v>120.79999999999997</v>
      </c>
      <c r="AF110" s="111">
        <f t="shared" si="16"/>
        <v>104.79999999999998</v>
      </c>
      <c r="AG110" s="112"/>
      <c r="AH110" s="47">
        <f t="shared" si="8"/>
        <v>360.28708333333333</v>
      </c>
      <c r="AI110" s="48">
        <f t="shared" si="9"/>
        <v>42</v>
      </c>
    </row>
    <row r="111" spans="1:37" x14ac:dyDescent="0.25">
      <c r="A111" s="100" t="s">
        <v>117</v>
      </c>
      <c r="B111" s="113">
        <v>20.100000000000001</v>
      </c>
      <c r="C111" s="113">
        <v>19</v>
      </c>
      <c r="D111" s="113">
        <v>20.100000000000001</v>
      </c>
      <c r="E111" s="113">
        <v>39.4</v>
      </c>
      <c r="F111" s="113">
        <v>38</v>
      </c>
      <c r="G111" s="113">
        <v>45.5</v>
      </c>
      <c r="H111" s="113">
        <v>42.2</v>
      </c>
      <c r="I111" s="113">
        <v>49.7</v>
      </c>
      <c r="J111" s="113">
        <v>38.1</v>
      </c>
      <c r="K111" s="113">
        <v>42.7</v>
      </c>
      <c r="L111" s="113">
        <v>36.799999999999997</v>
      </c>
      <c r="M111" s="113">
        <v>39.1</v>
      </c>
      <c r="N111" s="113">
        <v>27.5</v>
      </c>
      <c r="O111" s="113">
        <v>39.4</v>
      </c>
      <c r="P111" s="113">
        <v>37.9</v>
      </c>
      <c r="Q111" s="113">
        <v>35.5</v>
      </c>
      <c r="R111" s="113">
        <v>39</v>
      </c>
      <c r="S111" s="113">
        <v>32.299999999999997</v>
      </c>
      <c r="T111" s="113">
        <v>64</v>
      </c>
      <c r="U111" s="113">
        <v>32.700000000000003</v>
      </c>
      <c r="V111" s="113">
        <v>46.6</v>
      </c>
      <c r="W111" s="113">
        <v>46.6</v>
      </c>
      <c r="X111" s="113">
        <v>40</v>
      </c>
      <c r="Y111" s="113">
        <v>39.799999999999997</v>
      </c>
      <c r="Z111" s="113">
        <v>42.8</v>
      </c>
      <c r="AA111" s="113">
        <v>44.9</v>
      </c>
      <c r="AB111" s="113">
        <v>48</v>
      </c>
      <c r="AC111" s="113">
        <v>55.8</v>
      </c>
      <c r="AD111" s="113">
        <v>55</v>
      </c>
      <c r="AE111" s="113">
        <v>44.2</v>
      </c>
      <c r="AF111" s="113">
        <v>31.2</v>
      </c>
      <c r="AG111" s="114">
        <v>75</v>
      </c>
      <c r="AH111" s="47">
        <f t="shared" si="8"/>
        <v>64</v>
      </c>
      <c r="AI111" s="48">
        <f t="shared" si="9"/>
        <v>19</v>
      </c>
    </row>
    <row r="112" spans="1:37" x14ac:dyDescent="0.25">
      <c r="A112" s="103" t="s">
        <v>118</v>
      </c>
      <c r="B112" s="115">
        <v>39.1</v>
      </c>
      <c r="C112" s="115">
        <v>37.1</v>
      </c>
      <c r="D112" s="115">
        <v>37.4</v>
      </c>
      <c r="E112" s="115">
        <v>67.400000000000006</v>
      </c>
      <c r="F112" s="115">
        <v>65</v>
      </c>
      <c r="G112" s="115">
        <v>73.099999999999994</v>
      </c>
      <c r="H112" s="115">
        <v>67.599999999999994</v>
      </c>
      <c r="I112" s="115">
        <v>77.7</v>
      </c>
      <c r="J112" s="115">
        <v>63.4</v>
      </c>
      <c r="K112" s="115">
        <v>69.400000000000006</v>
      </c>
      <c r="L112" s="115">
        <v>59.9</v>
      </c>
      <c r="M112" s="115">
        <v>62.2</v>
      </c>
      <c r="N112" s="115">
        <v>47.1</v>
      </c>
      <c r="O112" s="115">
        <v>60.1</v>
      </c>
      <c r="P112" s="115">
        <v>60.9</v>
      </c>
      <c r="Q112" s="115">
        <v>57.3</v>
      </c>
      <c r="R112" s="115">
        <v>62</v>
      </c>
      <c r="S112" s="115">
        <v>53.5</v>
      </c>
      <c r="T112" s="115">
        <v>40.5</v>
      </c>
      <c r="U112" s="115">
        <v>55.6</v>
      </c>
      <c r="V112" s="115">
        <v>69.5</v>
      </c>
      <c r="W112" s="115">
        <v>69.5</v>
      </c>
      <c r="X112" s="115">
        <v>59.3</v>
      </c>
      <c r="Y112" s="115">
        <v>56.9</v>
      </c>
      <c r="Z112" s="115">
        <v>61.6</v>
      </c>
      <c r="AA112" s="115">
        <v>65.2</v>
      </c>
      <c r="AB112" s="115">
        <v>69.400000000000006</v>
      </c>
      <c r="AC112" s="115">
        <v>79.599999999999994</v>
      </c>
      <c r="AD112" s="115">
        <v>79.3</v>
      </c>
      <c r="AE112" s="115">
        <v>67.7</v>
      </c>
      <c r="AF112" s="115">
        <v>58</v>
      </c>
      <c r="AG112" s="114">
        <v>240</v>
      </c>
      <c r="AH112" s="47">
        <f t="shared" si="8"/>
        <v>79.599999999999994</v>
      </c>
      <c r="AI112" s="48">
        <f t="shared" si="9"/>
        <v>37.1</v>
      </c>
    </row>
    <row r="113" spans="1:37" x14ac:dyDescent="0.25">
      <c r="A113" s="103" t="s">
        <v>119</v>
      </c>
      <c r="B113" s="115">
        <v>-101</v>
      </c>
      <c r="C113" s="115">
        <v>-100</v>
      </c>
      <c r="D113" s="115">
        <v>-108</v>
      </c>
      <c r="E113" s="115">
        <f>-65.2-70</f>
        <v>-135.19999999999999</v>
      </c>
      <c r="F113" s="115">
        <f>-63.8-67.2</f>
        <v>-131</v>
      </c>
      <c r="G113" s="115">
        <f>-61.2-65</f>
        <v>-126.2</v>
      </c>
      <c r="H113" s="115">
        <f>-43.6-45.9</f>
        <v>-89.5</v>
      </c>
      <c r="I113" s="115">
        <v>-85</v>
      </c>
      <c r="J113" s="115">
        <f>-45.7-49</f>
        <v>-94.7</v>
      </c>
      <c r="K113" s="115">
        <f>-39.8-42.9</f>
        <v>-82.699999999999989</v>
      </c>
      <c r="L113" s="115">
        <f>-36.4-41.7</f>
        <v>-78.099999999999994</v>
      </c>
      <c r="M113" s="115">
        <v>-86</v>
      </c>
      <c r="N113" s="115">
        <v>-46</v>
      </c>
      <c r="O113" s="115">
        <v>-60</v>
      </c>
      <c r="P113" s="115">
        <v>-86.2</v>
      </c>
      <c r="Q113" s="115">
        <v>-74</v>
      </c>
      <c r="R113" s="115">
        <v>-80</v>
      </c>
      <c r="S113" s="115">
        <f>-45.8-36.9</f>
        <v>-82.699999999999989</v>
      </c>
      <c r="T113" s="115">
        <v>-80</v>
      </c>
      <c r="U113" s="115">
        <f>-40.7-30.3</f>
        <v>-71</v>
      </c>
      <c r="V113" s="115">
        <f>-52.2-38.8</f>
        <v>-91</v>
      </c>
      <c r="W113" s="115">
        <f>-52.2-38.8</f>
        <v>-91</v>
      </c>
      <c r="X113" s="115">
        <f>-40-32</f>
        <v>-72</v>
      </c>
      <c r="Y113" s="115">
        <f>-32.2-27.9</f>
        <v>-60.1</v>
      </c>
      <c r="Z113" s="115">
        <f>-29.6-24.8</f>
        <v>-54.400000000000006</v>
      </c>
      <c r="AA113" s="115">
        <v>-86.210000000000008</v>
      </c>
      <c r="AB113" s="115">
        <v>-103.6</v>
      </c>
      <c r="AC113" s="115">
        <f>-31.7-36.9</f>
        <v>-68.599999999999994</v>
      </c>
      <c r="AD113" s="115">
        <v>-98.32</v>
      </c>
      <c r="AE113" s="115">
        <v>-114</v>
      </c>
      <c r="AF113" s="115">
        <v>-100.7</v>
      </c>
      <c r="AG113" s="114">
        <v>240</v>
      </c>
      <c r="AH113" s="47">
        <f t="shared" si="8"/>
        <v>-46</v>
      </c>
      <c r="AI113" s="48">
        <f t="shared" si="9"/>
        <v>-135.19999999999999</v>
      </c>
    </row>
    <row r="114" spans="1:37" x14ac:dyDescent="0.25">
      <c r="A114" s="103" t="s">
        <v>120</v>
      </c>
      <c r="B114" s="115">
        <v>-4.5</v>
      </c>
      <c r="C114" s="115">
        <v>-3.3</v>
      </c>
      <c r="D114" s="115">
        <v>-4.7</v>
      </c>
      <c r="E114" s="115">
        <v>-19.3</v>
      </c>
      <c r="F114" s="115">
        <v>-18.899999999999999</v>
      </c>
      <c r="G114" s="115">
        <v>-17.100000000000001</v>
      </c>
      <c r="H114" s="115">
        <v>-12.4</v>
      </c>
      <c r="I114" s="115">
        <v>-7.6</v>
      </c>
      <c r="J114" s="115">
        <v>-9.8000000000000007</v>
      </c>
      <c r="K114" s="115">
        <v>-7.7</v>
      </c>
      <c r="L114" s="115">
        <v>9.9</v>
      </c>
      <c r="M114" s="115">
        <v>9.5</v>
      </c>
      <c r="N114" s="115">
        <v>8.8000000000000007</v>
      </c>
      <c r="O114" s="115">
        <v>8.3000000000000007</v>
      </c>
      <c r="P114" s="115">
        <v>23.7</v>
      </c>
      <c r="Q114" s="115">
        <v>18.600000000000001</v>
      </c>
      <c r="R114" s="115">
        <v>14.4</v>
      </c>
      <c r="S114" s="115">
        <v>82.2</v>
      </c>
      <c r="T114" s="115">
        <v>7</v>
      </c>
      <c r="U114" s="115">
        <v>15.8</v>
      </c>
      <c r="V114" s="115">
        <v>14.2</v>
      </c>
      <c r="W114" s="115">
        <v>14.2</v>
      </c>
      <c r="X114" s="115">
        <v>9.6999999999999993</v>
      </c>
      <c r="Y114" s="115">
        <v>13</v>
      </c>
      <c r="Z114" s="115">
        <v>15</v>
      </c>
      <c r="AA114" s="115">
        <v>42.7</v>
      </c>
      <c r="AB114" s="115">
        <v>31</v>
      </c>
      <c r="AC114" s="115">
        <v>8.5</v>
      </c>
      <c r="AD114" s="115">
        <v>2.8</v>
      </c>
      <c r="AE114" s="115">
        <v>8.6</v>
      </c>
      <c r="AF114" s="115">
        <v>8.6999999999999993</v>
      </c>
      <c r="AG114" s="114">
        <v>60</v>
      </c>
      <c r="AH114" s="47">
        <f t="shared" si="8"/>
        <v>82.2</v>
      </c>
      <c r="AI114" s="48">
        <f t="shared" si="9"/>
        <v>-19.3</v>
      </c>
    </row>
    <row r="115" spans="1:37" x14ac:dyDescent="0.25">
      <c r="A115" s="116" t="s">
        <v>121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75.7</v>
      </c>
      <c r="K115" s="117">
        <v>77.2</v>
      </c>
      <c r="L115" s="117">
        <v>87.4</v>
      </c>
      <c r="M115" s="117">
        <v>75.599999999999994</v>
      </c>
      <c r="N115" s="117">
        <v>71.3</v>
      </c>
      <c r="O115" s="117">
        <v>71.400000000000006</v>
      </c>
      <c r="P115" s="117">
        <v>68.900000000000006</v>
      </c>
      <c r="Q115" s="117">
        <v>76</v>
      </c>
      <c r="R115" s="117">
        <v>81.5</v>
      </c>
      <c r="S115" s="117">
        <v>82.2</v>
      </c>
      <c r="T115" s="117">
        <v>94</v>
      </c>
      <c r="U115" s="117">
        <v>87.3</v>
      </c>
      <c r="V115" s="117">
        <v>57.1</v>
      </c>
      <c r="W115" s="117">
        <v>57.1</v>
      </c>
      <c r="X115" s="117">
        <v>69</v>
      </c>
      <c r="Y115" s="117">
        <v>78.5</v>
      </c>
      <c r="Z115" s="117">
        <v>15.2</v>
      </c>
      <c r="AA115" s="117">
        <v>84.7</v>
      </c>
      <c r="AB115" s="117">
        <v>57.4</v>
      </c>
      <c r="AC115" s="117">
        <v>40.6</v>
      </c>
      <c r="AD115" s="117">
        <v>20.100000000000001</v>
      </c>
      <c r="AE115" s="117">
        <v>-19.2</v>
      </c>
      <c r="AF115" s="117">
        <v>-25.9</v>
      </c>
      <c r="AG115" s="118">
        <v>120</v>
      </c>
      <c r="AH115" s="47">
        <f t="shared" si="8"/>
        <v>94</v>
      </c>
      <c r="AI115" s="48">
        <f t="shared" si="9"/>
        <v>-25.9</v>
      </c>
    </row>
    <row r="116" spans="1:37" x14ac:dyDescent="0.25">
      <c r="A116" s="116" t="s">
        <v>122</v>
      </c>
      <c r="B116" s="117">
        <v>61.3</v>
      </c>
      <c r="C116" s="117">
        <v>59.4</v>
      </c>
      <c r="D116" s="117">
        <v>71.3</v>
      </c>
      <c r="E116" s="117">
        <v>73.2</v>
      </c>
      <c r="F116" s="117">
        <v>70.3</v>
      </c>
      <c r="G116" s="117">
        <v>79.7</v>
      </c>
      <c r="H116" s="117">
        <v>89</v>
      </c>
      <c r="I116" s="117">
        <v>88.1</v>
      </c>
      <c r="J116" s="117">
        <v>83.6</v>
      </c>
      <c r="K116" s="117">
        <v>82.6</v>
      </c>
      <c r="L116" s="117">
        <v>97</v>
      </c>
      <c r="M116" s="117">
        <v>86.6</v>
      </c>
      <c r="N116" s="117">
        <v>69.5</v>
      </c>
      <c r="O116" s="117">
        <v>75.099999999999994</v>
      </c>
      <c r="P116" s="117">
        <v>78.8</v>
      </c>
      <c r="Q116" s="117">
        <v>84.5</v>
      </c>
      <c r="R116" s="117">
        <v>90.2</v>
      </c>
      <c r="S116" s="117">
        <v>88.1</v>
      </c>
      <c r="T116" s="117">
        <v>97</v>
      </c>
      <c r="U116" s="117">
        <v>87.1</v>
      </c>
      <c r="V116" s="117">
        <v>70.7</v>
      </c>
      <c r="W116" s="117">
        <v>70.7</v>
      </c>
      <c r="X116" s="117">
        <v>74</v>
      </c>
      <c r="Y116" s="117">
        <v>75.099999999999994</v>
      </c>
      <c r="Z116" s="117">
        <v>74</v>
      </c>
      <c r="AA116" s="117">
        <v>56.9</v>
      </c>
      <c r="AB116" s="117">
        <v>59.6</v>
      </c>
      <c r="AC116" s="117">
        <v>82.2</v>
      </c>
      <c r="AD116" s="117">
        <v>90.8</v>
      </c>
      <c r="AE116" s="117">
        <v>88</v>
      </c>
      <c r="AF116" s="117">
        <v>99.2</v>
      </c>
      <c r="AG116" s="118"/>
      <c r="AH116" s="47">
        <f t="shared" si="8"/>
        <v>99.2</v>
      </c>
      <c r="AI116" s="48">
        <f t="shared" si="9"/>
        <v>56.9</v>
      </c>
    </row>
    <row r="117" spans="1:37" x14ac:dyDescent="0.25">
      <c r="A117" s="116" t="s">
        <v>123</v>
      </c>
      <c r="B117" s="117">
        <v>46</v>
      </c>
      <c r="C117" s="117">
        <v>53.8</v>
      </c>
      <c r="D117" s="117">
        <v>46.7</v>
      </c>
      <c r="E117" s="117">
        <v>59.5</v>
      </c>
      <c r="F117" s="117">
        <v>55.6</v>
      </c>
      <c r="G117" s="117">
        <v>49.8</v>
      </c>
      <c r="H117" s="117">
        <v>57.2</v>
      </c>
      <c r="I117" s="117">
        <v>44.4</v>
      </c>
      <c r="J117" s="117">
        <v>51.8</v>
      </c>
      <c r="K117" s="117">
        <v>44.9</v>
      </c>
      <c r="L117" s="117">
        <v>48.7</v>
      </c>
      <c r="M117" s="117">
        <v>46</v>
      </c>
      <c r="N117" s="117">
        <v>55.6</v>
      </c>
      <c r="O117" s="117">
        <v>45.8</v>
      </c>
      <c r="P117" s="117">
        <v>44.3</v>
      </c>
      <c r="Q117" s="117">
        <v>46.8</v>
      </c>
      <c r="R117" s="117">
        <v>42.9</v>
      </c>
      <c r="S117" s="117">
        <v>40</v>
      </c>
      <c r="T117" s="117">
        <v>65</v>
      </c>
      <c r="U117" s="117">
        <v>53.9</v>
      </c>
      <c r="V117" s="117">
        <v>35.4</v>
      </c>
      <c r="W117" s="117">
        <v>35.4</v>
      </c>
      <c r="X117" s="117">
        <v>35.4</v>
      </c>
      <c r="Y117" s="117">
        <v>46.7</v>
      </c>
      <c r="Z117" s="117">
        <v>40.700000000000003</v>
      </c>
      <c r="AA117" s="117">
        <v>41.9</v>
      </c>
      <c r="AB117" s="117">
        <v>45.1</v>
      </c>
      <c r="AC117" s="117">
        <v>41.8</v>
      </c>
      <c r="AD117" s="117">
        <v>43.2</v>
      </c>
      <c r="AE117" s="117">
        <v>56.6</v>
      </c>
      <c r="AF117" s="117">
        <v>59.9</v>
      </c>
      <c r="AG117" s="119"/>
      <c r="AH117" s="47">
        <f t="shared" si="8"/>
        <v>65</v>
      </c>
      <c r="AI117" s="48">
        <f t="shared" si="9"/>
        <v>35.4</v>
      </c>
    </row>
    <row r="118" spans="1:37" x14ac:dyDescent="0.25">
      <c r="A118" s="120" t="s">
        <v>124</v>
      </c>
      <c r="B118" s="106">
        <v>-26</v>
      </c>
      <c r="C118" s="106">
        <v>-24.5</v>
      </c>
      <c r="D118" s="106">
        <v>-18.7</v>
      </c>
      <c r="E118" s="106">
        <v>-14.6</v>
      </c>
      <c r="F118" s="106">
        <v>-15.7</v>
      </c>
      <c r="G118" s="106">
        <v>-14.2</v>
      </c>
      <c r="H118" s="106">
        <v>-14.8</v>
      </c>
      <c r="I118" s="106">
        <v>-13.7</v>
      </c>
      <c r="J118" s="106">
        <v>-14.6</v>
      </c>
      <c r="K118" s="106">
        <v>-19</v>
      </c>
      <c r="L118" s="106">
        <v>-20.3</v>
      </c>
      <c r="M118" s="106">
        <v>-25.5</v>
      </c>
      <c r="N118" s="106">
        <v>21.3</v>
      </c>
      <c r="O118" s="106">
        <v>-23.6</v>
      </c>
      <c r="P118" s="106">
        <v>-25.4</v>
      </c>
      <c r="Q118" s="106">
        <v>-26.4</v>
      </c>
      <c r="R118" s="106">
        <v>-28</v>
      </c>
      <c r="S118" s="106">
        <v>-30</v>
      </c>
      <c r="T118" s="106">
        <v>-28</v>
      </c>
      <c r="U118" s="106">
        <v>-32.299999999999997</v>
      </c>
      <c r="V118" s="106">
        <v>-35.4</v>
      </c>
      <c r="W118" s="106">
        <v>-35.4</v>
      </c>
      <c r="X118" s="106">
        <v>-35.4</v>
      </c>
      <c r="Y118" s="106">
        <v>-26.2</v>
      </c>
      <c r="Z118" s="106">
        <v>-37.6</v>
      </c>
      <c r="AA118" s="106">
        <v>-38.200000000000003</v>
      </c>
      <c r="AB118" s="106">
        <v>-35.4</v>
      </c>
      <c r="AC118" s="106">
        <v>-34.4</v>
      </c>
      <c r="AD118" s="106">
        <v>-24.9</v>
      </c>
      <c r="AE118" s="106">
        <v>21.4</v>
      </c>
      <c r="AF118" s="106">
        <v>-22.6</v>
      </c>
      <c r="AG118" s="119"/>
      <c r="AH118" s="47">
        <f t="shared" si="8"/>
        <v>21.4</v>
      </c>
      <c r="AI118" s="48">
        <f t="shared" si="9"/>
        <v>-38.200000000000003</v>
      </c>
    </row>
    <row r="119" spans="1:37" x14ac:dyDescent="0.25">
      <c r="A119" s="175" t="s">
        <v>265</v>
      </c>
      <c r="B119" s="106">
        <v>102</v>
      </c>
      <c r="C119" s="106">
        <v>99.4</v>
      </c>
      <c r="D119" s="106">
        <v>105.4</v>
      </c>
      <c r="E119" s="106">
        <v>101.8</v>
      </c>
      <c r="F119" s="106">
        <v>98</v>
      </c>
      <c r="G119" s="106">
        <v>92.9</v>
      </c>
      <c r="H119" s="106">
        <v>51.3</v>
      </c>
      <c r="I119" s="106">
        <v>44.9</v>
      </c>
      <c r="J119" s="106">
        <v>57.7</v>
      </c>
      <c r="K119" s="106">
        <v>45.1</v>
      </c>
      <c r="L119" s="106">
        <v>59.1</v>
      </c>
      <c r="M119" s="106">
        <v>51</v>
      </c>
      <c r="N119" s="106">
        <v>21.6</v>
      </c>
      <c r="O119" s="106">
        <v>29.1</v>
      </c>
      <c r="P119" s="106">
        <v>57.1</v>
      </c>
      <c r="Q119" s="106">
        <v>47.5</v>
      </c>
      <c r="R119" s="106">
        <v>51.3</v>
      </c>
      <c r="S119" s="106">
        <v>42</v>
      </c>
      <c r="T119" s="106">
        <v>35</v>
      </c>
      <c r="U119" s="106">
        <v>26.1</v>
      </c>
      <c r="V119" s="106">
        <v>54.6</v>
      </c>
      <c r="W119" s="106">
        <v>54.6</v>
      </c>
      <c r="X119" s="106">
        <v>54.6</v>
      </c>
      <c r="Y119" s="106">
        <v>17.5</v>
      </c>
      <c r="Z119" s="106">
        <v>8.8000000000000007</v>
      </c>
      <c r="AA119" s="106">
        <v>112.8</v>
      </c>
      <c r="AB119" s="106">
        <v>74.5</v>
      </c>
      <c r="AC119" s="106">
        <v>40.700000000000003</v>
      </c>
      <c r="AD119" s="106">
        <v>62.1</v>
      </c>
      <c r="AE119" s="106">
        <v>94.1</v>
      </c>
      <c r="AF119" s="106"/>
      <c r="AG119" s="119"/>
      <c r="AH119" s="47">
        <f t="shared" si="8"/>
        <v>112.8</v>
      </c>
      <c r="AI119" s="48">
        <f t="shared" si="9"/>
        <v>8.8000000000000007</v>
      </c>
    </row>
    <row r="120" spans="1:37" ht="15.75" thickBot="1" x14ac:dyDescent="0.3">
      <c r="A120" s="120" t="s">
        <v>125</v>
      </c>
      <c r="B120" s="106">
        <v>114.2</v>
      </c>
      <c r="C120" s="106">
        <v>113.2</v>
      </c>
      <c r="D120" s="106">
        <v>111.4</v>
      </c>
      <c r="E120" s="106">
        <v>106.2</v>
      </c>
      <c r="F120" s="106">
        <v>107</v>
      </c>
      <c r="G120" s="106">
        <v>82.2</v>
      </c>
      <c r="H120" s="106">
        <v>94.5</v>
      </c>
      <c r="I120" s="106">
        <v>87.1</v>
      </c>
      <c r="J120" s="106">
        <v>105.6</v>
      </c>
      <c r="K120" s="106">
        <v>106.3</v>
      </c>
      <c r="L120" s="106">
        <v>107.7</v>
      </c>
      <c r="M120" s="106">
        <v>98.3</v>
      </c>
      <c r="N120" s="106">
        <v>96.9</v>
      </c>
      <c r="O120" s="106">
        <v>101.3</v>
      </c>
      <c r="P120" s="106">
        <v>103.7</v>
      </c>
      <c r="Q120" s="106">
        <v>96.5</v>
      </c>
      <c r="R120" s="106">
        <v>103.5</v>
      </c>
      <c r="S120" s="106">
        <v>106</v>
      </c>
      <c r="T120" s="106">
        <v>97</v>
      </c>
      <c r="U120" s="106">
        <v>103.1</v>
      </c>
      <c r="V120" s="106">
        <v>94.9</v>
      </c>
      <c r="W120" s="106">
        <v>94.9</v>
      </c>
      <c r="X120" s="106">
        <v>84.3</v>
      </c>
      <c r="Y120" s="106">
        <v>88.4</v>
      </c>
      <c r="Z120" s="106">
        <v>105</v>
      </c>
      <c r="AA120" s="106">
        <v>115</v>
      </c>
      <c r="AB120" s="106">
        <v>113.9</v>
      </c>
      <c r="AC120" s="106">
        <v>118.2</v>
      </c>
      <c r="AD120" s="106">
        <v>113.3</v>
      </c>
      <c r="AE120" s="106">
        <v>114.3</v>
      </c>
      <c r="AF120" s="106"/>
      <c r="AG120" s="119"/>
      <c r="AH120" s="47">
        <f t="shared" si="8"/>
        <v>118.2</v>
      </c>
      <c r="AI120" s="48">
        <f t="shared" si="9"/>
        <v>82.2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119.19900000000008</v>
      </c>
      <c r="L231" s="128">
        <f t="shared" ca="1" si="19"/>
        <v>119.19900000000008</v>
      </c>
      <c r="M231" s="128">
        <f t="shared" ca="1" si="19"/>
        <v>119.19900000000008</v>
      </c>
      <c r="N231" s="128">
        <f t="shared" ca="1" si="19"/>
        <v>119.19900000000008</v>
      </c>
      <c r="O231" s="128">
        <f t="shared" ca="1" si="19"/>
        <v>119.19900000000008</v>
      </c>
      <c r="P231" s="128">
        <f t="shared" ca="1" si="19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125.2590000000001</v>
      </c>
      <c r="K235" s="136">
        <f t="shared" ca="1" si="20"/>
        <v>121.23900000000009</v>
      </c>
      <c r="L235" s="136">
        <f t="shared" ca="1" si="20"/>
        <v>121.23900000000009</v>
      </c>
      <c r="M235" s="136">
        <f t="shared" ca="1" si="20"/>
        <v>121.23900000000009</v>
      </c>
      <c r="N235" s="136">
        <f t="shared" ca="1" si="20"/>
        <v>121.23900000000009</v>
      </c>
      <c r="O235" s="136">
        <f t="shared" ca="1" si="20"/>
        <v>121.23900000000009</v>
      </c>
      <c r="P235" s="136">
        <f t="shared" ca="1" si="20"/>
        <v>109.17900000000006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1805.44</v>
      </c>
      <c r="C244" s="161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18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2080/02/18)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2080/02/18)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1673.84</v>
      </c>
      <c r="U249" s="170">
        <f t="shared" si="21"/>
        <v>1622.5399999999997</v>
      </c>
      <c r="V249" s="170">
        <f t="shared" si="21"/>
        <v>1614.4399999999998</v>
      </c>
      <c r="W249" s="170">
        <f t="shared" si="21"/>
        <v>1600.64</v>
      </c>
      <c r="X249" s="170">
        <f t="shared" si="21"/>
        <v>1620.74</v>
      </c>
      <c r="Y249" s="170">
        <f t="shared" si="21"/>
        <v>1566.74</v>
      </c>
      <c r="Z249" s="170">
        <f t="shared" si="21"/>
        <v>1600.44</v>
      </c>
      <c r="AA249" s="170">
        <f t="shared" si="21"/>
        <v>1568.1399999999999</v>
      </c>
      <c r="AB249" s="170">
        <f t="shared" si="21"/>
        <v>1697.84</v>
      </c>
      <c r="AC249" s="170">
        <f t="shared" si="21"/>
        <v>1705.64</v>
      </c>
      <c r="AD249" s="170">
        <f t="shared" si="21"/>
        <v>1805.44</v>
      </c>
      <c r="AE249" s="170">
        <f t="shared" si="21"/>
        <v>1742.0400000000002</v>
      </c>
      <c r="AF249" s="170">
        <f t="shared" si="21"/>
        <v>1648.34</v>
      </c>
      <c r="AG249" s="170">
        <f t="shared" si="21"/>
        <v>1742.54</v>
      </c>
      <c r="AH249" s="170">
        <f t="shared" si="21"/>
        <v>1778.04</v>
      </c>
      <c r="AI249" s="170">
        <f t="shared" si="21"/>
        <v>1746.74</v>
      </c>
      <c r="AJ249" s="170">
        <f t="shared" si="21"/>
        <v>1809.8400000000001</v>
      </c>
      <c r="AK249" s="170">
        <f t="shared" si="21"/>
        <v>1825.6399999999999</v>
      </c>
      <c r="AL249" s="170">
        <f t="shared" si="21"/>
        <v>1817.3</v>
      </c>
      <c r="AM249" s="170">
        <f t="shared" si="21"/>
        <v>1811.4399999999998</v>
      </c>
      <c r="AN249" s="170">
        <f>V91</f>
        <v>1771.74</v>
      </c>
      <c r="AO249" s="170">
        <f t="shared" si="21"/>
        <v>1760.24</v>
      </c>
      <c r="AP249" s="170">
        <f>X91</f>
        <v>1680.54</v>
      </c>
      <c r="AQ249" s="170">
        <f t="shared" si="21"/>
        <v>1640.84</v>
      </c>
      <c r="AR249" s="170">
        <f t="shared" si="21"/>
        <v>1800.84</v>
      </c>
      <c r="AS249" s="170">
        <f t="shared" si="21"/>
        <v>1965.94</v>
      </c>
      <c r="AT249" s="170">
        <f t="shared" si="21"/>
        <v>1881.8400000000001</v>
      </c>
      <c r="AU249" s="170">
        <f t="shared" si="21"/>
        <v>1871.34</v>
      </c>
      <c r="AV249" s="170">
        <f t="shared" si="21"/>
        <v>1689.3400000000001</v>
      </c>
      <c r="AW249" s="170">
        <f t="shared" si="21"/>
        <v>1742.4400000000003</v>
      </c>
      <c r="AX249" s="170">
        <f t="shared" si="21"/>
        <v>1659.4400000000003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1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7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4:AF17 B12:AF12">
    <cfRule type="expression" dxfId="6931" priority="413">
      <formula>B$9&gt;=20/24</formula>
    </cfRule>
    <cfRule type="expression" dxfId="6930" priority="414">
      <formula>AND(B$9&gt;=14/24,B$9&lt;20/24)</formula>
    </cfRule>
    <cfRule type="expression" dxfId="6929" priority="415">
      <formula>AND(B$9&gt;=8/24,B$9&lt;14/24)</formula>
    </cfRule>
    <cfRule type="expression" dxfId="6928" priority="416">
      <formula>B$9&lt;8/24</formula>
    </cfRule>
  </conditionalFormatting>
  <conditionalFormatting sqref="AL4:AL6">
    <cfRule type="iconSet" priority="412">
      <iconSet iconSet="3TrafficLights2" reverse="1">
        <cfvo type="percent" val="0"/>
        <cfvo type="num" val="1"/>
        <cfvo type="num" val="1"/>
      </iconSet>
    </cfRule>
  </conditionalFormatting>
  <conditionalFormatting sqref="AG67 B14:AF17 B12:AF12">
    <cfRule type="expression" dxfId="6927" priority="411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6926" priority="410">
      <formula>$AH12=0</formula>
    </cfRule>
  </conditionalFormatting>
  <conditionalFormatting sqref="A116">
    <cfRule type="expression" dxfId="6925" priority="409">
      <formula>$AH116=0</formula>
    </cfRule>
  </conditionalFormatting>
  <conditionalFormatting sqref="AL44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6924" priority="407">
      <formula>$AH47=0</formula>
    </cfRule>
  </conditionalFormatting>
  <conditionalFormatting sqref="A100">
    <cfRule type="expression" dxfId="6923" priority="406">
      <formula>$AH100=0</formula>
    </cfRule>
  </conditionalFormatting>
  <conditionalFormatting sqref="A20">
    <cfRule type="expression" dxfId="6922" priority="405">
      <formula>$AH20=0</formula>
    </cfRule>
  </conditionalFormatting>
  <conditionalFormatting sqref="A199:A204">
    <cfRule type="expression" dxfId="6921" priority="404">
      <formula>$AH199=0</formula>
    </cfRule>
  </conditionalFormatting>
  <conditionalFormatting sqref="A193:A198">
    <cfRule type="expression" dxfId="6920" priority="403">
      <formula>$AH193=0</formula>
    </cfRule>
  </conditionalFormatting>
  <conditionalFormatting sqref="A60">
    <cfRule type="expression" dxfId="6919" priority="402">
      <formula>$AH60=0</formula>
    </cfRule>
  </conditionalFormatting>
  <conditionalFormatting sqref="A96">
    <cfRule type="expression" dxfId="6918" priority="401">
      <formula>$AH96=0</formula>
    </cfRule>
  </conditionalFormatting>
  <conditionalFormatting sqref="E101:Y101 AD101:AF101">
    <cfRule type="expression" dxfId="6917" priority="397">
      <formula>E$9&gt;=20/24</formula>
    </cfRule>
    <cfRule type="expression" dxfId="6916" priority="398">
      <formula>AND(E$9&gt;=14/24,E$9&lt;20/24)</formula>
    </cfRule>
    <cfRule type="expression" dxfId="6915" priority="399">
      <formula>AND(E$9&gt;=8/24,E$9&lt;14/24)</formula>
    </cfRule>
    <cfRule type="expression" dxfId="6914" priority="400">
      <formula>E$9&lt;8/24</formula>
    </cfRule>
  </conditionalFormatting>
  <conditionalFormatting sqref="AL45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913" priority="419">
      <formula>C$9&gt;=20/24</formula>
    </cfRule>
    <cfRule type="expression" dxfId="6912" priority="420">
      <formula>AND(C$9&gt;=14/24,C$9&lt;20/24)</formula>
    </cfRule>
    <cfRule type="expression" dxfId="6911" priority="421">
      <formula>AND(C$9&gt;=8/24,C$9&lt;14/24)</formula>
    </cfRule>
    <cfRule type="expression" dxfId="6910" priority="422">
      <formula>C$9&lt;8/24</formula>
    </cfRule>
  </conditionalFormatting>
  <conditionalFormatting sqref="A236">
    <cfRule type="expression" dxfId="6909" priority="423">
      <formula>$AH236=0</formula>
    </cfRule>
  </conditionalFormatting>
  <conditionalFormatting sqref="AG248">
    <cfRule type="expression" dxfId="6908" priority="424">
      <formula>B$9&gt;=20/24</formula>
    </cfRule>
    <cfRule type="expression" dxfId="6907" priority="425">
      <formula>AND(B$9&gt;=14/24,B$9&lt;20/24)</formula>
    </cfRule>
    <cfRule type="expression" dxfId="6906" priority="426">
      <formula>AND(B$9&gt;=8/24,B$9&lt;14/24)</formula>
    </cfRule>
    <cfRule type="expression" dxfId="6905" priority="427">
      <formula>B$9&lt;8/24</formula>
    </cfRule>
  </conditionalFormatting>
  <conditionalFormatting sqref="S8">
    <cfRule type="expression" dxfId="6904" priority="392">
      <formula>U$9&gt;=20/24</formula>
    </cfRule>
    <cfRule type="expression" dxfId="6903" priority="393">
      <formula>AND(U$9&gt;=14/24,U$9&lt;20/24)</formula>
    </cfRule>
    <cfRule type="expression" dxfId="6902" priority="394">
      <formula>AND(U$9&gt;=8/24,U$9&lt;14/24)</formula>
    </cfRule>
    <cfRule type="expression" dxfId="6901" priority="395">
      <formula>U$9&lt;8/24</formula>
    </cfRule>
  </conditionalFormatting>
  <conditionalFormatting sqref="AB8">
    <cfRule type="expression" dxfId="6900" priority="388">
      <formula>AD$9&gt;=20/24</formula>
    </cfRule>
    <cfRule type="expression" dxfId="6899" priority="389">
      <formula>AND(AD$9&gt;=14/24,AD$9&lt;20/24)</formula>
    </cfRule>
    <cfRule type="expression" dxfId="6898" priority="390">
      <formula>AND(AD$9&gt;=8/24,AD$9&lt;14/24)</formula>
    </cfRule>
    <cfRule type="expression" dxfId="6897" priority="391">
      <formula>AD$9&lt;8/24</formula>
    </cfRule>
  </conditionalFormatting>
  <conditionalFormatting sqref="AH248:AX248">
    <cfRule type="expression" dxfId="6896" priority="428">
      <formula>AG$9&gt;=20/24</formula>
    </cfRule>
    <cfRule type="expression" dxfId="6895" priority="429">
      <formula>AND(AG$9&gt;=14/24,AG$9&lt;20/24)</formula>
    </cfRule>
    <cfRule type="expression" dxfId="6894" priority="430">
      <formula>AND(AG$9&gt;=8/24,AG$9&lt;14/24)</formula>
    </cfRule>
    <cfRule type="expression" dxfId="6893" priority="431">
      <formula>AG$9&lt;8/24</formula>
    </cfRule>
  </conditionalFormatting>
  <conditionalFormatting sqref="T248">
    <cfRule type="expression" dxfId="6892" priority="432">
      <formula>AX$9&gt;=20/24</formula>
    </cfRule>
    <cfRule type="expression" dxfId="6891" priority="433">
      <formula>AND(AX$9&gt;=14/24,AX$9&lt;20/24)</formula>
    </cfRule>
    <cfRule type="expression" dxfId="6890" priority="434">
      <formula>AND(AX$9&gt;=8/24,AX$9&lt;14/24)</formula>
    </cfRule>
    <cfRule type="expression" dxfId="6889" priority="435">
      <formula>AX$9&lt;8/24</formula>
    </cfRule>
  </conditionalFormatting>
  <conditionalFormatting sqref="A117:A119">
    <cfRule type="expression" dxfId="6888" priority="387">
      <formula>$AH117=0</formula>
    </cfRule>
  </conditionalFormatting>
  <conditionalFormatting sqref="AF73 M56:S59 E73:AD73 AD56:AF59">
    <cfRule type="expression" dxfId="6887" priority="383">
      <formula>E$9&gt;=20/24</formula>
    </cfRule>
    <cfRule type="expression" dxfId="6886" priority="384">
      <formula>AND(E$9&gt;=14/24,E$9&lt;20/24)</formula>
    </cfRule>
    <cfRule type="expression" dxfId="6885" priority="385">
      <formula>AND(E$9&gt;=8/24,E$9&lt;14/24)</formula>
    </cfRule>
    <cfRule type="expression" dxfId="6884" priority="386">
      <formula>E$9&lt;8/24</formula>
    </cfRule>
  </conditionalFormatting>
  <conditionalFormatting sqref="M55:S55 AD55:AF55">
    <cfRule type="expression" dxfId="6883" priority="379">
      <formula>M$9&gt;=20/24</formula>
    </cfRule>
    <cfRule type="expression" dxfId="6882" priority="380">
      <formula>AND(M$9&gt;=14/24,M$9&lt;20/24)</formula>
    </cfRule>
    <cfRule type="expression" dxfId="6881" priority="381">
      <formula>AND(M$9&gt;=8/24,M$9&lt;14/24)</formula>
    </cfRule>
    <cfRule type="expression" dxfId="6880" priority="382">
      <formula>M$9&lt;8/24</formula>
    </cfRule>
  </conditionalFormatting>
  <conditionalFormatting sqref="M55:S59 AD55:AF59">
    <cfRule type="expression" dxfId="6879" priority="378">
      <formula>M55&gt;$AG55</formula>
    </cfRule>
  </conditionalFormatting>
  <conditionalFormatting sqref="Y98:AF98 AF102:AF108 AD74:AD76 AF74:AF75 D88:AF88 M102:Y108 E74:AC75 Y49:AF49 AA69:AF71">
    <cfRule type="expression" dxfId="6878" priority="374">
      <formula>D$9&gt;=20/24</formula>
    </cfRule>
    <cfRule type="expression" dxfId="6877" priority="375">
      <formula>AND(D$9&gt;=14/24,D$9&lt;20/24)</formula>
    </cfRule>
    <cfRule type="expression" dxfId="6876" priority="376">
      <formula>AND(D$9&gt;=8/24,D$9&lt;14/24)</formula>
    </cfRule>
    <cfRule type="expression" dxfId="6875" priority="377">
      <formula>D$9&lt;8/24</formula>
    </cfRule>
  </conditionalFormatting>
  <conditionalFormatting sqref="Y49:AF49 AA69:AF71">
    <cfRule type="expression" dxfId="6874" priority="373">
      <formula>Y49&gt;$AG49</formula>
    </cfRule>
  </conditionalFormatting>
  <conditionalFormatting sqref="T55:AC60 AD60:AF60">
    <cfRule type="expression" dxfId="6873" priority="369">
      <formula>T$9&gt;=20/24</formula>
    </cfRule>
    <cfRule type="expression" dxfId="6872" priority="370">
      <formula>AND(T$9&gt;=14/24,T$9&lt;20/24)</formula>
    </cfRule>
    <cfRule type="expression" dxfId="6871" priority="371">
      <formula>AND(T$9&gt;=8/24,T$9&lt;14/24)</formula>
    </cfRule>
    <cfRule type="expression" dxfId="6870" priority="372">
      <formula>T$9&lt;8/24</formula>
    </cfRule>
  </conditionalFormatting>
  <conditionalFormatting sqref="T55:AC60 AD60:AF60">
    <cfRule type="expression" dxfId="6869" priority="368">
      <formula>T55&gt;$AG55</formula>
    </cfRule>
  </conditionalFormatting>
  <conditionalFormatting sqref="C99:AF99 D90:AF90">
    <cfRule type="expression" dxfId="6868" priority="364">
      <formula>C$9&gt;=20/24</formula>
    </cfRule>
    <cfRule type="expression" dxfId="6867" priority="365">
      <formula>AND(C$9&gt;=14/24,C$9&lt;20/24)</formula>
    </cfRule>
    <cfRule type="expression" dxfId="6866" priority="366">
      <formula>AND(C$9&gt;=8/24,C$9&lt;14/24)</formula>
    </cfRule>
    <cfRule type="expression" dxfId="6865" priority="367">
      <formula>C$9&lt;8/24</formula>
    </cfRule>
  </conditionalFormatting>
  <conditionalFormatting sqref="T49:X49">
    <cfRule type="expression" dxfId="6864" priority="360">
      <formula>T$9&gt;=20/24</formula>
    </cfRule>
    <cfRule type="expression" dxfId="6863" priority="361">
      <formula>AND(T$9&gt;=14/24,T$9&lt;20/24)</formula>
    </cfRule>
    <cfRule type="expression" dxfId="6862" priority="362">
      <formula>AND(T$9&gt;=8/24,T$9&lt;14/24)</formula>
    </cfRule>
    <cfRule type="expression" dxfId="6861" priority="363">
      <formula>T$9&lt;8/24</formula>
    </cfRule>
  </conditionalFormatting>
  <conditionalFormatting sqref="T49:X49">
    <cfRule type="expression" dxfId="6860" priority="359">
      <formula>T49&gt;$AG49</formula>
    </cfRule>
  </conditionalFormatting>
  <conditionalFormatting sqref="E56:L57">
    <cfRule type="expression" dxfId="6859" priority="355">
      <formula>E$9&gt;=20/24</formula>
    </cfRule>
    <cfRule type="expression" dxfId="6858" priority="356">
      <formula>AND(E$9&gt;=14/24,E$9&lt;20/24)</formula>
    </cfRule>
    <cfRule type="expression" dxfId="6857" priority="357">
      <formula>AND(E$9&gt;=8/24,E$9&lt;14/24)</formula>
    </cfRule>
    <cfRule type="expression" dxfId="6856" priority="358">
      <formula>E$9&lt;8/24</formula>
    </cfRule>
  </conditionalFormatting>
  <conditionalFormatting sqref="E55:L55">
    <cfRule type="expression" dxfId="6855" priority="351">
      <formula>E$9&gt;=20/24</formula>
    </cfRule>
    <cfRule type="expression" dxfId="6854" priority="352">
      <formula>AND(E$9&gt;=14/24,E$9&lt;20/24)</formula>
    </cfRule>
    <cfRule type="expression" dxfId="6853" priority="353">
      <formula>AND(E$9&gt;=8/24,E$9&lt;14/24)</formula>
    </cfRule>
    <cfRule type="expression" dxfId="6852" priority="354">
      <formula>E$9&lt;8/24</formula>
    </cfRule>
  </conditionalFormatting>
  <conditionalFormatting sqref="E55:L57">
    <cfRule type="expression" dxfId="6851" priority="350">
      <formula>E55&gt;$AG55</formula>
    </cfRule>
  </conditionalFormatting>
  <conditionalFormatting sqref="AG72 AG89 E102:L108">
    <cfRule type="expression" dxfId="6850" priority="346">
      <formula>E$9&gt;=20/24</formula>
    </cfRule>
    <cfRule type="expression" dxfId="6849" priority="347">
      <formula>AND(E$9&gt;=14/24,E$9&lt;20/24)</formula>
    </cfRule>
    <cfRule type="expression" dxfId="6848" priority="348">
      <formula>AND(E$9&gt;=8/24,E$9&lt;14/24)</formula>
    </cfRule>
    <cfRule type="expression" dxfId="6847" priority="349">
      <formula>E$9&lt;8/24</formula>
    </cfRule>
  </conditionalFormatting>
  <conditionalFormatting sqref="AG50 AG68 AG72">
    <cfRule type="expression" dxfId="6846" priority="345">
      <formula>AG50&gt;$AG50</formula>
    </cfRule>
  </conditionalFormatting>
  <conditionalFormatting sqref="A45">
    <cfRule type="expression" dxfId="6845" priority="339">
      <formula>$AH45=0</formula>
    </cfRule>
  </conditionalFormatting>
  <conditionalFormatting sqref="Y93:AF97">
    <cfRule type="expression" dxfId="6844" priority="335">
      <formula>Y$9&gt;=20/24</formula>
    </cfRule>
    <cfRule type="expression" dxfId="6843" priority="336">
      <formula>AND(Y$9&gt;=14/24,Y$9&lt;20/24)</formula>
    </cfRule>
    <cfRule type="expression" dxfId="6842" priority="337">
      <formula>AND(Y$9&gt;=8/24,Y$9&lt;14/24)</formula>
    </cfRule>
    <cfRule type="expression" dxfId="6841" priority="338">
      <formula>Y$9&lt;8/24</formula>
    </cfRule>
  </conditionalFormatting>
  <conditionalFormatting sqref="AL47 AL43 AL24:AL34 AL40:AL41 AL19:AL22 AL36:AL38 AL7:AL17">
    <cfRule type="iconSet" priority="436">
      <iconSet iconSet="3TrafficLights2" reverse="1">
        <cfvo type="percent" val="0"/>
        <cfvo type="num" val="1"/>
        <cfvo type="num" val="1"/>
      </iconSet>
    </cfRule>
  </conditionalFormatting>
  <conditionalFormatting sqref="E51:Q51 Q52:Q53 E53:P53 R51:AF53">
    <cfRule type="expression" dxfId="6840" priority="331">
      <formula>E$9&gt;=20/24</formula>
    </cfRule>
    <cfRule type="expression" dxfId="6839" priority="332">
      <formula>AND(E$9&gt;=14/24,E$9&lt;20/24)</formula>
    </cfRule>
    <cfRule type="expression" dxfId="6838" priority="333">
      <formula>AND(E$9&gt;=8/24,E$9&lt;14/24)</formula>
    </cfRule>
    <cfRule type="expression" dxfId="6837" priority="334">
      <formula>E$9&lt;8/24</formula>
    </cfRule>
  </conditionalFormatting>
  <conditionalFormatting sqref="E51:Q51 Q52:Q53 E53:P53 R51:AF53">
    <cfRule type="expression" dxfId="6836" priority="330">
      <formula>E51&gt;$AG51</formula>
    </cfRule>
  </conditionalFormatting>
  <conditionalFormatting sqref="AG54">
    <cfRule type="expression" dxfId="6835" priority="326">
      <formula>AG$9&gt;=20/24</formula>
    </cfRule>
    <cfRule type="expression" dxfId="6834" priority="327">
      <formula>AND(AG$9&gt;=14/24,AG$9&lt;20/24)</formula>
    </cfRule>
    <cfRule type="expression" dxfId="6833" priority="328">
      <formula>AND(AG$9&gt;=8/24,AG$9&lt;14/24)</formula>
    </cfRule>
    <cfRule type="expression" dxfId="6832" priority="329">
      <formula>AG$9&lt;8/24</formula>
    </cfRule>
  </conditionalFormatting>
  <conditionalFormatting sqref="AG54">
    <cfRule type="expression" dxfId="6831" priority="325">
      <formula>AG54&gt;$AG54</formula>
    </cfRule>
  </conditionalFormatting>
  <conditionalFormatting sqref="C109:AF109">
    <cfRule type="expression" dxfId="6830" priority="321">
      <formula>C$9&gt;=20/24</formula>
    </cfRule>
    <cfRule type="expression" dxfId="6829" priority="322">
      <formula>AND(C$9&gt;=14/24,C$9&lt;20/24)</formula>
    </cfRule>
    <cfRule type="expression" dxfId="6828" priority="323">
      <formula>AND(C$9&gt;=8/24,C$9&lt;14/24)</formula>
    </cfRule>
    <cfRule type="expression" dxfId="6827" priority="324">
      <formula>C$9&lt;8/24</formula>
    </cfRule>
  </conditionalFormatting>
  <conditionalFormatting sqref="AL42">
    <cfRule type="iconSet" priority="320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6826" priority="319">
      <formula>$AH42=0</formula>
    </cfRule>
  </conditionalFormatting>
  <conditionalFormatting sqref="A92">
    <cfRule type="expression" dxfId="6825" priority="317">
      <formula>$AH92=0</formula>
    </cfRule>
  </conditionalFormatting>
  <conditionalFormatting sqref="A89">
    <cfRule type="expression" dxfId="6824" priority="318">
      <formula>$AH89=0</formula>
    </cfRule>
  </conditionalFormatting>
  <conditionalFormatting sqref="D112:AF112">
    <cfRule type="expression" dxfId="6823" priority="313">
      <formula>D$9&gt;=20/24</formula>
    </cfRule>
    <cfRule type="expression" dxfId="6822" priority="314">
      <formula>AND(D$9&gt;=14/24,D$9&lt;20/24)</formula>
    </cfRule>
    <cfRule type="expression" dxfId="6821" priority="315">
      <formula>AND(D$9&gt;=8/24,D$9&lt;14/24)</formula>
    </cfRule>
    <cfRule type="expression" dxfId="6820" priority="316">
      <formula>D$9&lt;8/24</formula>
    </cfRule>
  </conditionalFormatting>
  <conditionalFormatting sqref="A112">
    <cfRule type="expression" dxfId="6819" priority="312">
      <formula>$AH112=0</formula>
    </cfRule>
  </conditionalFormatting>
  <conditionalFormatting sqref="A23">
    <cfRule type="expression" dxfId="6818" priority="310">
      <formula>$AH23=0</formula>
    </cfRule>
  </conditionalFormatting>
  <conditionalFormatting sqref="AL23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6817" priority="308">
      <formula>$AH39=0</formula>
    </cfRule>
  </conditionalFormatting>
  <conditionalFormatting sqref="AL39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6816" priority="304">
      <formula>Z$9&gt;=20/24</formula>
    </cfRule>
    <cfRule type="expression" dxfId="6815" priority="305">
      <formula>AND(Z$9&gt;=14/24,Z$9&lt;20/24)</formula>
    </cfRule>
    <cfRule type="expression" dxfId="6814" priority="306">
      <formula>AND(Z$9&gt;=8/24,Z$9&lt;14/24)</formula>
    </cfRule>
    <cfRule type="expression" dxfId="6813" priority="307">
      <formula>Z$9&lt;8/24</formula>
    </cfRule>
  </conditionalFormatting>
  <conditionalFormatting sqref="Z102:AE108">
    <cfRule type="expression" dxfId="6812" priority="300">
      <formula>Z$9&gt;=20/24</formula>
    </cfRule>
    <cfRule type="expression" dxfId="6811" priority="301">
      <formula>AND(Z$9&gt;=14/24,Z$9&lt;20/24)</formula>
    </cfRule>
    <cfRule type="expression" dxfId="6810" priority="302">
      <formula>AND(Z$9&gt;=8/24,Z$9&lt;14/24)</formula>
    </cfRule>
    <cfRule type="expression" dxfId="6809" priority="303">
      <formula>Z$9&lt;8/24</formula>
    </cfRule>
  </conditionalFormatting>
  <conditionalFormatting sqref="C111 C113:C119 AA32:AF34 AA19:AF25 AA27:AF28 AA37:AF42 AA44:AF45">
    <cfRule type="expression" dxfId="6808" priority="296">
      <formula>C$9&gt;=20/24</formula>
    </cfRule>
    <cfRule type="expression" dxfId="6807" priority="297">
      <formula>AND(C$9&gt;=14/24,C$9&lt;20/24)</formula>
    </cfRule>
    <cfRule type="expression" dxfId="6806" priority="298">
      <formula>AND(C$9&gt;=8/24,C$9&lt;14/24)</formula>
    </cfRule>
    <cfRule type="expression" dxfId="6805" priority="299">
      <formula>C$9&lt;8/24</formula>
    </cfRule>
  </conditionalFormatting>
  <conditionalFormatting sqref="E49:S49">
    <cfRule type="expression" dxfId="6804" priority="292">
      <formula>E$9&gt;=20/24</formula>
    </cfRule>
    <cfRule type="expression" dxfId="6803" priority="293">
      <formula>AND(E$9&gt;=14/24,E$9&lt;20/24)</formula>
    </cfRule>
    <cfRule type="expression" dxfId="6802" priority="294">
      <formula>AND(E$9&gt;=8/24,E$9&lt;14/24)</formula>
    </cfRule>
    <cfRule type="expression" dxfId="6801" priority="295">
      <formula>E$9&lt;8/24</formula>
    </cfRule>
  </conditionalFormatting>
  <conditionalFormatting sqref="E49:S49 AA32:AF34 AA19:AF25 AA27:AF28 AA37:AF42 AA44:AF45">
    <cfRule type="expression" dxfId="6800" priority="291">
      <formula>E19&gt;$AG19</formula>
    </cfRule>
  </conditionalFormatting>
  <conditionalFormatting sqref="C101:D101">
    <cfRule type="expression" dxfId="6799" priority="287">
      <formula>C$9&gt;=20/24</formula>
    </cfRule>
    <cfRule type="expression" dxfId="6798" priority="288">
      <formula>AND(C$9&gt;=14/24,C$9&lt;20/24)</formula>
    </cfRule>
    <cfRule type="expression" dxfId="6797" priority="289">
      <formula>AND(C$9&gt;=8/24,C$9&lt;14/24)</formula>
    </cfRule>
    <cfRule type="expression" dxfId="6796" priority="290">
      <formula>C$9&lt;8/24</formula>
    </cfRule>
  </conditionalFormatting>
  <conditionalFormatting sqref="C88 D102:D108 AD77:AD78 C98:X98 C85:AF87 E69:Z71 E76:AC78">
    <cfRule type="expression" dxfId="6795" priority="283">
      <formula>C$9&gt;=20/24</formula>
    </cfRule>
    <cfRule type="expression" dxfId="6794" priority="284">
      <formula>AND(C$9&gt;=14/24,C$9&lt;20/24)</formula>
    </cfRule>
    <cfRule type="expression" dxfId="6793" priority="285">
      <formula>AND(C$9&gt;=8/24,C$9&lt;14/24)</formula>
    </cfRule>
    <cfRule type="expression" dxfId="6792" priority="286">
      <formula>C$9&lt;8/24</formula>
    </cfRule>
  </conditionalFormatting>
  <conditionalFormatting sqref="E58:L58 G59:L59 E69:Z71">
    <cfRule type="expression" dxfId="6791" priority="282">
      <formula>E58&gt;$AG58</formula>
    </cfRule>
  </conditionalFormatting>
  <conditionalFormatting sqref="D73">
    <cfRule type="expression" dxfId="6790" priority="224">
      <formula>D$9&gt;=20/24</formula>
    </cfRule>
    <cfRule type="expression" dxfId="6789" priority="225">
      <formula>AND(D$9&gt;=14/24,D$9&lt;20/24)</formula>
    </cfRule>
    <cfRule type="expression" dxfId="6788" priority="226">
      <formula>AND(D$9&gt;=8/24,D$9&lt;14/24)</formula>
    </cfRule>
    <cfRule type="expression" dxfId="6787" priority="227">
      <formula>D$9&lt;8/24</formula>
    </cfRule>
  </conditionalFormatting>
  <conditionalFormatting sqref="C89:AF89 C91:AF91 C100:AF100 C72:AF72">
    <cfRule type="expression" dxfId="6786" priority="278">
      <formula>C$9&gt;=20/24</formula>
    </cfRule>
    <cfRule type="expression" dxfId="6785" priority="279">
      <formula>AND(C$9&gt;=14/24,C$9&lt;20/24)</formula>
    </cfRule>
    <cfRule type="expression" dxfId="6784" priority="280">
      <formula>AND(C$9&gt;=8/24,C$9&lt;14/24)</formula>
    </cfRule>
    <cfRule type="expression" dxfId="6783" priority="281">
      <formula>C$9&lt;8/24</formula>
    </cfRule>
  </conditionalFormatting>
  <conditionalFormatting sqref="C72:AF72 D67:AF68">
    <cfRule type="expression" dxfId="6782" priority="277">
      <formula>C67&gt;$AG67</formula>
    </cfRule>
  </conditionalFormatting>
  <conditionalFormatting sqref="C84:AF84">
    <cfRule type="expression" dxfId="6781" priority="273">
      <formula>C$9&gt;=20/24</formula>
    </cfRule>
    <cfRule type="expression" dxfId="6780" priority="274">
      <formula>AND(C$9&gt;=14/24,C$9&lt;20/24)</formula>
    </cfRule>
    <cfRule type="expression" dxfId="6779" priority="275">
      <formula>AND(C$9&gt;=8/24,C$9&lt;14/24)</formula>
    </cfRule>
    <cfRule type="expression" dxfId="6778" priority="276">
      <formula>C$9&lt;8/24</formula>
    </cfRule>
  </conditionalFormatting>
  <conditionalFormatting sqref="C93:X97">
    <cfRule type="expression" dxfId="6777" priority="269">
      <formula>C$9&gt;=20/24</formula>
    </cfRule>
    <cfRule type="expression" dxfId="6776" priority="270">
      <formula>AND(C$9&gt;=14/24,C$9&lt;20/24)</formula>
    </cfRule>
    <cfRule type="expression" dxfId="6775" priority="271">
      <formula>AND(C$9&gt;=8/24,C$9&lt;14/24)</formula>
    </cfRule>
    <cfRule type="expression" dxfId="6774" priority="272">
      <formula>C$9&lt;8/24</formula>
    </cfRule>
  </conditionalFormatting>
  <conditionalFormatting sqref="D54:AF54">
    <cfRule type="expression" dxfId="6773" priority="265">
      <formula>D$9&gt;=20/24</formula>
    </cfRule>
    <cfRule type="expression" dxfId="6772" priority="266">
      <formula>AND(D$9&gt;=14/24,D$9&lt;20/24)</formula>
    </cfRule>
    <cfRule type="expression" dxfId="6771" priority="267">
      <formula>AND(D$9&gt;=8/24,D$9&lt;14/24)</formula>
    </cfRule>
    <cfRule type="expression" dxfId="6770" priority="268">
      <formula>D$9&lt;8/24</formula>
    </cfRule>
  </conditionalFormatting>
  <conditionalFormatting sqref="D54:AF54">
    <cfRule type="expression" dxfId="6769" priority="264">
      <formula>D54&gt;$AG54</formula>
    </cfRule>
  </conditionalFormatting>
  <conditionalFormatting sqref="C112">
    <cfRule type="expression" dxfId="6768" priority="256">
      <formula>C$9&gt;=20/24</formula>
    </cfRule>
    <cfRule type="expression" dxfId="6767" priority="257">
      <formula>AND(C$9&gt;=14/24,C$9&lt;20/24)</formula>
    </cfRule>
    <cfRule type="expression" dxfId="6766" priority="258">
      <formula>AND(C$9&gt;=8/24,C$9&lt;14/24)</formula>
    </cfRule>
    <cfRule type="expression" dxfId="6765" priority="259">
      <formula>C$9&lt;8/24</formula>
    </cfRule>
  </conditionalFormatting>
  <conditionalFormatting sqref="AA61:AF66">
    <cfRule type="expression" dxfId="6764" priority="252">
      <formula>AA$9&gt;=20/24</formula>
    </cfRule>
    <cfRule type="expression" dxfId="6763" priority="253">
      <formula>AND(AA$9&gt;=14/24,AA$9&lt;20/24)</formula>
    </cfRule>
    <cfRule type="expression" dxfId="6762" priority="254">
      <formula>AND(AA$9&gt;=8/24,AA$9&lt;14/24)</formula>
    </cfRule>
    <cfRule type="expression" dxfId="6761" priority="255">
      <formula>AA$9&lt;8/24</formula>
    </cfRule>
  </conditionalFormatting>
  <conditionalFormatting sqref="AA61:AF66">
    <cfRule type="expression" dxfId="6760" priority="251">
      <formula>AA61&gt;$AG61</formula>
    </cfRule>
  </conditionalFormatting>
  <conditionalFormatting sqref="AA47:AF47">
    <cfRule type="expression" dxfId="6759" priority="250">
      <formula>AA47&gt;$AG47</formula>
    </cfRule>
  </conditionalFormatting>
  <conditionalFormatting sqref="AA13:AF13">
    <cfRule type="expression" dxfId="6758" priority="246">
      <formula>AA$9&gt;=20/24</formula>
    </cfRule>
    <cfRule type="expression" dxfId="6757" priority="247">
      <formula>AND(AA$9&gt;=14/24,AA$9&lt;20/24)</formula>
    </cfRule>
    <cfRule type="expression" dxfId="6756" priority="248">
      <formula>AND(AA$9&gt;=8/24,AA$9&lt;14/24)</formula>
    </cfRule>
    <cfRule type="expression" dxfId="6755" priority="249">
      <formula>AA$9&lt;8/24</formula>
    </cfRule>
  </conditionalFormatting>
  <conditionalFormatting sqref="AA13:AF13">
    <cfRule type="expression" dxfId="6754" priority="245">
      <formula>AA13&gt;$AG13</formula>
    </cfRule>
  </conditionalFormatting>
  <conditionalFormatting sqref="AA47:AF47">
    <cfRule type="expression" dxfId="6753" priority="241">
      <formula>AA$9&gt;=20/24</formula>
    </cfRule>
    <cfRule type="expression" dxfId="6752" priority="242">
      <formula>AND(AA$9&gt;=14/24,AA$9&lt;20/24)</formula>
    </cfRule>
    <cfRule type="expression" dxfId="6751" priority="243">
      <formula>AND(AA$9&gt;=8/24,AA$9&lt;14/24)</formula>
    </cfRule>
    <cfRule type="expression" dxfId="6750" priority="244">
      <formula>AA$9&lt;8/24</formula>
    </cfRule>
  </conditionalFormatting>
  <conditionalFormatting sqref="E79:O81 P79:AD83">
    <cfRule type="expression" dxfId="6749" priority="237">
      <formula>E$9&gt;=20/24</formula>
    </cfRule>
    <cfRule type="expression" dxfId="6748" priority="238">
      <formula>AND(E$9&gt;=14/24,E$9&lt;20/24)</formula>
    </cfRule>
    <cfRule type="expression" dxfId="6747" priority="239">
      <formula>AND(E$9&gt;=8/24,E$9&lt;14/24)</formula>
    </cfRule>
    <cfRule type="expression" dxfId="6746" priority="240">
      <formula>E$9&lt;8/24</formula>
    </cfRule>
  </conditionalFormatting>
  <conditionalFormatting sqref="AL80:AN80 AL86:AN86 AN81:AN82">
    <cfRule type="expression" dxfId="6745" priority="233">
      <formula>AL$9&gt;=20/24</formula>
    </cfRule>
    <cfRule type="expression" dxfId="6744" priority="234">
      <formula>AND(AL$9&gt;=14/24,AL$9&lt;20/24)</formula>
    </cfRule>
    <cfRule type="expression" dxfId="6743" priority="235">
      <formula>AND(AL$9&gt;=8/24,AL$9&lt;14/24)</formula>
    </cfRule>
    <cfRule type="expression" dxfId="6742" priority="236">
      <formula>AL$9&lt;8/24</formula>
    </cfRule>
  </conditionalFormatting>
  <conditionalFormatting sqref="AN83:AN84">
    <cfRule type="expression" dxfId="6741" priority="229">
      <formula>AN$9&gt;=20/24</formula>
    </cfRule>
    <cfRule type="expression" dxfId="6740" priority="230">
      <formula>AND(AN$9&gt;=14/24,AN$9&lt;20/24)</formula>
    </cfRule>
    <cfRule type="expression" dxfId="6739" priority="231">
      <formula>AND(AN$9&gt;=8/24,AN$9&lt;14/24)</formula>
    </cfRule>
    <cfRule type="expression" dxfId="6738" priority="232">
      <formula>AN$9&lt;8/24</formula>
    </cfRule>
  </conditionalFormatting>
  <conditionalFormatting sqref="AL81:AM85">
    <cfRule type="expression" dxfId="6737" priority="437">
      <formula>AJ$9&gt;=20/24</formula>
    </cfRule>
    <cfRule type="expression" dxfId="6736" priority="438">
      <formula>AND(AJ$9&gt;=14/24,AJ$9&lt;20/24)</formula>
    </cfRule>
    <cfRule type="expression" dxfId="6735" priority="439">
      <formula>AND(AJ$9&gt;=8/24,AJ$9&lt;14/24)</formula>
    </cfRule>
    <cfRule type="expression" dxfId="6734" priority="440">
      <formula>AJ$9&lt;8/24</formula>
    </cfRule>
  </conditionalFormatting>
  <conditionalFormatting sqref="A120">
    <cfRule type="expression" dxfId="6733" priority="228">
      <formula>$AH120=0</formula>
    </cfRule>
  </conditionalFormatting>
  <conditionalFormatting sqref="C102:C108 D69:D71 D74:D83 E82:O83">
    <cfRule type="expression" dxfId="6732" priority="215">
      <formula>C$9&gt;=20/24</formula>
    </cfRule>
    <cfRule type="expression" dxfId="6731" priority="216">
      <formula>AND(C$9&gt;=14/24,C$9&lt;20/24)</formula>
    </cfRule>
    <cfRule type="expression" dxfId="6730" priority="217">
      <formula>AND(C$9&gt;=8/24,C$9&lt;14/24)</formula>
    </cfRule>
    <cfRule type="expression" dxfId="6729" priority="218">
      <formula>C$9&lt;8/24</formula>
    </cfRule>
  </conditionalFormatting>
  <conditionalFormatting sqref="D69:D71">
    <cfRule type="expression" dxfId="6728" priority="214">
      <formula>D69&gt;$AG69</formula>
    </cfRule>
  </conditionalFormatting>
  <conditionalFormatting sqref="C90">
    <cfRule type="expression" dxfId="6727" priority="210">
      <formula>C$9&gt;=20/24</formula>
    </cfRule>
    <cfRule type="expression" dxfId="6726" priority="211">
      <formula>AND(C$9&gt;=14/24,C$9&lt;20/24)</formula>
    </cfRule>
    <cfRule type="expression" dxfId="6725" priority="212">
      <formula>AND(C$9&gt;=8/24,C$9&lt;14/24)</formula>
    </cfRule>
    <cfRule type="expression" dxfId="6724" priority="213">
      <formula>C$9&lt;8/24</formula>
    </cfRule>
  </conditionalFormatting>
  <conditionalFormatting sqref="AA48:AF48">
    <cfRule type="expression" dxfId="6723" priority="206">
      <formula>AA$9&gt;=20/24</formula>
    </cfRule>
    <cfRule type="expression" dxfId="6722" priority="207">
      <formula>AND(AA$9&gt;=14/24,AA$9&lt;20/24)</formula>
    </cfRule>
    <cfRule type="expression" dxfId="6721" priority="208">
      <formula>AND(AA$9&gt;=8/24,AA$9&lt;14/24)</formula>
    </cfRule>
    <cfRule type="expression" dxfId="6720" priority="209">
      <formula>AA$9&lt;8/24</formula>
    </cfRule>
  </conditionalFormatting>
  <conditionalFormatting sqref="AA48:AF48">
    <cfRule type="expression" dxfId="6719" priority="205">
      <formula>AA48&gt;$AG48</formula>
    </cfRule>
  </conditionalFormatting>
  <conditionalFormatting sqref="J60:S60">
    <cfRule type="expression" dxfId="6718" priority="201">
      <formula>J$9&gt;=20/24</formula>
    </cfRule>
    <cfRule type="expression" dxfId="6717" priority="202">
      <formula>AND(J$9&gt;=14/24,J$9&lt;20/24)</formula>
    </cfRule>
    <cfRule type="expression" dxfId="6716" priority="203">
      <formula>AND(J$9&gt;=8/24,J$9&lt;14/24)</formula>
    </cfRule>
    <cfRule type="expression" dxfId="6715" priority="204">
      <formula>J$9&lt;8/24</formula>
    </cfRule>
  </conditionalFormatting>
  <conditionalFormatting sqref="J60:S60">
    <cfRule type="expression" dxfId="6714" priority="200">
      <formula>J60&gt;$AG60</formula>
    </cfRule>
  </conditionalFormatting>
  <conditionalFormatting sqref="B88 B98 B103:B108 B69:C71 B49:D49 B74:C76">
    <cfRule type="expression" dxfId="6713" priority="130">
      <formula>B$9&gt;=20/24</formula>
    </cfRule>
    <cfRule type="expression" dxfId="6712" priority="131">
      <formula>AND(B$9&gt;=14/24,B$9&lt;20/24)</formula>
    </cfRule>
    <cfRule type="expression" dxfId="6711" priority="132">
      <formula>AND(B$9&gt;=8/24,B$9&lt;14/24)</formula>
    </cfRule>
    <cfRule type="expression" dxfId="6710" priority="133">
      <formula>B$9&lt;8/24</formula>
    </cfRule>
  </conditionalFormatting>
  <conditionalFormatting sqref="B60:I60">
    <cfRule type="expression" dxfId="6709" priority="121">
      <formula>B$9&gt;=20/24</formula>
    </cfRule>
    <cfRule type="expression" dxfId="6708" priority="122">
      <formula>AND(B$9&gt;=14/24,B$9&lt;20/24)</formula>
    </cfRule>
    <cfRule type="expression" dxfId="6707" priority="123">
      <formula>AND(B$9&gt;=8/24,B$9&lt;14/24)</formula>
    </cfRule>
    <cfRule type="expression" dxfId="6706" priority="124">
      <formula>B$9&lt;8/24</formula>
    </cfRule>
  </conditionalFormatting>
  <conditionalFormatting sqref="E50:AF50">
    <cfRule type="expression" dxfId="6705" priority="195">
      <formula>E50&gt;$AG50</formula>
    </cfRule>
  </conditionalFormatting>
  <conditionalFormatting sqref="M61:Z66">
    <cfRule type="expression" dxfId="6704" priority="191">
      <formula>M$9&gt;=20/24</formula>
    </cfRule>
    <cfRule type="expression" dxfId="6703" priority="192">
      <formula>AND(M$9&gt;=14/24,M$9&lt;20/24)</formula>
    </cfRule>
    <cfRule type="expression" dxfId="6702" priority="193">
      <formula>AND(M$9&gt;=8/24,M$9&lt;14/24)</formula>
    </cfRule>
    <cfRule type="expression" dxfId="6701" priority="194">
      <formula>M$9&lt;8/24</formula>
    </cfRule>
  </conditionalFormatting>
  <conditionalFormatting sqref="M61:Z66">
    <cfRule type="expression" dxfId="6700" priority="190">
      <formula>M61&gt;$AG61</formula>
    </cfRule>
  </conditionalFormatting>
  <conditionalFormatting sqref="A11">
    <cfRule type="expression" dxfId="6699" priority="185">
      <formula>$AH11=0</formula>
    </cfRule>
  </conditionalFormatting>
  <conditionalFormatting sqref="A18">
    <cfRule type="expression" dxfId="6698" priority="178">
      <formula>$AH18=0</formula>
    </cfRule>
  </conditionalFormatting>
  <conditionalFormatting sqref="AL18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6697" priority="174">
      <formula>AA$9&gt;=20/24</formula>
    </cfRule>
    <cfRule type="expression" dxfId="6696" priority="175">
      <formula>AND(AA$9&gt;=14/24,AA$9&lt;20/24)</formula>
    </cfRule>
    <cfRule type="expression" dxfId="6695" priority="176">
      <formula>AND(AA$9&gt;=8/24,AA$9&lt;14/24)</formula>
    </cfRule>
    <cfRule type="expression" dxfId="6694" priority="177">
      <formula>AA$9&lt;8/24</formula>
    </cfRule>
  </conditionalFormatting>
  <conditionalFormatting sqref="AA18:AF18">
    <cfRule type="expression" dxfId="6693" priority="173">
      <formula>AA18&gt;$AG18</formula>
    </cfRule>
  </conditionalFormatting>
  <conditionalFormatting sqref="A35">
    <cfRule type="expression" dxfId="6692" priority="171">
      <formula>$AH35=0</formula>
    </cfRule>
  </conditionalFormatting>
  <conditionalFormatting sqref="AL35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46">
    <cfRule type="expression" dxfId="6691" priority="164">
      <formula>$AH46=0</formula>
    </cfRule>
  </conditionalFormatting>
  <conditionalFormatting sqref="AL4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6690" priority="163">
      <formula>AA46&gt;$AG46</formula>
    </cfRule>
  </conditionalFormatting>
  <conditionalFormatting sqref="AA46:AF46">
    <cfRule type="expression" dxfId="6689" priority="159">
      <formula>AA$9&gt;=20/24</formula>
    </cfRule>
    <cfRule type="expression" dxfId="6688" priority="160">
      <formula>AND(AA$9&gt;=14/24,AA$9&lt;20/24)</formula>
    </cfRule>
    <cfRule type="expression" dxfId="6687" priority="161">
      <formula>AND(AA$9&gt;=8/24,AA$9&lt;14/24)</formula>
    </cfRule>
    <cfRule type="expression" dxfId="6686" priority="162">
      <formula>AA$9&lt;8/24</formula>
    </cfRule>
  </conditionalFormatting>
  <conditionalFormatting sqref="B120">
    <cfRule type="expression" dxfId="6685" priority="31">
      <formula>B$9&gt;=20/24</formula>
    </cfRule>
    <cfRule type="expression" dxfId="6684" priority="32">
      <formula>AND(B$9&gt;=14/24,B$9&lt;20/24)</formula>
    </cfRule>
    <cfRule type="expression" dxfId="6683" priority="33">
      <formula>AND(B$9&gt;=8/24,B$9&lt;14/24)</formula>
    </cfRule>
    <cfRule type="expression" dxfId="6682" priority="34">
      <formula>B$9&lt;8/24</formula>
    </cfRule>
  </conditionalFormatting>
  <conditionalFormatting sqref="D120:AF120">
    <cfRule type="expression" dxfId="6681" priority="155">
      <formula>D$9&gt;=20/24</formula>
    </cfRule>
    <cfRule type="expression" dxfId="6680" priority="156">
      <formula>AND(D$9&gt;=14/24,D$9&lt;20/24)</formula>
    </cfRule>
    <cfRule type="expression" dxfId="6679" priority="157">
      <formula>AND(D$9&gt;=8/24,D$9&lt;14/24)</formula>
    </cfRule>
    <cfRule type="expression" dxfId="6678" priority="158">
      <formula>D$9&lt;8/24</formula>
    </cfRule>
  </conditionalFormatting>
  <conditionalFormatting sqref="C120">
    <cfRule type="expression" dxfId="6677" priority="151">
      <formula>C$9&gt;=20/24</formula>
    </cfRule>
    <cfRule type="expression" dxfId="6676" priority="152">
      <formula>AND(C$9&gt;=14/24,C$9&lt;20/24)</formula>
    </cfRule>
    <cfRule type="expression" dxfId="6675" priority="153">
      <formula>AND(C$9&gt;=8/24,C$9&lt;14/24)</formula>
    </cfRule>
    <cfRule type="expression" dxfId="6674" priority="154">
      <formula>C$9&lt;8/24</formula>
    </cfRule>
  </conditionalFormatting>
  <conditionalFormatting sqref="B111 B113:B119">
    <cfRule type="expression" dxfId="6673" priority="147">
      <formula>B$9&gt;=20/24</formula>
    </cfRule>
    <cfRule type="expression" dxfId="6672" priority="148">
      <formula>AND(B$9&gt;=14/24,B$9&lt;20/24)</formula>
    </cfRule>
    <cfRule type="expression" dxfId="6671" priority="149">
      <formula>AND(B$9&gt;=8/24,B$9&lt;14/24)</formula>
    </cfRule>
    <cfRule type="expression" dxfId="6670" priority="150">
      <formula>B$9&lt;8/24</formula>
    </cfRule>
  </conditionalFormatting>
  <conditionalFormatting sqref="B101">
    <cfRule type="expression" dxfId="6669" priority="143">
      <formula>B$9&gt;=20/24</formula>
    </cfRule>
    <cfRule type="expression" dxfId="6668" priority="144">
      <formula>AND(B$9&gt;=14/24,B$9&lt;20/24)</formula>
    </cfRule>
    <cfRule type="expression" dxfId="6667" priority="145">
      <formula>AND(B$9&gt;=8/24,B$9&lt;14/24)</formula>
    </cfRule>
    <cfRule type="expression" dxfId="6666" priority="146">
      <formula>B$9&lt;8/24</formula>
    </cfRule>
  </conditionalFormatting>
  <conditionalFormatting sqref="B73:C73 B56:D59 E59:F59">
    <cfRule type="expression" dxfId="6665" priority="139">
      <formula>B$9&gt;=20/24</formula>
    </cfRule>
    <cfRule type="expression" dxfId="6664" priority="140">
      <formula>AND(B$9&gt;=14/24,B$9&lt;20/24)</formula>
    </cfRule>
    <cfRule type="expression" dxfId="6663" priority="141">
      <formula>AND(B$9&gt;=8/24,B$9&lt;14/24)</formula>
    </cfRule>
    <cfRule type="expression" dxfId="6662" priority="142">
      <formula>B$9&lt;8/24</formula>
    </cfRule>
  </conditionalFormatting>
  <conditionalFormatting sqref="B55:D55">
    <cfRule type="expression" dxfId="6661" priority="135">
      <formula>B$9&gt;=20/24</formula>
    </cfRule>
    <cfRule type="expression" dxfId="6660" priority="136">
      <formula>AND(B$9&gt;=14/24,B$9&lt;20/24)</formula>
    </cfRule>
    <cfRule type="expression" dxfId="6659" priority="137">
      <formula>AND(B$9&gt;=8/24,B$9&lt;14/24)</formula>
    </cfRule>
    <cfRule type="expression" dxfId="6658" priority="138">
      <formula>B$9&lt;8/24</formula>
    </cfRule>
  </conditionalFormatting>
  <conditionalFormatting sqref="B55:D59 E59:F59">
    <cfRule type="expression" dxfId="6657" priority="134">
      <formula>B55&gt;$AG55</formula>
    </cfRule>
  </conditionalFormatting>
  <conditionalFormatting sqref="B69:C71 B49:D49">
    <cfRule type="expression" dxfId="6656" priority="129">
      <formula>B49&gt;$AG49</formula>
    </cfRule>
  </conditionalFormatting>
  <conditionalFormatting sqref="B99 B90">
    <cfRule type="expression" dxfId="6655" priority="125">
      <formula>B$9&gt;=20/24</formula>
    </cfRule>
    <cfRule type="expression" dxfId="6654" priority="126">
      <formula>AND(B$9&gt;=14/24,B$9&lt;20/24)</formula>
    </cfRule>
    <cfRule type="expression" dxfId="6653" priority="127">
      <formula>AND(B$9&gt;=8/24,B$9&lt;14/24)</formula>
    </cfRule>
    <cfRule type="expression" dxfId="6652" priority="128">
      <formula>B$9&lt;8/24</formula>
    </cfRule>
  </conditionalFormatting>
  <conditionalFormatting sqref="B60:I60">
    <cfRule type="expression" dxfId="6651" priority="120">
      <formula>B60&gt;$AG60</formula>
    </cfRule>
  </conditionalFormatting>
  <conditionalFormatting sqref="B93:B97">
    <cfRule type="expression" dxfId="6650" priority="116">
      <formula>B$9&gt;=20/24</formula>
    </cfRule>
    <cfRule type="expression" dxfId="6649" priority="117">
      <formula>AND(B$9&gt;=14/24,B$9&lt;20/24)</formula>
    </cfRule>
    <cfRule type="expression" dxfId="6648" priority="118">
      <formula>AND(B$9&gt;=8/24,B$9&lt;14/24)</formula>
    </cfRule>
    <cfRule type="expression" dxfId="6647" priority="119">
      <formula>B$9&lt;8/24</formula>
    </cfRule>
  </conditionalFormatting>
  <conditionalFormatting sqref="B51:D53 E52:P52">
    <cfRule type="expression" dxfId="6646" priority="112">
      <formula>B$9&gt;=20/24</formula>
    </cfRule>
    <cfRule type="expression" dxfId="6645" priority="113">
      <formula>AND(B$9&gt;=14/24,B$9&lt;20/24)</formula>
    </cfRule>
    <cfRule type="expression" dxfId="6644" priority="114">
      <formula>AND(B$9&gt;=8/24,B$9&lt;14/24)</formula>
    </cfRule>
    <cfRule type="expression" dxfId="6643" priority="115">
      <formula>B$9&lt;8/24</formula>
    </cfRule>
  </conditionalFormatting>
  <conditionalFormatting sqref="B51:D53 E52:P52">
    <cfRule type="expression" dxfId="6642" priority="111">
      <formula>B51&gt;$AG51</formula>
    </cfRule>
  </conditionalFormatting>
  <conditionalFormatting sqref="B109">
    <cfRule type="expression" dxfId="6641" priority="107">
      <formula>B$9&gt;=20/24</formula>
    </cfRule>
    <cfRule type="expression" dxfId="6640" priority="108">
      <formula>AND(B$9&gt;=14/24,B$9&lt;20/24)</formula>
    </cfRule>
    <cfRule type="expression" dxfId="6639" priority="109">
      <formula>AND(B$9&gt;=8/24,B$9&lt;14/24)</formula>
    </cfRule>
    <cfRule type="expression" dxfId="6638" priority="110">
      <formula>B$9&lt;8/24</formula>
    </cfRule>
  </conditionalFormatting>
  <conditionalFormatting sqref="B112">
    <cfRule type="expression" dxfId="6637" priority="103">
      <formula>B$9&gt;=20/24</formula>
    </cfRule>
    <cfRule type="expression" dxfId="6636" priority="104">
      <formula>AND(B$9&gt;=14/24,B$9&lt;20/24)</formula>
    </cfRule>
    <cfRule type="expression" dxfId="6635" priority="105">
      <formula>AND(B$9&gt;=8/24,B$9&lt;14/24)</formula>
    </cfRule>
    <cfRule type="expression" dxfId="6634" priority="106">
      <formula>B$9&lt;8/24</formula>
    </cfRule>
  </conditionalFormatting>
  <conditionalFormatting sqref="B37:Z42 B19:Z25 B27:Z28 B32:Z34 B44:Z45 B26:AF26 B29:AF31 B36:AF36 B43:AF43">
    <cfRule type="expression" dxfId="6633" priority="99">
      <formula>B$9&gt;=20/24</formula>
    </cfRule>
    <cfRule type="expression" dxfId="6632" priority="100">
      <formula>AND(B$9&gt;=14/24,B$9&lt;20/24)</formula>
    </cfRule>
    <cfRule type="expression" dxfId="6631" priority="101">
      <formula>AND(B$9&gt;=8/24,B$9&lt;14/24)</formula>
    </cfRule>
    <cfRule type="expression" dxfId="6630" priority="102">
      <formula>B$9&lt;8/24</formula>
    </cfRule>
  </conditionalFormatting>
  <conditionalFormatting sqref="B37:Z42 B19:Z25 B27:Z28 B32:Z34 B44:Z45 B26:AF26 B29:AF31 B36:AF36 B43:AF43">
    <cfRule type="expression" dxfId="6629" priority="98">
      <formula>B19&gt;$AG19</formula>
    </cfRule>
  </conditionalFormatting>
  <conditionalFormatting sqref="B85:B87 B77:C83">
    <cfRule type="expression" dxfId="6628" priority="94">
      <formula>B$9&gt;=20/24</formula>
    </cfRule>
    <cfRule type="expression" dxfId="6627" priority="95">
      <formula>AND(B$9&gt;=14/24,B$9&lt;20/24)</formula>
    </cfRule>
    <cfRule type="expression" dxfId="6626" priority="96">
      <formula>AND(B$9&gt;=8/24,B$9&lt;14/24)</formula>
    </cfRule>
    <cfRule type="expression" dxfId="6625" priority="97">
      <formula>B$9&lt;8/24</formula>
    </cfRule>
  </conditionalFormatting>
  <conditionalFormatting sqref="B89 B91 B100 B72">
    <cfRule type="expression" dxfId="6624" priority="90">
      <formula>B$9&gt;=20/24</formula>
    </cfRule>
    <cfRule type="expression" dxfId="6623" priority="91">
      <formula>AND(B$9&gt;=14/24,B$9&lt;20/24)</formula>
    </cfRule>
    <cfRule type="expression" dxfId="6622" priority="92">
      <formula>AND(B$9&gt;=8/24,B$9&lt;14/24)</formula>
    </cfRule>
    <cfRule type="expression" dxfId="6621" priority="93">
      <formula>B$9&lt;8/24</formula>
    </cfRule>
  </conditionalFormatting>
  <conditionalFormatting sqref="B72 B67:C68">
    <cfRule type="expression" dxfId="6620" priority="89">
      <formula>B67&gt;$AG67</formula>
    </cfRule>
  </conditionalFormatting>
  <conditionalFormatting sqref="B84">
    <cfRule type="expression" dxfId="6619" priority="85">
      <formula>B$9&gt;=20/24</formula>
    </cfRule>
    <cfRule type="expression" dxfId="6618" priority="86">
      <formula>AND(B$9&gt;=14/24,B$9&lt;20/24)</formula>
    </cfRule>
    <cfRule type="expression" dxfId="6617" priority="87">
      <formula>AND(B$9&gt;=8/24,B$9&lt;14/24)</formula>
    </cfRule>
    <cfRule type="expression" dxfId="6616" priority="88">
      <formula>B$9&lt;8/24</formula>
    </cfRule>
  </conditionalFormatting>
  <conditionalFormatting sqref="B54:C54">
    <cfRule type="expression" dxfId="6615" priority="81">
      <formula>B$9&gt;=20/24</formula>
    </cfRule>
    <cfRule type="expression" dxfId="6614" priority="82">
      <formula>AND(B$9&gt;=14/24,B$9&lt;20/24)</formula>
    </cfRule>
    <cfRule type="expression" dxfId="6613" priority="83">
      <formula>AND(B$9&gt;=8/24,B$9&lt;14/24)</formula>
    </cfRule>
    <cfRule type="expression" dxfId="6612" priority="84">
      <formula>B$9&lt;8/24</formula>
    </cfRule>
  </conditionalFormatting>
  <conditionalFormatting sqref="B54:C54">
    <cfRule type="expression" dxfId="6611" priority="80">
      <formula>B54&gt;$AG54</formula>
    </cfRule>
  </conditionalFormatting>
  <conditionalFormatting sqref="B61:L66">
    <cfRule type="expression" dxfId="6610" priority="72">
      <formula>B$9&gt;=20/24</formula>
    </cfRule>
    <cfRule type="expression" dxfId="6609" priority="73">
      <formula>AND(B$9&gt;=14/24,B$9&lt;20/24)</formula>
    </cfRule>
    <cfRule type="expression" dxfId="6608" priority="74">
      <formula>AND(B$9&gt;=8/24,B$9&lt;14/24)</formula>
    </cfRule>
    <cfRule type="expression" dxfId="6607" priority="75">
      <formula>B$9&lt;8/24</formula>
    </cfRule>
  </conditionalFormatting>
  <conditionalFormatting sqref="B61:L66">
    <cfRule type="expression" dxfId="6606" priority="71">
      <formula>B61&gt;$AG61</formula>
    </cfRule>
  </conditionalFormatting>
  <conditionalFormatting sqref="B47:Z47">
    <cfRule type="expression" dxfId="6605" priority="70">
      <formula>B47&gt;$AG47</formula>
    </cfRule>
  </conditionalFormatting>
  <conditionalFormatting sqref="B13:Z13">
    <cfRule type="expression" dxfId="6604" priority="66">
      <formula>B$9&gt;=20/24</formula>
    </cfRule>
    <cfRule type="expression" dxfId="6603" priority="67">
      <formula>AND(B$9&gt;=14/24,B$9&lt;20/24)</formula>
    </cfRule>
    <cfRule type="expression" dxfId="6602" priority="68">
      <formula>AND(B$9&gt;=8/24,B$9&lt;14/24)</formula>
    </cfRule>
    <cfRule type="expression" dxfId="6601" priority="69">
      <formula>B$9&lt;8/24</formula>
    </cfRule>
  </conditionalFormatting>
  <conditionalFormatting sqref="B13:Z13">
    <cfRule type="expression" dxfId="6600" priority="65">
      <formula>B13&gt;$AG13</formula>
    </cfRule>
  </conditionalFormatting>
  <conditionalFormatting sqref="B47:Z47">
    <cfRule type="expression" dxfId="6599" priority="61">
      <formula>B$9&gt;=20/24</formula>
    </cfRule>
    <cfRule type="expression" dxfId="6598" priority="62">
      <formula>AND(B$9&gt;=14/24,B$9&lt;20/24)</formula>
    </cfRule>
    <cfRule type="expression" dxfId="6597" priority="63">
      <formula>AND(B$9&gt;=8/24,B$9&lt;14/24)</formula>
    </cfRule>
    <cfRule type="expression" dxfId="6596" priority="64">
      <formula>B$9&lt;8/24</formula>
    </cfRule>
  </conditionalFormatting>
  <conditionalFormatting sqref="B48:Z48">
    <cfRule type="expression" dxfId="6595" priority="57">
      <formula>B$9&gt;=20/24</formula>
    </cfRule>
    <cfRule type="expression" dxfId="6594" priority="58">
      <formula>AND(B$9&gt;=14/24,B$9&lt;20/24)</formula>
    </cfRule>
    <cfRule type="expression" dxfId="6593" priority="59">
      <formula>AND(B$9&gt;=8/24,B$9&lt;14/24)</formula>
    </cfRule>
    <cfRule type="expression" dxfId="6592" priority="60">
      <formula>B$9&lt;8/24</formula>
    </cfRule>
  </conditionalFormatting>
  <conditionalFormatting sqref="B48:Z48">
    <cfRule type="expression" dxfId="6591" priority="56">
      <formula>B48&gt;$AG48</formula>
    </cfRule>
  </conditionalFormatting>
  <conditionalFormatting sqref="B50:D50">
    <cfRule type="expression" dxfId="6590" priority="55">
      <formula>B50&gt;$AG50</formula>
    </cfRule>
  </conditionalFormatting>
  <conditionalFormatting sqref="B11:AF11">
    <cfRule type="expression" dxfId="6589" priority="51">
      <formula>B$9&gt;=20/24</formula>
    </cfRule>
    <cfRule type="expression" dxfId="6588" priority="52">
      <formula>AND(B$9&gt;=14/24,B$9&lt;20/24)</formula>
    </cfRule>
    <cfRule type="expression" dxfId="6587" priority="53">
      <formula>AND(B$9&gt;=8/24,B$9&lt;14/24)</formula>
    </cfRule>
    <cfRule type="expression" dxfId="6586" priority="54">
      <formula>B$9&lt;8/24</formula>
    </cfRule>
  </conditionalFormatting>
  <conditionalFormatting sqref="B11:AF11">
    <cfRule type="expression" dxfId="6585" priority="50">
      <formula>B11&gt;$AG11</formula>
    </cfRule>
  </conditionalFormatting>
  <conditionalFormatting sqref="B18:Z18">
    <cfRule type="expression" dxfId="6584" priority="46">
      <formula>B$9&gt;=20/24</formula>
    </cfRule>
    <cfRule type="expression" dxfId="6583" priority="47">
      <formula>AND(B$9&gt;=14/24,B$9&lt;20/24)</formula>
    </cfRule>
    <cfRule type="expression" dxfId="6582" priority="48">
      <formula>AND(B$9&gt;=8/24,B$9&lt;14/24)</formula>
    </cfRule>
    <cfRule type="expression" dxfId="6581" priority="49">
      <formula>B$9&lt;8/24</formula>
    </cfRule>
  </conditionalFormatting>
  <conditionalFormatting sqref="B18:Z18">
    <cfRule type="expression" dxfId="6580" priority="45">
      <formula>B18&gt;$AG18</formula>
    </cfRule>
  </conditionalFormatting>
  <conditionalFormatting sqref="B35:AF35">
    <cfRule type="expression" dxfId="6579" priority="41">
      <formula>B$9&gt;=20/24</formula>
    </cfRule>
    <cfRule type="expression" dxfId="6578" priority="42">
      <formula>AND(B$9&gt;=14/24,B$9&lt;20/24)</formula>
    </cfRule>
    <cfRule type="expression" dxfId="6577" priority="43">
      <formula>AND(B$9&gt;=8/24,B$9&lt;14/24)</formula>
    </cfRule>
    <cfRule type="expression" dxfId="6576" priority="44">
      <formula>B$9&lt;8/24</formula>
    </cfRule>
  </conditionalFormatting>
  <conditionalFormatting sqref="B35:AF35">
    <cfRule type="expression" dxfId="6575" priority="40">
      <formula>B35&gt;$AG35</formula>
    </cfRule>
  </conditionalFormatting>
  <conditionalFormatting sqref="B46:Z46">
    <cfRule type="expression" dxfId="6574" priority="39">
      <formula>B46&gt;$AG46</formula>
    </cfRule>
  </conditionalFormatting>
  <conditionalFormatting sqref="B46:Z46">
    <cfRule type="expression" dxfId="6573" priority="35">
      <formula>B$9&gt;=20/24</formula>
    </cfRule>
    <cfRule type="expression" dxfId="6572" priority="36">
      <formula>AND(B$9&gt;=14/24,B$9&lt;20/24)</formula>
    </cfRule>
    <cfRule type="expression" dxfId="6571" priority="37">
      <formula>AND(B$9&gt;=8/24,B$9&lt;14/24)</formula>
    </cfRule>
    <cfRule type="expression" dxfId="6570" priority="38">
      <formula>B$9&lt;8/24</formula>
    </cfRule>
  </conditionalFormatting>
  <conditionalFormatting sqref="AE73">
    <cfRule type="expression" dxfId="6569" priority="17">
      <formula>AE$9&gt;=20/24</formula>
    </cfRule>
    <cfRule type="expression" dxfId="6568" priority="18">
      <formula>AND(AE$9&gt;=14/24,AE$9&lt;20/24)</formula>
    </cfRule>
    <cfRule type="expression" dxfId="6567" priority="19">
      <formula>AND(AE$9&gt;=8/24,AE$9&lt;14/24)</formula>
    </cfRule>
    <cfRule type="expression" dxfId="6566" priority="20">
      <formula>AE$9&lt;8/24</formula>
    </cfRule>
  </conditionalFormatting>
  <conditionalFormatting sqref="AE74:AE75">
    <cfRule type="expression" dxfId="6565" priority="13">
      <formula>AE$9&gt;=20/24</formula>
    </cfRule>
    <cfRule type="expression" dxfId="6564" priority="14">
      <formula>AND(AE$9&gt;=14/24,AE$9&lt;20/24)</formula>
    </cfRule>
    <cfRule type="expression" dxfId="6563" priority="15">
      <formula>AND(AE$9&gt;=8/24,AE$9&lt;14/24)</formula>
    </cfRule>
    <cfRule type="expression" dxfId="6562" priority="16">
      <formula>AE$9&lt;8/24</formula>
    </cfRule>
  </conditionalFormatting>
  <conditionalFormatting sqref="AE76:AF78">
    <cfRule type="expression" dxfId="6561" priority="9">
      <formula>AE$9&gt;=20/24</formula>
    </cfRule>
    <cfRule type="expression" dxfId="6560" priority="10">
      <formula>AND(AE$9&gt;=14/24,AE$9&lt;20/24)</formula>
    </cfRule>
    <cfRule type="expression" dxfId="6559" priority="11">
      <formula>AND(AE$9&gt;=8/24,AE$9&lt;14/24)</formula>
    </cfRule>
    <cfRule type="expression" dxfId="6558" priority="12">
      <formula>AE$9&lt;8/24</formula>
    </cfRule>
  </conditionalFormatting>
  <conditionalFormatting sqref="AE79:AF83">
    <cfRule type="expression" dxfId="6557" priority="5">
      <formula>AE$9&gt;=20/24</formula>
    </cfRule>
    <cfRule type="expression" dxfId="6556" priority="6">
      <formula>AND(AE$9&gt;=14/24,AE$9&lt;20/24)</formula>
    </cfRule>
    <cfRule type="expression" dxfId="6555" priority="7">
      <formula>AND(AE$9&gt;=8/24,AE$9&lt;14/24)</formula>
    </cfRule>
    <cfRule type="expression" dxfId="6554" priority="8">
      <formula>AE$9&lt;8/24</formula>
    </cfRule>
  </conditionalFormatting>
  <conditionalFormatting sqref="B102">
    <cfRule type="expression" dxfId="6553" priority="1">
      <formula>B$9&gt;=20/24</formula>
    </cfRule>
    <cfRule type="expression" dxfId="6552" priority="2">
      <formula>AND(B$9&gt;=14/24,B$9&lt;20/24)</formula>
    </cfRule>
    <cfRule type="expression" dxfId="6551" priority="3">
      <formula>AND(B$9&gt;=8/24,B$9&lt;14/24)</formula>
    </cfRule>
    <cfRule type="expression" dxfId="6550" priority="4">
      <formula>B$9&lt;8/24</formula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0" id="{BD178F33-5BFA-428E-A3DB-71AA83AB225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61" id="{DB064BCB-BA71-4F51-87F6-0F438A603E7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62" id="{29E71EDA-F8BA-4554-963F-9981AE479F8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63" id="{BDE592B3-9E27-4709-8001-02E4B26C337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6" id="{7AD53231-0CB3-437D-9DD9-84F225E3D96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7" id="{0B1CA38C-5EBC-4999-8C07-E310A460A42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8" id="{14E7C5B0-E317-49DB-AE75-51CFFA12A4A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9" id="{32D6E57B-8DC8-49B0-9353-120DC921A6B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CJ281"/>
  <sheetViews>
    <sheetView zoomScale="98" zoomScaleNormal="98" workbookViewId="0">
      <pane ySplit="10" topLeftCell="A80" activePane="bottomLeft" state="frozen"/>
      <selection activeCell="Z85" sqref="Z85"/>
      <selection pane="bottomLeft" activeCell="AE111" sqref="AE111:AF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5" width="6.85546875" style="1" customWidth="1"/>
    <col min="26" max="26" width="9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2080/02/19</v>
      </c>
      <c r="C4" s="191"/>
      <c r="D4" s="191"/>
      <c r="E4" s="192" t="str">
        <f ca="1">"2079/"&amp;"12/"&amp;INT(MID(CELL("filename",G6),FIND("]",CELL("filename",G6))+1,200))</f>
        <v>2079/12/19</v>
      </c>
      <c r="F4" s="192"/>
      <c r="G4" s="192"/>
      <c r="H4" s="192" t="str">
        <f ca="1">TEXT(E4,"dddd")</f>
        <v>Tuesday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109</v>
      </c>
      <c r="C5" s="30">
        <f t="shared" si="0"/>
        <v>115.10000000000001</v>
      </c>
      <c r="D5" s="30">
        <f t="shared" si="0"/>
        <v>139.30000000000001</v>
      </c>
      <c r="E5" s="30">
        <f t="shared" si="0"/>
        <v>168.2</v>
      </c>
      <c r="F5" s="30">
        <f t="shared" si="0"/>
        <v>268.10000000000002</v>
      </c>
      <c r="G5" s="30">
        <f t="shared" si="0"/>
        <v>263.39999999999998</v>
      </c>
      <c r="H5" s="30">
        <f t="shared" si="0"/>
        <v>261.60000000000002</v>
      </c>
      <c r="I5" s="30">
        <f t="shared" si="0"/>
        <v>305.60000000000002</v>
      </c>
      <c r="J5" s="30">
        <f t="shared" si="0"/>
        <v>307.5</v>
      </c>
      <c r="K5" s="30">
        <f t="shared" si="0"/>
        <v>368.5</v>
      </c>
      <c r="L5" s="30">
        <f t="shared" si="0"/>
        <v>431.9</v>
      </c>
      <c r="M5" s="30">
        <f t="shared" si="0"/>
        <v>438</v>
      </c>
      <c r="N5" s="30">
        <f t="shared" si="0"/>
        <v>424.1</v>
      </c>
      <c r="O5" s="30">
        <f t="shared" si="0"/>
        <v>480.1</v>
      </c>
      <c r="P5" s="30">
        <f t="shared" si="0"/>
        <v>410.3</v>
      </c>
      <c r="Q5" s="30">
        <f t="shared" si="0"/>
        <v>411.09999999999997</v>
      </c>
      <c r="R5" s="30">
        <f t="shared" si="0"/>
        <v>397.5</v>
      </c>
      <c r="S5" s="30">
        <f t="shared" si="0"/>
        <v>388.2</v>
      </c>
      <c r="T5" s="30">
        <f t="shared" si="0"/>
        <v>405</v>
      </c>
      <c r="U5" s="30">
        <f>V84</f>
        <v>405.5</v>
      </c>
      <c r="V5" s="30">
        <f t="shared" si="0"/>
        <v>389.5</v>
      </c>
      <c r="W5" s="30">
        <f>X84</f>
        <v>366.5</v>
      </c>
      <c r="X5" s="30">
        <f t="shared" si="0"/>
        <v>311.2</v>
      </c>
      <c r="Y5" s="30">
        <f t="shared" si="0"/>
        <v>306.89999999999998</v>
      </c>
      <c r="Z5" s="30">
        <f t="shared" si="0"/>
        <v>116.6</v>
      </c>
      <c r="AA5" s="30">
        <f t="shared" si="0"/>
        <v>127.29999999999998</v>
      </c>
      <c r="AB5" s="30">
        <f t="shared" si="0"/>
        <v>138.5</v>
      </c>
      <c r="AC5" s="30">
        <f t="shared" si="0"/>
        <v>145.80000000000001</v>
      </c>
      <c r="AD5" s="30">
        <f t="shared" si="0"/>
        <v>139.9</v>
      </c>
      <c r="AE5" s="30">
        <f t="shared" si="0"/>
        <v>117.8</v>
      </c>
      <c r="AF5" s="30">
        <f>B84</f>
        <v>191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1711MW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Load=974</v>
      </c>
      <c r="B7" s="35">
        <f t="shared" ref="B7:AF7" si="1">B91</f>
        <v>973.54</v>
      </c>
      <c r="C7" s="35">
        <f t="shared" si="1"/>
        <v>1620.3400000000001</v>
      </c>
      <c r="D7" s="35">
        <f t="shared" si="1"/>
        <v>1609.3400000000001</v>
      </c>
      <c r="E7" s="35">
        <f t="shared" si="1"/>
        <v>1593.94</v>
      </c>
      <c r="F7" s="35">
        <f t="shared" si="1"/>
        <v>1626.2400000000002</v>
      </c>
      <c r="G7" s="35">
        <f t="shared" si="1"/>
        <v>1620.04</v>
      </c>
      <c r="H7" s="35">
        <f t="shared" si="1"/>
        <v>1589.94</v>
      </c>
      <c r="I7" s="35">
        <f t="shared" si="1"/>
        <v>1587.04</v>
      </c>
      <c r="J7" s="35">
        <f t="shared" si="1"/>
        <v>1626.2400000000002</v>
      </c>
      <c r="K7" s="35">
        <f t="shared" si="1"/>
        <v>1685.94</v>
      </c>
      <c r="L7" s="35">
        <f t="shared" si="1"/>
        <v>1710.74</v>
      </c>
      <c r="M7" s="35">
        <f t="shared" si="1"/>
        <v>1703.7400000000002</v>
      </c>
      <c r="N7" s="35">
        <f>N91</f>
        <v>1658.04</v>
      </c>
      <c r="O7" s="35">
        <f t="shared" si="1"/>
        <v>1719.7600000000002</v>
      </c>
      <c r="P7" s="35">
        <f t="shared" si="1"/>
        <v>1786.2399999999998</v>
      </c>
      <c r="Q7" s="35">
        <f t="shared" si="1"/>
        <v>1817.58</v>
      </c>
      <c r="R7" s="35">
        <f t="shared" si="1"/>
        <v>1862.54</v>
      </c>
      <c r="S7" s="35">
        <f t="shared" si="1"/>
        <v>1799.64</v>
      </c>
      <c r="T7" s="35">
        <f t="shared" si="1"/>
        <v>1796.44</v>
      </c>
      <c r="U7" s="35">
        <f t="shared" si="1"/>
        <v>1808.34</v>
      </c>
      <c r="V7" s="35">
        <f>V91</f>
        <v>1757.44</v>
      </c>
      <c r="W7" s="35">
        <f t="shared" si="1"/>
        <v>1711.44</v>
      </c>
      <c r="X7" s="35">
        <f>X91</f>
        <v>1631.54</v>
      </c>
      <c r="Y7" s="35">
        <f t="shared" si="1"/>
        <v>1851.84</v>
      </c>
      <c r="Z7" s="35">
        <f t="shared" si="1"/>
        <v>1886.3400000000001</v>
      </c>
      <c r="AA7" s="35">
        <f t="shared" si="1"/>
        <v>1945.7399999999998</v>
      </c>
      <c r="AB7" s="35">
        <f t="shared" si="1"/>
        <v>1902.6399999999999</v>
      </c>
      <c r="AC7" s="35">
        <f t="shared" si="1"/>
        <v>1914.9400000000003</v>
      </c>
      <c r="AD7" s="35">
        <f t="shared" si="1"/>
        <v>1903.04</v>
      </c>
      <c r="AE7" s="35">
        <f t="shared" si="1"/>
        <v>1725.8400000000001</v>
      </c>
      <c r="AF7" s="35">
        <f t="shared" si="1"/>
        <v>1676.44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25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29.5</v>
      </c>
      <c r="N11" s="45">
        <v>29.5</v>
      </c>
      <c r="O11" s="45">
        <v>29.5</v>
      </c>
      <c r="P11" s="45">
        <v>29.5</v>
      </c>
      <c r="Q11" s="45">
        <v>29.5</v>
      </c>
      <c r="R11" s="45">
        <v>29.5</v>
      </c>
      <c r="S11" s="45">
        <v>29.5</v>
      </c>
      <c r="T11" s="45">
        <v>29.5</v>
      </c>
      <c r="U11" s="45">
        <v>29.5</v>
      </c>
      <c r="V11" s="45">
        <v>29.5</v>
      </c>
      <c r="W11" s="45">
        <v>29.5</v>
      </c>
      <c r="X11" s="45">
        <v>29.5</v>
      </c>
      <c r="Y11" s="45">
        <v>29.5</v>
      </c>
      <c r="Z11" s="45">
        <v>29.5</v>
      </c>
      <c r="AA11" s="45">
        <v>29.5</v>
      </c>
      <c r="AB11" s="45">
        <v>29</v>
      </c>
      <c r="AC11" s="45">
        <v>29</v>
      </c>
      <c r="AD11" s="45">
        <v>29</v>
      </c>
      <c r="AE11" s="45">
        <v>29</v>
      </c>
      <c r="AF11" s="45">
        <v>29</v>
      </c>
      <c r="AG11" s="46">
        <v>86</v>
      </c>
      <c r="AH11" s="47">
        <f t="shared" ref="AH11:AH76" si="2">MAX(B11:AF11)</f>
        <v>29.5</v>
      </c>
      <c r="AI11" s="48">
        <f t="shared" ref="AI11:AI76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0</v>
      </c>
      <c r="C12" s="45">
        <v>36</v>
      </c>
      <c r="D12" s="45">
        <v>37</v>
      </c>
      <c r="E12" s="45">
        <v>37</v>
      </c>
      <c r="F12" s="45">
        <v>37</v>
      </c>
      <c r="G12" s="45">
        <v>37</v>
      </c>
      <c r="H12" s="45">
        <v>37</v>
      </c>
      <c r="I12" s="45">
        <v>37</v>
      </c>
      <c r="J12" s="45">
        <v>37</v>
      </c>
      <c r="K12" s="45">
        <v>37</v>
      </c>
      <c r="L12" s="45">
        <v>37</v>
      </c>
      <c r="M12" s="45">
        <v>30</v>
      </c>
      <c r="N12" s="45">
        <v>30</v>
      </c>
      <c r="O12" s="45">
        <v>28</v>
      </c>
      <c r="P12" s="45">
        <v>28</v>
      </c>
      <c r="Q12" s="45">
        <v>28</v>
      </c>
      <c r="R12" s="45">
        <v>28</v>
      </c>
      <c r="S12" s="45">
        <v>28</v>
      </c>
      <c r="T12" s="45">
        <v>28</v>
      </c>
      <c r="U12" s="45">
        <v>28</v>
      </c>
      <c r="V12" s="45">
        <v>28</v>
      </c>
      <c r="W12" s="45">
        <v>28</v>
      </c>
      <c r="X12" s="45">
        <v>28</v>
      </c>
      <c r="Y12" s="45">
        <v>28</v>
      </c>
      <c r="Z12" s="45">
        <v>28</v>
      </c>
      <c r="AA12" s="45">
        <v>28</v>
      </c>
      <c r="AB12" s="45">
        <v>28</v>
      </c>
      <c r="AC12" s="45">
        <v>28</v>
      </c>
      <c r="AD12" s="45">
        <v>28</v>
      </c>
      <c r="AE12" s="45">
        <v>28</v>
      </c>
      <c r="AF12" s="45">
        <v>28</v>
      </c>
      <c r="AG12" s="50">
        <v>54</v>
      </c>
      <c r="AH12" s="47">
        <f t="shared" si="2"/>
        <v>37</v>
      </c>
      <c r="AI12" s="48">
        <f t="shared" si="3"/>
        <v>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21.9</v>
      </c>
      <c r="C13" s="45">
        <v>21.9</v>
      </c>
      <c r="D13" s="45">
        <v>18</v>
      </c>
      <c r="E13" s="45">
        <v>18</v>
      </c>
      <c r="F13" s="45">
        <v>18</v>
      </c>
      <c r="G13" s="45">
        <v>18</v>
      </c>
      <c r="H13" s="45">
        <v>18</v>
      </c>
      <c r="I13" s="45">
        <v>18</v>
      </c>
      <c r="J13" s="45">
        <v>18</v>
      </c>
      <c r="K13" s="45">
        <v>18</v>
      </c>
      <c r="L13" s="45">
        <v>18</v>
      </c>
      <c r="M13" s="45">
        <v>18</v>
      </c>
      <c r="N13" s="45">
        <v>18</v>
      </c>
      <c r="O13" s="45">
        <v>21.3</v>
      </c>
      <c r="P13" s="45">
        <v>21.3</v>
      </c>
      <c r="Q13" s="45">
        <v>21.3</v>
      </c>
      <c r="R13" s="45">
        <v>20.3</v>
      </c>
      <c r="S13" s="45">
        <v>20.3</v>
      </c>
      <c r="T13" s="45">
        <v>20.3</v>
      </c>
      <c r="U13" s="45">
        <v>20.3</v>
      </c>
      <c r="V13" s="45">
        <v>20.3</v>
      </c>
      <c r="W13" s="45">
        <v>20.3</v>
      </c>
      <c r="X13" s="45">
        <v>20.3</v>
      </c>
      <c r="Y13" s="45">
        <v>20.3</v>
      </c>
      <c r="Z13" s="45">
        <v>20.3</v>
      </c>
      <c r="AA13" s="45">
        <v>20.100000000000001</v>
      </c>
      <c r="AB13" s="45">
        <v>19.8</v>
      </c>
      <c r="AC13" s="45">
        <v>20.9</v>
      </c>
      <c r="AD13" s="45">
        <v>20.9</v>
      </c>
      <c r="AE13" s="45">
        <v>20.9</v>
      </c>
      <c r="AF13" s="45">
        <v>20.9</v>
      </c>
      <c r="AG13" s="46">
        <v>52.4</v>
      </c>
      <c r="AH13" s="47">
        <f t="shared" si="2"/>
        <v>21.9</v>
      </c>
      <c r="AI13" s="48">
        <f t="shared" si="3"/>
        <v>18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0</v>
      </c>
      <c r="C14" s="58">
        <v>50.5</v>
      </c>
      <c r="D14" s="58">
        <v>50.4</v>
      </c>
      <c r="E14" s="58">
        <v>50.4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>
        <v>50.4</v>
      </c>
      <c r="O14" s="58">
        <v>50.4</v>
      </c>
      <c r="P14" s="58">
        <v>50.4</v>
      </c>
      <c r="Q14" s="58">
        <v>50.4</v>
      </c>
      <c r="R14" s="58">
        <v>50.4</v>
      </c>
      <c r="S14" s="58">
        <v>50.4</v>
      </c>
      <c r="T14" s="58">
        <v>50.4</v>
      </c>
      <c r="U14" s="58">
        <v>50.4</v>
      </c>
      <c r="V14" s="58">
        <v>50.4</v>
      </c>
      <c r="W14" s="58">
        <v>50.4</v>
      </c>
      <c r="X14" s="58">
        <v>50.4</v>
      </c>
      <c r="Y14" s="58">
        <v>50.4</v>
      </c>
      <c r="Z14" s="58">
        <v>50.4</v>
      </c>
      <c r="AA14" s="45">
        <v>50.5</v>
      </c>
      <c r="AB14" s="45">
        <v>50.4</v>
      </c>
      <c r="AC14" s="45">
        <v>50.6</v>
      </c>
      <c r="AD14" s="45">
        <v>50.6</v>
      </c>
      <c r="AE14" s="45">
        <v>50.6</v>
      </c>
      <c r="AF14" s="45">
        <v>50.6</v>
      </c>
      <c r="AG14" s="50">
        <v>50</v>
      </c>
      <c r="AH14" s="47">
        <f t="shared" si="2"/>
        <v>50.6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0</v>
      </c>
      <c r="C15" s="45">
        <v>35.6</v>
      </c>
      <c r="D15" s="45">
        <v>35.1</v>
      </c>
      <c r="E15" s="45">
        <v>35.1</v>
      </c>
      <c r="F15" s="45">
        <v>35.1</v>
      </c>
      <c r="G15" s="45">
        <v>35.1</v>
      </c>
      <c r="H15" s="45">
        <v>35.1</v>
      </c>
      <c r="I15" s="45">
        <v>35.1</v>
      </c>
      <c r="J15" s="45">
        <v>35.1</v>
      </c>
      <c r="K15" s="45">
        <v>35.1</v>
      </c>
      <c r="L15" s="45">
        <v>35.1</v>
      </c>
      <c r="M15" s="45">
        <v>30.9</v>
      </c>
      <c r="N15" s="45">
        <v>28.9</v>
      </c>
      <c r="O15" s="45">
        <v>28</v>
      </c>
      <c r="P15" s="45">
        <v>27.4</v>
      </c>
      <c r="Q15" s="45">
        <v>27.4</v>
      </c>
      <c r="R15" s="45">
        <v>27.3</v>
      </c>
      <c r="S15" s="45">
        <v>27.3</v>
      </c>
      <c r="T15" s="45">
        <v>27.3</v>
      </c>
      <c r="U15" s="45">
        <v>27.3</v>
      </c>
      <c r="V15" s="45">
        <v>27.3</v>
      </c>
      <c r="W15" s="45">
        <v>27.3</v>
      </c>
      <c r="X15" s="45">
        <v>27.3</v>
      </c>
      <c r="Y15" s="45">
        <v>27.3</v>
      </c>
      <c r="Z15" s="45">
        <v>27.3</v>
      </c>
      <c r="AA15" s="45">
        <v>33.1</v>
      </c>
      <c r="AB15" s="45">
        <v>31.7</v>
      </c>
      <c r="AC15" s="45">
        <v>32.5</v>
      </c>
      <c r="AD15" s="45">
        <v>32.5</v>
      </c>
      <c r="AE15" s="45">
        <v>32.5</v>
      </c>
      <c r="AF15" s="45">
        <v>32.5</v>
      </c>
      <c r="AG15" s="50">
        <v>45</v>
      </c>
      <c r="AH15" s="47">
        <f t="shared" si="2"/>
        <v>35.6</v>
      </c>
      <c r="AI15" s="48">
        <f t="shared" si="3"/>
        <v>0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0</v>
      </c>
      <c r="C16" s="45">
        <v>27</v>
      </c>
      <c r="D16" s="45">
        <v>27</v>
      </c>
      <c r="E16" s="45">
        <v>27</v>
      </c>
      <c r="F16" s="45">
        <v>27</v>
      </c>
      <c r="G16" s="45">
        <v>27</v>
      </c>
      <c r="H16" s="45">
        <v>27</v>
      </c>
      <c r="I16" s="45">
        <v>27</v>
      </c>
      <c r="J16" s="45">
        <v>27</v>
      </c>
      <c r="K16" s="45">
        <v>27</v>
      </c>
      <c r="L16" s="45">
        <v>27</v>
      </c>
      <c r="M16" s="45">
        <v>30</v>
      </c>
      <c r="N16" s="45">
        <v>29</v>
      </c>
      <c r="O16" s="45">
        <v>29</v>
      </c>
      <c r="P16" s="45">
        <v>27</v>
      </c>
      <c r="Q16" s="45">
        <v>27</v>
      </c>
      <c r="R16" s="45">
        <v>27</v>
      </c>
      <c r="S16" s="45">
        <v>27</v>
      </c>
      <c r="T16" s="45">
        <v>27</v>
      </c>
      <c r="U16" s="45">
        <v>27</v>
      </c>
      <c r="V16" s="45">
        <v>27</v>
      </c>
      <c r="W16" s="45">
        <v>27</v>
      </c>
      <c r="X16" s="45">
        <v>27</v>
      </c>
      <c r="Y16" s="45">
        <v>27</v>
      </c>
      <c r="Z16" s="45">
        <v>27</v>
      </c>
      <c r="AA16" s="45">
        <v>27</v>
      </c>
      <c r="AB16" s="45">
        <v>27</v>
      </c>
      <c r="AC16" s="45">
        <v>27</v>
      </c>
      <c r="AD16" s="45">
        <v>27</v>
      </c>
      <c r="AE16" s="45">
        <v>27</v>
      </c>
      <c r="AF16" s="45">
        <v>27</v>
      </c>
      <c r="AG16" s="50">
        <v>44</v>
      </c>
      <c r="AH16" s="47">
        <f>MAX(B16:AG16)</f>
        <v>44</v>
      </c>
      <c r="AI16" s="48">
        <f>MIN(B16:AG16)</f>
        <v>0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0</v>
      </c>
      <c r="C17" s="45">
        <v>31</v>
      </c>
      <c r="D17" s="45">
        <v>28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28</v>
      </c>
      <c r="L17" s="45">
        <v>28</v>
      </c>
      <c r="M17" s="45">
        <v>28</v>
      </c>
      <c r="N17" s="45">
        <v>28</v>
      </c>
      <c r="O17" s="45">
        <v>26</v>
      </c>
      <c r="P17" s="45">
        <v>26</v>
      </c>
      <c r="Q17" s="45">
        <v>20</v>
      </c>
      <c r="R17" s="45">
        <v>21.3</v>
      </c>
      <c r="S17" s="45">
        <v>21.3</v>
      </c>
      <c r="T17" s="45">
        <v>21.3</v>
      </c>
      <c r="U17" s="45">
        <v>21.3</v>
      </c>
      <c r="V17" s="45">
        <v>21.3</v>
      </c>
      <c r="W17" s="45">
        <v>21.3</v>
      </c>
      <c r="X17" s="45">
        <v>21.3</v>
      </c>
      <c r="Y17" s="45">
        <v>21.3</v>
      </c>
      <c r="Z17" s="45">
        <v>21.3</v>
      </c>
      <c r="AA17" s="45">
        <v>27</v>
      </c>
      <c r="AB17" s="45">
        <v>27</v>
      </c>
      <c r="AC17" s="45">
        <v>27</v>
      </c>
      <c r="AD17" s="45">
        <v>27</v>
      </c>
      <c r="AE17" s="45">
        <v>27</v>
      </c>
      <c r="AF17" s="45">
        <v>27</v>
      </c>
      <c r="AG17" s="50">
        <v>42</v>
      </c>
      <c r="AH17" s="47">
        <f t="shared" si="2"/>
        <v>31</v>
      </c>
      <c r="AI17" s="48">
        <f t="shared" si="3"/>
        <v>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20.100000000000001</v>
      </c>
      <c r="N18" s="45">
        <v>20.100000000000001</v>
      </c>
      <c r="O18" s="45">
        <v>20.100000000000001</v>
      </c>
      <c r="P18" s="45">
        <v>20.100000000000001</v>
      </c>
      <c r="Q18" s="45">
        <v>20.100000000000001</v>
      </c>
      <c r="R18" s="45">
        <v>20.100000000000001</v>
      </c>
      <c r="S18" s="45">
        <v>20.100000000000001</v>
      </c>
      <c r="T18" s="45">
        <v>20.100000000000001</v>
      </c>
      <c r="U18" s="45">
        <v>20.100000000000001</v>
      </c>
      <c r="V18" s="45">
        <v>20.100000000000001</v>
      </c>
      <c r="W18" s="45">
        <v>20.100000000000001</v>
      </c>
      <c r="X18" s="45">
        <v>20.100000000000001</v>
      </c>
      <c r="Y18" s="45">
        <v>20.100000000000001</v>
      </c>
      <c r="Z18" s="45">
        <v>20.100000000000001</v>
      </c>
      <c r="AA18" s="45">
        <v>20.100000000000001</v>
      </c>
      <c r="AB18" s="45">
        <v>20.100000000000001</v>
      </c>
      <c r="AC18" s="45">
        <v>20.100000000000001</v>
      </c>
      <c r="AD18" s="45">
        <v>20.100000000000001</v>
      </c>
      <c r="AE18" s="45">
        <v>20.100000000000001</v>
      </c>
      <c r="AF18" s="45">
        <v>20.100000000000001</v>
      </c>
      <c r="AG18" s="50">
        <v>38.46</v>
      </c>
      <c r="AH18" s="47">
        <f t="shared" si="2"/>
        <v>20.100000000000001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0</v>
      </c>
      <c r="C19" s="45">
        <v>22</v>
      </c>
      <c r="D19" s="45">
        <v>22</v>
      </c>
      <c r="E19" s="45">
        <v>22</v>
      </c>
      <c r="F19" s="45">
        <v>22</v>
      </c>
      <c r="G19" s="45">
        <v>22</v>
      </c>
      <c r="H19" s="45">
        <v>22</v>
      </c>
      <c r="I19" s="45">
        <v>22</v>
      </c>
      <c r="J19" s="45">
        <v>22</v>
      </c>
      <c r="K19" s="45">
        <v>22</v>
      </c>
      <c r="L19" s="45">
        <v>22</v>
      </c>
      <c r="M19" s="45">
        <v>22</v>
      </c>
      <c r="N19" s="45">
        <v>22</v>
      </c>
      <c r="O19" s="45">
        <v>22</v>
      </c>
      <c r="P19" s="45">
        <v>22</v>
      </c>
      <c r="Q19" s="45">
        <v>22</v>
      </c>
      <c r="R19" s="45">
        <v>22</v>
      </c>
      <c r="S19" s="45">
        <v>22</v>
      </c>
      <c r="T19" s="45">
        <v>22</v>
      </c>
      <c r="U19" s="45">
        <v>22</v>
      </c>
      <c r="V19" s="45">
        <v>22</v>
      </c>
      <c r="W19" s="45">
        <v>22</v>
      </c>
      <c r="X19" s="45">
        <v>22</v>
      </c>
      <c r="Y19" s="45">
        <v>22</v>
      </c>
      <c r="Z19" s="45">
        <v>22</v>
      </c>
      <c r="AA19" s="45">
        <v>22</v>
      </c>
      <c r="AB19" s="45">
        <v>22</v>
      </c>
      <c r="AC19" s="45">
        <v>22</v>
      </c>
      <c r="AD19" s="45">
        <v>22</v>
      </c>
      <c r="AE19" s="45">
        <v>22</v>
      </c>
      <c r="AF19" s="45">
        <v>22</v>
      </c>
      <c r="AG19" s="50">
        <v>36</v>
      </c>
      <c r="AH19" s="47">
        <f t="shared" si="2"/>
        <v>22</v>
      </c>
      <c r="AI19" s="48">
        <f t="shared" si="3"/>
        <v>0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0</v>
      </c>
      <c r="C20" s="45">
        <v>20</v>
      </c>
      <c r="D20" s="45">
        <v>20</v>
      </c>
      <c r="E20" s="45">
        <v>20</v>
      </c>
      <c r="F20" s="45">
        <v>20</v>
      </c>
      <c r="G20" s="45">
        <v>21</v>
      </c>
      <c r="H20" s="45">
        <v>21</v>
      </c>
      <c r="I20" s="45">
        <v>21</v>
      </c>
      <c r="J20" s="45">
        <v>21</v>
      </c>
      <c r="K20" s="45">
        <v>21</v>
      </c>
      <c r="L20" s="45">
        <v>21</v>
      </c>
      <c r="M20" s="45">
        <v>19</v>
      </c>
      <c r="N20" s="45">
        <v>16.5</v>
      </c>
      <c r="O20" s="45">
        <v>16.5</v>
      </c>
      <c r="P20" s="45">
        <v>16.5</v>
      </c>
      <c r="Q20" s="45">
        <v>15.6</v>
      </c>
      <c r="R20" s="45">
        <v>13.4</v>
      </c>
      <c r="S20" s="45">
        <v>13.4</v>
      </c>
      <c r="T20" s="45">
        <v>13.4</v>
      </c>
      <c r="U20" s="45">
        <v>13.4</v>
      </c>
      <c r="V20" s="45">
        <v>13.4</v>
      </c>
      <c r="W20" s="45">
        <v>13.4</v>
      </c>
      <c r="X20" s="45">
        <v>13.4</v>
      </c>
      <c r="Y20" s="45">
        <v>13.4</v>
      </c>
      <c r="Z20" s="45">
        <v>13.4</v>
      </c>
      <c r="AA20" s="45">
        <v>18.8</v>
      </c>
      <c r="AB20" s="45">
        <v>18.8</v>
      </c>
      <c r="AC20" s="45">
        <v>18.8</v>
      </c>
      <c r="AD20" s="45">
        <v>18.8</v>
      </c>
      <c r="AE20" s="45">
        <v>18.8</v>
      </c>
      <c r="AF20" s="45">
        <v>18.8</v>
      </c>
      <c r="AG20" s="51">
        <v>30</v>
      </c>
      <c r="AH20" s="47">
        <f t="shared" si="2"/>
        <v>21</v>
      </c>
      <c r="AI20" s="48">
        <f t="shared" si="3"/>
        <v>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11</v>
      </c>
      <c r="C21" s="45">
        <v>11</v>
      </c>
      <c r="D21" s="45">
        <v>15.5</v>
      </c>
      <c r="E21" s="45">
        <v>15.5</v>
      </c>
      <c r="F21" s="45">
        <v>15.5</v>
      </c>
      <c r="G21" s="45">
        <v>15.5</v>
      </c>
      <c r="H21" s="45">
        <v>15.5</v>
      </c>
      <c r="I21" s="45">
        <v>15.5</v>
      </c>
      <c r="J21" s="45">
        <v>15.5</v>
      </c>
      <c r="K21" s="45">
        <v>15.5</v>
      </c>
      <c r="L21" s="45">
        <v>15.5</v>
      </c>
      <c r="M21" s="45">
        <v>15.5</v>
      </c>
      <c r="N21" s="45">
        <v>15.5</v>
      </c>
      <c r="O21" s="45">
        <v>15.5</v>
      </c>
      <c r="P21" s="45">
        <v>15.5</v>
      </c>
      <c r="Q21" s="45">
        <v>11.4</v>
      </c>
      <c r="R21" s="45">
        <v>11.4</v>
      </c>
      <c r="S21" s="45">
        <v>11.4</v>
      </c>
      <c r="T21" s="45">
        <v>11.4</v>
      </c>
      <c r="U21" s="45">
        <v>11.4</v>
      </c>
      <c r="V21" s="45">
        <v>11.4</v>
      </c>
      <c r="W21" s="45">
        <v>11.4</v>
      </c>
      <c r="X21" s="45">
        <v>11.4</v>
      </c>
      <c r="Y21" s="45">
        <v>11.4</v>
      </c>
      <c r="Z21" s="45">
        <v>11.4</v>
      </c>
      <c r="AA21" s="45">
        <v>11.5</v>
      </c>
      <c r="AB21" s="45">
        <v>11.5</v>
      </c>
      <c r="AC21" s="45">
        <v>11</v>
      </c>
      <c r="AD21" s="45">
        <v>11</v>
      </c>
      <c r="AE21" s="45">
        <v>11</v>
      </c>
      <c r="AF21" s="45">
        <v>11</v>
      </c>
      <c r="AG21" s="50">
        <v>24.2</v>
      </c>
      <c r="AH21" s="47">
        <f t="shared" si="2"/>
        <v>15.5</v>
      </c>
      <c r="AI21" s="48">
        <f t="shared" si="3"/>
        <v>11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19</v>
      </c>
      <c r="C22" s="45">
        <v>19</v>
      </c>
      <c r="D22" s="45">
        <v>19</v>
      </c>
      <c r="E22" s="45">
        <v>19</v>
      </c>
      <c r="F22" s="45">
        <v>19</v>
      </c>
      <c r="G22" s="45">
        <v>19</v>
      </c>
      <c r="H22" s="45">
        <v>19</v>
      </c>
      <c r="I22" s="45">
        <v>19</v>
      </c>
      <c r="J22" s="45">
        <v>19</v>
      </c>
      <c r="K22" s="45">
        <v>19</v>
      </c>
      <c r="L22" s="45">
        <v>19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28</v>
      </c>
      <c r="AH22" s="47">
        <f t="shared" si="2"/>
        <v>19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0</v>
      </c>
      <c r="C23" s="45">
        <v>14</v>
      </c>
      <c r="D23" s="45">
        <v>13</v>
      </c>
      <c r="E23" s="45">
        <v>13</v>
      </c>
      <c r="F23" s="45">
        <v>13</v>
      </c>
      <c r="G23" s="45">
        <v>14</v>
      </c>
      <c r="H23" s="45">
        <v>14</v>
      </c>
      <c r="I23" s="45">
        <v>14</v>
      </c>
      <c r="J23" s="45">
        <v>14</v>
      </c>
      <c r="K23" s="45">
        <v>14</v>
      </c>
      <c r="L23" s="45">
        <v>14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30</v>
      </c>
      <c r="AH23" s="47">
        <f t="shared" si="2"/>
        <v>14</v>
      </c>
      <c r="AI23" s="48">
        <f t="shared" si="3"/>
        <v>0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0</v>
      </c>
      <c r="C24" s="45">
        <v>16.399999999999999</v>
      </c>
      <c r="D24" s="45">
        <v>26.1</v>
      </c>
      <c r="E24" s="45">
        <v>26.1</v>
      </c>
      <c r="F24" s="45">
        <v>26.1</v>
      </c>
      <c r="G24" s="45">
        <v>26.1</v>
      </c>
      <c r="H24" s="45">
        <v>26.1</v>
      </c>
      <c r="I24" s="45">
        <v>26.1</v>
      </c>
      <c r="J24" s="45">
        <v>26.1</v>
      </c>
      <c r="K24" s="45">
        <v>26.1</v>
      </c>
      <c r="L24" s="45">
        <v>26.1</v>
      </c>
      <c r="M24" s="45">
        <v>26.1</v>
      </c>
      <c r="N24" s="45">
        <v>26.1</v>
      </c>
      <c r="O24" s="45">
        <v>26.1</v>
      </c>
      <c r="P24" s="45">
        <v>26.1</v>
      </c>
      <c r="Q24" s="45">
        <v>14.4</v>
      </c>
      <c r="R24" s="45">
        <v>13</v>
      </c>
      <c r="S24" s="45">
        <v>13</v>
      </c>
      <c r="T24" s="45">
        <v>13</v>
      </c>
      <c r="U24" s="45">
        <v>13</v>
      </c>
      <c r="V24" s="45">
        <v>13</v>
      </c>
      <c r="W24" s="45">
        <v>13</v>
      </c>
      <c r="X24" s="45">
        <v>13</v>
      </c>
      <c r="Y24" s="45">
        <v>13</v>
      </c>
      <c r="Z24" s="45">
        <v>13</v>
      </c>
      <c r="AA24" s="45">
        <v>13</v>
      </c>
      <c r="AB24" s="45">
        <v>13</v>
      </c>
      <c r="AC24" s="45">
        <v>13</v>
      </c>
      <c r="AD24" s="45">
        <v>13</v>
      </c>
      <c r="AE24" s="45">
        <v>13</v>
      </c>
      <c r="AF24" s="45">
        <v>13</v>
      </c>
      <c r="AG24" s="50">
        <v>25</v>
      </c>
      <c r="AH24" s="47">
        <f t="shared" si="2"/>
        <v>26.1</v>
      </c>
      <c r="AI24" s="48">
        <f t="shared" si="3"/>
        <v>0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14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0</v>
      </c>
      <c r="C26" s="45">
        <v>7.5</v>
      </c>
      <c r="D26" s="45">
        <v>7.5</v>
      </c>
      <c r="E26" s="45">
        <v>7.5</v>
      </c>
      <c r="F26" s="45">
        <v>7.5</v>
      </c>
      <c r="G26" s="45">
        <v>7.5</v>
      </c>
      <c r="H26" s="45">
        <v>7.5</v>
      </c>
      <c r="I26" s="45">
        <v>7.5</v>
      </c>
      <c r="J26" s="45">
        <v>7.5</v>
      </c>
      <c r="K26" s="45">
        <v>7.5</v>
      </c>
      <c r="L26" s="45">
        <v>7.5</v>
      </c>
      <c r="M26" s="45">
        <v>7.5</v>
      </c>
      <c r="N26" s="45">
        <v>7.5</v>
      </c>
      <c r="O26" s="45">
        <v>7.5</v>
      </c>
      <c r="P26" s="45">
        <v>7.5</v>
      </c>
      <c r="Q26" s="45">
        <v>7.5</v>
      </c>
      <c r="R26" s="45">
        <v>7.5</v>
      </c>
      <c r="S26" s="45">
        <v>7.5</v>
      </c>
      <c r="T26" s="45">
        <v>7.5</v>
      </c>
      <c r="U26" s="45">
        <v>7.5</v>
      </c>
      <c r="V26" s="45">
        <v>7.5</v>
      </c>
      <c r="W26" s="45">
        <v>7.5</v>
      </c>
      <c r="X26" s="45">
        <v>7.5</v>
      </c>
      <c r="Y26" s="45">
        <v>7.5</v>
      </c>
      <c r="Z26" s="45">
        <v>7.5</v>
      </c>
      <c r="AA26" s="45">
        <v>7.5</v>
      </c>
      <c r="AB26" s="45">
        <v>7.5</v>
      </c>
      <c r="AC26" s="45">
        <v>7.5</v>
      </c>
      <c r="AD26" s="45">
        <v>7.5</v>
      </c>
      <c r="AE26" s="45">
        <v>7.5</v>
      </c>
      <c r="AF26" s="45">
        <v>7.5</v>
      </c>
      <c r="AG26" s="50">
        <v>25</v>
      </c>
      <c r="AH26" s="47">
        <f t="shared" si="2"/>
        <v>7.5</v>
      </c>
      <c r="AI26" s="48">
        <f t="shared" si="3"/>
        <v>0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0</v>
      </c>
      <c r="C27" s="45">
        <v>16</v>
      </c>
      <c r="D27" s="45">
        <v>22</v>
      </c>
      <c r="E27" s="45">
        <v>17</v>
      </c>
      <c r="F27" s="45">
        <v>15</v>
      </c>
      <c r="G27" s="45">
        <v>17</v>
      </c>
      <c r="H27" s="45">
        <v>17</v>
      </c>
      <c r="I27" s="45">
        <v>19</v>
      </c>
      <c r="J27" s="45">
        <v>19</v>
      </c>
      <c r="K27" s="45">
        <v>19</v>
      </c>
      <c r="L27" s="45">
        <v>19</v>
      </c>
      <c r="M27" s="45">
        <v>19</v>
      </c>
      <c r="N27" s="45">
        <v>17</v>
      </c>
      <c r="O27" s="45">
        <v>17</v>
      </c>
      <c r="P27" s="45">
        <v>17</v>
      </c>
      <c r="Q27" s="45">
        <v>17</v>
      </c>
      <c r="R27" s="45">
        <v>17</v>
      </c>
      <c r="S27" s="45">
        <v>17</v>
      </c>
      <c r="T27" s="45">
        <v>17</v>
      </c>
      <c r="U27" s="45">
        <v>17</v>
      </c>
      <c r="V27" s="45">
        <v>17</v>
      </c>
      <c r="W27" s="45">
        <v>17</v>
      </c>
      <c r="X27" s="45">
        <v>17</v>
      </c>
      <c r="Y27" s="45">
        <v>17</v>
      </c>
      <c r="Z27" s="45">
        <v>17</v>
      </c>
      <c r="AA27" s="45">
        <v>17</v>
      </c>
      <c r="AB27" s="45">
        <v>17</v>
      </c>
      <c r="AC27" s="45">
        <v>17</v>
      </c>
      <c r="AD27" s="45">
        <v>17</v>
      </c>
      <c r="AE27" s="45">
        <v>17</v>
      </c>
      <c r="AF27" s="45">
        <v>17</v>
      </c>
      <c r="AG27" s="50">
        <v>25</v>
      </c>
      <c r="AH27" s="47">
        <f t="shared" si="2"/>
        <v>22</v>
      </c>
      <c r="AI27" s="48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8.6</v>
      </c>
      <c r="C28" s="45">
        <v>8.6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10.6</v>
      </c>
      <c r="O28" s="45">
        <v>11.42</v>
      </c>
      <c r="P28" s="45">
        <v>10.5</v>
      </c>
      <c r="Q28" s="45">
        <v>9.8000000000000007</v>
      </c>
      <c r="R28" s="45">
        <v>8.5</v>
      </c>
      <c r="S28" s="45">
        <v>8.5</v>
      </c>
      <c r="T28" s="45">
        <v>8.5</v>
      </c>
      <c r="U28" s="45">
        <v>8.5</v>
      </c>
      <c r="V28" s="45">
        <v>8.5</v>
      </c>
      <c r="W28" s="45">
        <v>8.5</v>
      </c>
      <c r="X28" s="45">
        <v>8.5</v>
      </c>
      <c r="Y28" s="45">
        <v>8.5</v>
      </c>
      <c r="Z28" s="45">
        <v>8.5</v>
      </c>
      <c r="AA28" s="45">
        <v>8.5</v>
      </c>
      <c r="AB28" s="45">
        <v>8.5</v>
      </c>
      <c r="AC28" s="45">
        <v>8.5</v>
      </c>
      <c r="AD28" s="45">
        <v>8.5</v>
      </c>
      <c r="AE28" s="45">
        <v>8.5</v>
      </c>
      <c r="AF28" s="45">
        <v>8.5</v>
      </c>
      <c r="AG28" s="50">
        <v>23.5</v>
      </c>
      <c r="AH28" s="47">
        <f t="shared" si="2"/>
        <v>11.42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0</v>
      </c>
      <c r="C29" s="45">
        <v>4.5</v>
      </c>
      <c r="D29" s="45">
        <v>4.5</v>
      </c>
      <c r="E29" s="45">
        <v>4.5</v>
      </c>
      <c r="F29" s="45">
        <v>4.5</v>
      </c>
      <c r="G29" s="45">
        <v>4.5</v>
      </c>
      <c r="H29" s="45">
        <v>4.5</v>
      </c>
      <c r="I29" s="45">
        <v>4.5</v>
      </c>
      <c r="J29" s="45">
        <v>4.5</v>
      </c>
      <c r="K29" s="45">
        <v>4.5</v>
      </c>
      <c r="L29" s="45">
        <v>4.5</v>
      </c>
      <c r="M29" s="45">
        <v>4.5</v>
      </c>
      <c r="N29" s="45">
        <v>4.5</v>
      </c>
      <c r="O29" s="45">
        <v>4.5</v>
      </c>
      <c r="P29" s="45">
        <v>4.5</v>
      </c>
      <c r="Q29" s="45">
        <v>4.5</v>
      </c>
      <c r="R29" s="45">
        <v>4.5</v>
      </c>
      <c r="S29" s="45">
        <v>4.5</v>
      </c>
      <c r="T29" s="45">
        <v>4.5</v>
      </c>
      <c r="U29" s="45">
        <v>4.5</v>
      </c>
      <c r="V29" s="45">
        <v>4.5</v>
      </c>
      <c r="W29" s="45">
        <v>4.5</v>
      </c>
      <c r="X29" s="45">
        <v>4.5</v>
      </c>
      <c r="Y29" s="45">
        <v>4.5</v>
      </c>
      <c r="Z29" s="45">
        <v>4.5</v>
      </c>
      <c r="AA29" s="45">
        <v>4.5</v>
      </c>
      <c r="AB29" s="45">
        <v>4.5</v>
      </c>
      <c r="AC29" s="45">
        <v>4.5</v>
      </c>
      <c r="AD29" s="45">
        <v>4.5</v>
      </c>
      <c r="AE29" s="45">
        <v>4.5</v>
      </c>
      <c r="AF29" s="45">
        <v>4.5</v>
      </c>
      <c r="AG29" s="50">
        <v>22.2</v>
      </c>
      <c r="AH29" s="47">
        <f t="shared" si="2"/>
        <v>4.5</v>
      </c>
      <c r="AI29" s="48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50">
        <v>22</v>
      </c>
      <c r="AH31" s="47">
        <f t="shared" si="2"/>
        <v>4.5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0</v>
      </c>
      <c r="C32" s="45">
        <v>10</v>
      </c>
      <c r="D32" s="45">
        <v>9.3000000000000007</v>
      </c>
      <c r="E32" s="45">
        <v>9.3000000000000007</v>
      </c>
      <c r="F32" s="45">
        <v>9.3000000000000007</v>
      </c>
      <c r="G32" s="45">
        <v>7</v>
      </c>
      <c r="H32" s="45">
        <v>7</v>
      </c>
      <c r="I32" s="45">
        <v>7</v>
      </c>
      <c r="J32" s="45">
        <v>7</v>
      </c>
      <c r="K32" s="45">
        <v>7</v>
      </c>
      <c r="L32" s="45">
        <v>7</v>
      </c>
      <c r="M32" s="45">
        <v>7</v>
      </c>
      <c r="N32" s="45">
        <v>7</v>
      </c>
      <c r="O32" s="45">
        <v>7</v>
      </c>
      <c r="P32" s="45">
        <v>7</v>
      </c>
      <c r="Q32" s="45">
        <v>5.6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0">
        <v>22</v>
      </c>
      <c r="AH32" s="47">
        <f t="shared" si="2"/>
        <v>10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0</v>
      </c>
      <c r="C33" s="45">
        <v>10.1</v>
      </c>
      <c r="D33" s="45">
        <v>19</v>
      </c>
      <c r="E33" s="45">
        <v>19</v>
      </c>
      <c r="F33" s="45">
        <v>19</v>
      </c>
      <c r="G33" s="45">
        <v>19</v>
      </c>
      <c r="H33" s="45">
        <v>19</v>
      </c>
      <c r="I33" s="45">
        <v>19</v>
      </c>
      <c r="J33" s="45">
        <v>19</v>
      </c>
      <c r="K33" s="45">
        <v>19</v>
      </c>
      <c r="L33" s="45">
        <v>19</v>
      </c>
      <c r="M33" s="45">
        <v>16.5</v>
      </c>
      <c r="N33" s="45">
        <v>13.7</v>
      </c>
      <c r="O33" s="45">
        <v>8</v>
      </c>
      <c r="P33" s="45">
        <v>14.5</v>
      </c>
      <c r="Q33" s="45">
        <v>14</v>
      </c>
      <c r="R33" s="45">
        <v>14</v>
      </c>
      <c r="S33" s="45">
        <v>14</v>
      </c>
      <c r="T33" s="45">
        <v>14</v>
      </c>
      <c r="U33" s="45">
        <v>14</v>
      </c>
      <c r="V33" s="45">
        <v>14</v>
      </c>
      <c r="W33" s="45">
        <v>14</v>
      </c>
      <c r="X33" s="45">
        <v>14</v>
      </c>
      <c r="Y33" s="45">
        <v>14</v>
      </c>
      <c r="Z33" s="45">
        <v>14</v>
      </c>
      <c r="AA33" s="45">
        <v>14</v>
      </c>
      <c r="AB33" s="45">
        <v>14</v>
      </c>
      <c r="AC33" s="45">
        <v>14</v>
      </c>
      <c r="AD33" s="45">
        <v>14</v>
      </c>
      <c r="AE33" s="45">
        <v>14</v>
      </c>
      <c r="AF33" s="45">
        <v>14</v>
      </c>
      <c r="AG33" s="50">
        <v>20</v>
      </c>
      <c r="AH33" s="47">
        <f t="shared" si="2"/>
        <v>19</v>
      </c>
      <c r="AI33" s="48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0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0">
        <v>18</v>
      </c>
      <c r="AH34" s="47">
        <f t="shared" si="2"/>
        <v>8.5</v>
      </c>
      <c r="AI34" s="48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0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50">
        <v>13</v>
      </c>
      <c r="AH38" s="47">
        <f t="shared" si="2"/>
        <v>0</v>
      </c>
      <c r="AI38" s="48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0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0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>
        <v>3.6</v>
      </c>
      <c r="N45" s="45">
        <v>3.6</v>
      </c>
      <c r="O45" s="45">
        <v>3.6</v>
      </c>
      <c r="P45" s="45">
        <v>3.6</v>
      </c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3.6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5</v>
      </c>
      <c r="C46" s="45">
        <v>5</v>
      </c>
      <c r="D46" s="45">
        <v>5</v>
      </c>
      <c r="E46" s="45">
        <v>5</v>
      </c>
      <c r="F46" s="45">
        <v>5</v>
      </c>
      <c r="G46" s="45">
        <v>5</v>
      </c>
      <c r="H46" s="45">
        <v>5</v>
      </c>
      <c r="I46" s="45">
        <v>5</v>
      </c>
      <c r="J46" s="45">
        <v>5</v>
      </c>
      <c r="K46" s="45">
        <v>5</v>
      </c>
      <c r="L46" s="45">
        <v>5</v>
      </c>
      <c r="M46" s="45">
        <v>5</v>
      </c>
      <c r="N46" s="45">
        <v>5</v>
      </c>
      <c r="O46" s="45">
        <v>5</v>
      </c>
      <c r="P46" s="45">
        <v>5</v>
      </c>
      <c r="Q46" s="45">
        <v>5</v>
      </c>
      <c r="R46" s="45">
        <v>5</v>
      </c>
      <c r="S46" s="45">
        <v>5</v>
      </c>
      <c r="T46" s="45">
        <v>5</v>
      </c>
      <c r="U46" s="45">
        <v>5</v>
      </c>
      <c r="V46" s="45">
        <v>5</v>
      </c>
      <c r="W46" s="45">
        <v>5</v>
      </c>
      <c r="X46" s="45">
        <v>5</v>
      </c>
      <c r="Y46" s="45">
        <v>5</v>
      </c>
      <c r="Z46" s="45">
        <v>5</v>
      </c>
      <c r="AA46" s="45">
        <v>5</v>
      </c>
      <c r="AB46" s="45">
        <v>5</v>
      </c>
      <c r="AC46" s="45">
        <v>5</v>
      </c>
      <c r="AD46" s="45">
        <v>5</v>
      </c>
      <c r="AE46" s="45">
        <v>5</v>
      </c>
      <c r="AF46" s="45">
        <v>5</v>
      </c>
      <c r="AG46" s="54">
        <v>10</v>
      </c>
      <c r="AH46" s="47">
        <f t="shared" si="2"/>
        <v>5</v>
      </c>
      <c r="AI46" s="48">
        <f t="shared" si="3"/>
        <v>5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200</v>
      </c>
      <c r="C48" s="56">
        <v>200</v>
      </c>
      <c r="D48" s="56">
        <v>200</v>
      </c>
      <c r="E48" s="56">
        <v>233</v>
      </c>
      <c r="F48" s="56">
        <v>233</v>
      </c>
      <c r="G48" s="56">
        <v>233</v>
      </c>
      <c r="H48" s="56">
        <v>233</v>
      </c>
      <c r="I48" s="56">
        <v>233</v>
      </c>
      <c r="J48" s="56">
        <v>233</v>
      </c>
      <c r="K48" s="56">
        <v>233</v>
      </c>
      <c r="L48" s="56">
        <v>233</v>
      </c>
      <c r="M48" s="56">
        <v>233</v>
      </c>
      <c r="N48" s="56">
        <v>233</v>
      </c>
      <c r="O48" s="56">
        <v>233</v>
      </c>
      <c r="P48" s="56">
        <v>233</v>
      </c>
      <c r="Q48" s="56">
        <v>233</v>
      </c>
      <c r="R48" s="56">
        <v>233</v>
      </c>
      <c r="S48" s="56">
        <v>233</v>
      </c>
      <c r="T48" s="56">
        <v>233</v>
      </c>
      <c r="U48" s="56">
        <v>233</v>
      </c>
      <c r="V48" s="56">
        <v>233</v>
      </c>
      <c r="W48" s="56">
        <v>233</v>
      </c>
      <c r="X48" s="56">
        <v>233</v>
      </c>
      <c r="Y48" s="56">
        <v>233</v>
      </c>
      <c r="Z48" s="56">
        <v>233</v>
      </c>
      <c r="AA48" s="56">
        <v>200</v>
      </c>
      <c r="AB48" s="56">
        <v>200</v>
      </c>
      <c r="AC48" s="56">
        <v>200</v>
      </c>
      <c r="AD48" s="56">
        <v>200</v>
      </c>
      <c r="AE48" s="56">
        <v>200</v>
      </c>
      <c r="AF48" s="56">
        <v>200</v>
      </c>
      <c r="AG48" s="54">
        <v>85</v>
      </c>
      <c r="AH48" s="47">
        <f t="shared" si="2"/>
        <v>233</v>
      </c>
      <c r="AI48" s="48">
        <f t="shared" si="3"/>
        <v>200</v>
      </c>
      <c r="AK48" s="49"/>
    </row>
    <row r="49" spans="1:41" ht="15.75" thickBot="1" x14ac:dyDescent="0.3">
      <c r="A49" s="57" t="s">
        <v>55</v>
      </c>
      <c r="B49" s="56">
        <v>51</v>
      </c>
      <c r="C49" s="56">
        <v>51</v>
      </c>
      <c r="D49" s="56"/>
      <c r="E49" s="58"/>
      <c r="F49" s="58">
        <v>54</v>
      </c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6"/>
      <c r="Z49" s="56"/>
      <c r="AA49" s="56"/>
      <c r="AB49" s="56"/>
      <c r="AC49" s="56"/>
      <c r="AD49" s="56">
        <v>51</v>
      </c>
      <c r="AE49" s="56">
        <v>51</v>
      </c>
      <c r="AF49" s="56">
        <v>51</v>
      </c>
      <c r="AG49" s="54">
        <v>240</v>
      </c>
      <c r="AH49" s="47">
        <f t="shared" si="2"/>
        <v>54</v>
      </c>
      <c r="AI49" s="48">
        <f t="shared" si="3"/>
        <v>51</v>
      </c>
      <c r="AK49" s="49"/>
    </row>
    <row r="50" spans="1:41" ht="15.75" thickBot="1" x14ac:dyDescent="0.3">
      <c r="A50" s="59" t="s">
        <v>56</v>
      </c>
      <c r="B50" s="60">
        <f t="shared" ref="B50:AF50" si="4">SUM(B11:B48)</f>
        <v>355</v>
      </c>
      <c r="C50" s="60">
        <f t="shared" si="4"/>
        <v>673.60000000000014</v>
      </c>
      <c r="D50" s="60">
        <f t="shared" si="4"/>
        <v>693.90000000000009</v>
      </c>
      <c r="E50" s="60">
        <f t="shared" si="4"/>
        <v>721.90000000000009</v>
      </c>
      <c r="F50" s="60">
        <f t="shared" si="4"/>
        <v>719.90000000000009</v>
      </c>
      <c r="G50" s="60">
        <f t="shared" si="4"/>
        <v>721.60000000000014</v>
      </c>
      <c r="H50" s="60">
        <f t="shared" si="4"/>
        <v>721.60000000000014</v>
      </c>
      <c r="I50" s="60">
        <f t="shared" si="4"/>
        <v>723.60000000000014</v>
      </c>
      <c r="J50" s="60">
        <f t="shared" si="4"/>
        <v>723.60000000000014</v>
      </c>
      <c r="K50" s="60">
        <f t="shared" si="4"/>
        <v>723.60000000000014</v>
      </c>
      <c r="L50" s="60">
        <f t="shared" si="4"/>
        <v>723.60000000000014</v>
      </c>
      <c r="M50" s="60">
        <f t="shared" si="4"/>
        <v>730.5</v>
      </c>
      <c r="N50" s="60">
        <f t="shared" si="4"/>
        <v>722.80000000000007</v>
      </c>
      <c r="O50" s="60">
        <f t="shared" si="4"/>
        <v>716.32</v>
      </c>
      <c r="P50" s="60">
        <f t="shared" si="4"/>
        <v>719.30000000000007</v>
      </c>
      <c r="Q50" s="60">
        <f t="shared" si="4"/>
        <v>694</v>
      </c>
      <c r="R50" s="60">
        <f>SUM(R11:R48)</f>
        <v>688.7</v>
      </c>
      <c r="S50" s="60">
        <f t="shared" si="4"/>
        <v>688.7</v>
      </c>
      <c r="T50" s="60">
        <f t="shared" si="4"/>
        <v>688.7</v>
      </c>
      <c r="U50" s="60">
        <f t="shared" si="4"/>
        <v>688.7</v>
      </c>
      <c r="V50" s="60">
        <f>SUM(V11:V48)</f>
        <v>688.7</v>
      </c>
      <c r="W50" s="60">
        <f>SUM(W11:W48)</f>
        <v>688.7</v>
      </c>
      <c r="X50" s="60">
        <f>SUM(X11:X48)</f>
        <v>688.7</v>
      </c>
      <c r="Y50" s="60">
        <f t="shared" si="4"/>
        <v>688.7</v>
      </c>
      <c r="Z50" s="60">
        <f t="shared" si="4"/>
        <v>688.7</v>
      </c>
      <c r="AA50" s="60">
        <v>678.8</v>
      </c>
      <c r="AB50" s="60">
        <f t="shared" si="4"/>
        <v>670.3</v>
      </c>
      <c r="AC50" s="60">
        <f t="shared" si="4"/>
        <v>671.90000000000009</v>
      </c>
      <c r="AD50" s="60">
        <f t="shared" si="4"/>
        <v>671.90000000000009</v>
      </c>
      <c r="AE50" s="60">
        <f t="shared" si="4"/>
        <v>671.90000000000009</v>
      </c>
      <c r="AF50" s="60">
        <f t="shared" si="4"/>
        <v>671.90000000000009</v>
      </c>
      <c r="AG50" s="61">
        <f>SUM(AG13:AG48)</f>
        <v>922.14</v>
      </c>
      <c r="AH50" s="47">
        <f t="shared" si="2"/>
        <v>730.5</v>
      </c>
      <c r="AI50" s="48">
        <f t="shared" si="3"/>
        <v>355</v>
      </c>
      <c r="AK50" s="49"/>
    </row>
    <row r="51" spans="1:41" x14ac:dyDescent="0.25">
      <c r="A51" s="62" t="s">
        <v>57</v>
      </c>
      <c r="B51" s="45">
        <v>380</v>
      </c>
      <c r="C51" s="45">
        <v>380</v>
      </c>
      <c r="D51" s="45">
        <v>360</v>
      </c>
      <c r="E51" s="45">
        <v>305</v>
      </c>
      <c r="F51" s="45">
        <v>290</v>
      </c>
      <c r="G51" s="45">
        <v>170</v>
      </c>
      <c r="H51" s="45">
        <v>140</v>
      </c>
      <c r="I51" s="45">
        <v>150</v>
      </c>
      <c r="J51" s="45">
        <v>120</v>
      </c>
      <c r="K51" s="45">
        <v>160</v>
      </c>
      <c r="L51" s="45">
        <v>90</v>
      </c>
      <c r="M51" s="45">
        <v>100</v>
      </c>
      <c r="N51" s="45">
        <v>40</v>
      </c>
      <c r="O51" s="45">
        <v>70</v>
      </c>
      <c r="P51" s="63">
        <v>40</v>
      </c>
      <c r="Q51" s="63">
        <v>150</v>
      </c>
      <c r="R51" s="63">
        <v>190</v>
      </c>
      <c r="S51" s="63">
        <v>160</v>
      </c>
      <c r="T51" s="63">
        <v>160</v>
      </c>
      <c r="U51" s="45">
        <v>190</v>
      </c>
      <c r="V51" s="45">
        <v>170</v>
      </c>
      <c r="W51" s="45">
        <v>140</v>
      </c>
      <c r="X51" s="45">
        <v>140</v>
      </c>
      <c r="Y51" s="45">
        <v>250</v>
      </c>
      <c r="Z51" s="45">
        <v>250</v>
      </c>
      <c r="AA51" s="45">
        <v>445</v>
      </c>
      <c r="AB51" s="45">
        <v>415</v>
      </c>
      <c r="AC51" s="45">
        <v>415</v>
      </c>
      <c r="AD51" s="45">
        <v>415</v>
      </c>
      <c r="AE51" s="45">
        <v>415</v>
      </c>
      <c r="AF51" s="45">
        <v>455</v>
      </c>
      <c r="AG51" s="51">
        <v>456</v>
      </c>
      <c r="AH51" s="47">
        <f t="shared" si="2"/>
        <v>455</v>
      </c>
      <c r="AI51" s="48">
        <f t="shared" si="3"/>
        <v>40</v>
      </c>
      <c r="AK51" s="49"/>
    </row>
    <row r="52" spans="1:41" x14ac:dyDescent="0.25">
      <c r="A52" s="64" t="s">
        <v>58</v>
      </c>
      <c r="B52" s="65">
        <v>42</v>
      </c>
      <c r="C52" s="65">
        <v>42</v>
      </c>
      <c r="D52" s="65">
        <v>42</v>
      </c>
      <c r="E52" s="65">
        <v>42</v>
      </c>
      <c r="F52" s="65">
        <v>42</v>
      </c>
      <c r="G52" s="65">
        <v>42</v>
      </c>
      <c r="H52" s="65">
        <v>42</v>
      </c>
      <c r="I52" s="65">
        <v>42</v>
      </c>
      <c r="J52" s="65">
        <v>39</v>
      </c>
      <c r="K52" s="65">
        <v>39</v>
      </c>
      <c r="L52" s="65">
        <v>39</v>
      </c>
      <c r="M52" s="65">
        <v>37.799999999999997</v>
      </c>
      <c r="N52" s="65">
        <v>37</v>
      </c>
      <c r="O52" s="65">
        <v>37</v>
      </c>
      <c r="P52" s="65">
        <v>37</v>
      </c>
      <c r="Q52" s="65">
        <v>36</v>
      </c>
      <c r="R52" s="65">
        <v>36</v>
      </c>
      <c r="S52" s="65">
        <v>36</v>
      </c>
      <c r="T52" s="65">
        <v>36</v>
      </c>
      <c r="U52" s="65">
        <v>36</v>
      </c>
      <c r="V52" s="65">
        <v>36</v>
      </c>
      <c r="W52" s="65">
        <v>36</v>
      </c>
      <c r="X52" s="65">
        <v>36</v>
      </c>
      <c r="Y52" s="65">
        <v>36</v>
      </c>
      <c r="Z52" s="65">
        <v>36</v>
      </c>
      <c r="AA52" s="65">
        <v>36</v>
      </c>
      <c r="AB52" s="65">
        <v>36</v>
      </c>
      <c r="AC52" s="65">
        <v>36</v>
      </c>
      <c r="AD52" s="65">
        <v>36</v>
      </c>
      <c r="AE52" s="65">
        <v>36</v>
      </c>
      <c r="AF52" s="65">
        <v>36</v>
      </c>
      <c r="AG52" s="54">
        <v>60</v>
      </c>
      <c r="AH52" s="47">
        <f t="shared" si="2"/>
        <v>42</v>
      </c>
      <c r="AI52" s="48">
        <f t="shared" si="3"/>
        <v>36</v>
      </c>
      <c r="AK52" s="49"/>
    </row>
    <row r="53" spans="1:41" ht="15.75" thickBot="1" x14ac:dyDescent="0.3">
      <c r="A53" s="66" t="s">
        <v>59</v>
      </c>
      <c r="B53" s="67">
        <v>0</v>
      </c>
      <c r="C53" s="67">
        <v>22.2</v>
      </c>
      <c r="D53" s="67">
        <v>22.7</v>
      </c>
      <c r="E53" s="67">
        <v>22.5</v>
      </c>
      <c r="F53" s="67">
        <v>22.5</v>
      </c>
      <c r="G53" s="67">
        <v>22.4</v>
      </c>
      <c r="H53" s="67">
        <v>22.5</v>
      </c>
      <c r="I53" s="67">
        <v>22.4</v>
      </c>
      <c r="J53" s="67">
        <v>22.4</v>
      </c>
      <c r="K53" s="67">
        <v>22.5</v>
      </c>
      <c r="L53" s="67">
        <v>22.4</v>
      </c>
      <c r="M53" s="67">
        <v>22.4</v>
      </c>
      <c r="N53" s="67">
        <v>22.4</v>
      </c>
      <c r="O53" s="67">
        <v>22.4</v>
      </c>
      <c r="P53" s="67">
        <v>22.4</v>
      </c>
      <c r="Q53" s="67">
        <v>22.4</v>
      </c>
      <c r="R53" s="67">
        <v>22.5</v>
      </c>
      <c r="S53" s="67">
        <v>22.5</v>
      </c>
      <c r="T53" s="67">
        <v>22.5</v>
      </c>
      <c r="U53" s="67">
        <v>22.5</v>
      </c>
      <c r="V53" s="67">
        <v>22.5</v>
      </c>
      <c r="W53" s="67">
        <v>22.5</v>
      </c>
      <c r="X53" s="67">
        <v>22.5</v>
      </c>
      <c r="Y53" s="67">
        <v>22.5</v>
      </c>
      <c r="Z53" s="67">
        <v>22.5</v>
      </c>
      <c r="AA53" s="67">
        <v>22.5</v>
      </c>
      <c r="AB53" s="67">
        <v>22.4</v>
      </c>
      <c r="AC53" s="67">
        <v>22.4</v>
      </c>
      <c r="AD53" s="67">
        <v>22.4</v>
      </c>
      <c r="AE53" s="67">
        <v>22.4</v>
      </c>
      <c r="AF53" s="67">
        <v>22.4</v>
      </c>
      <c r="AG53" s="68">
        <v>22.1</v>
      </c>
      <c r="AH53" s="47">
        <f t="shared" si="2"/>
        <v>22.7</v>
      </c>
      <c r="AI53" s="48">
        <f t="shared" si="3"/>
        <v>0</v>
      </c>
      <c r="AK53" s="49"/>
    </row>
    <row r="54" spans="1:41" ht="15.75" thickBot="1" x14ac:dyDescent="0.3">
      <c r="A54" s="69" t="s">
        <v>60</v>
      </c>
      <c r="B54" s="60">
        <f t="shared" ref="B54:AG54" si="5">SUM(B51:B53)</f>
        <v>422</v>
      </c>
      <c r="C54" s="60">
        <f t="shared" si="5"/>
        <v>444.2</v>
      </c>
      <c r="D54" s="60">
        <f t="shared" si="5"/>
        <v>424.7</v>
      </c>
      <c r="E54" s="60">
        <f t="shared" si="5"/>
        <v>369.5</v>
      </c>
      <c r="F54" s="60">
        <f t="shared" si="5"/>
        <v>354.5</v>
      </c>
      <c r="G54" s="60">
        <f t="shared" si="5"/>
        <v>234.4</v>
      </c>
      <c r="H54" s="60">
        <f t="shared" si="5"/>
        <v>204.5</v>
      </c>
      <c r="I54" s="60">
        <f t="shared" si="5"/>
        <v>214.4</v>
      </c>
      <c r="J54" s="60">
        <f t="shared" si="5"/>
        <v>181.4</v>
      </c>
      <c r="K54" s="60">
        <f t="shared" si="5"/>
        <v>221.5</v>
      </c>
      <c r="L54" s="60">
        <f t="shared" si="5"/>
        <v>151.4</v>
      </c>
      <c r="M54" s="60">
        <f t="shared" si="5"/>
        <v>160.20000000000002</v>
      </c>
      <c r="N54" s="60">
        <f t="shared" si="5"/>
        <v>99.4</v>
      </c>
      <c r="O54" s="60">
        <f t="shared" si="5"/>
        <v>129.4</v>
      </c>
      <c r="P54" s="60">
        <f t="shared" si="5"/>
        <v>99.4</v>
      </c>
      <c r="Q54" s="60">
        <f t="shared" si="5"/>
        <v>208.4</v>
      </c>
      <c r="R54" s="60">
        <f>SUM(R51:R53)</f>
        <v>248.5</v>
      </c>
      <c r="S54" s="60">
        <f t="shared" si="5"/>
        <v>218.5</v>
      </c>
      <c r="T54" s="60">
        <f t="shared" si="5"/>
        <v>218.5</v>
      </c>
      <c r="U54" s="60">
        <f t="shared" si="5"/>
        <v>248.5</v>
      </c>
      <c r="V54" s="60">
        <f>SUM(V51:V53)</f>
        <v>228.5</v>
      </c>
      <c r="W54" s="60">
        <f>SUM(W51:W53)</f>
        <v>198.5</v>
      </c>
      <c r="X54" s="60">
        <f>SUM(X51:X53)</f>
        <v>198.5</v>
      </c>
      <c r="Y54" s="60">
        <f t="shared" si="5"/>
        <v>308.5</v>
      </c>
      <c r="Z54" s="60">
        <f t="shared" si="5"/>
        <v>308.5</v>
      </c>
      <c r="AA54" s="60">
        <v>503.5</v>
      </c>
      <c r="AB54" s="60">
        <f t="shared" si="5"/>
        <v>473.4</v>
      </c>
      <c r="AC54" s="60">
        <f t="shared" si="5"/>
        <v>473.4</v>
      </c>
      <c r="AD54" s="60">
        <f t="shared" si="5"/>
        <v>473.4</v>
      </c>
      <c r="AE54" s="60">
        <f t="shared" si="5"/>
        <v>473.4</v>
      </c>
      <c r="AF54" s="60">
        <f t="shared" si="5"/>
        <v>513.4</v>
      </c>
      <c r="AG54" s="61">
        <f t="shared" si="5"/>
        <v>538.1</v>
      </c>
      <c r="AH54" s="47">
        <f t="shared" si="2"/>
        <v>513.4</v>
      </c>
      <c r="AI54" s="48">
        <f t="shared" si="3"/>
        <v>99.4</v>
      </c>
      <c r="AK54" s="49"/>
    </row>
    <row r="55" spans="1:41" ht="21.75" customHeight="1" x14ac:dyDescent="0.25">
      <c r="A55" s="44" t="s">
        <v>61</v>
      </c>
      <c r="B55" s="203" t="s">
        <v>301</v>
      </c>
      <c r="C55" s="45">
        <v>131.9</v>
      </c>
      <c r="D55" s="45">
        <v>126</v>
      </c>
      <c r="E55" s="45">
        <v>101</v>
      </c>
      <c r="F55" s="45">
        <v>111.7</v>
      </c>
      <c r="G55" s="45">
        <v>132</v>
      </c>
      <c r="H55" s="45">
        <v>131.9</v>
      </c>
      <c r="I55" s="45">
        <v>117.6</v>
      </c>
      <c r="J55" s="45">
        <v>122.4</v>
      </c>
      <c r="K55" s="45">
        <v>101.6</v>
      </c>
      <c r="L55" s="45">
        <v>91.4</v>
      </c>
      <c r="M55" s="45">
        <v>73.400000000000006</v>
      </c>
      <c r="N55" s="45">
        <v>73.5</v>
      </c>
      <c r="O55" s="45">
        <v>86.5</v>
      </c>
      <c r="P55" s="45">
        <v>140.1</v>
      </c>
      <c r="Q55" s="45">
        <v>144.4</v>
      </c>
      <c r="R55" s="45">
        <v>144</v>
      </c>
      <c r="S55" s="45">
        <v>144</v>
      </c>
      <c r="T55" s="45">
        <v>131</v>
      </c>
      <c r="U55" s="45">
        <v>131</v>
      </c>
      <c r="V55" s="45">
        <v>110</v>
      </c>
      <c r="W55" s="45">
        <v>110</v>
      </c>
      <c r="X55" s="45">
        <v>110</v>
      </c>
      <c r="Y55" s="45">
        <v>135.19999999999999</v>
      </c>
      <c r="Z55" s="45">
        <v>144</v>
      </c>
      <c r="AA55" s="45">
        <v>135</v>
      </c>
      <c r="AB55" s="45">
        <v>122.4</v>
      </c>
      <c r="AC55" s="45">
        <v>121.9</v>
      </c>
      <c r="AD55" s="45">
        <v>113</v>
      </c>
      <c r="AE55" s="45">
        <v>111</v>
      </c>
      <c r="AF55" s="45">
        <v>91</v>
      </c>
      <c r="AG55" s="51">
        <v>144</v>
      </c>
      <c r="AH55" s="47">
        <f t="shared" si="2"/>
        <v>144.4</v>
      </c>
      <c r="AI55" s="48">
        <f t="shared" si="3"/>
        <v>73.400000000000006</v>
      </c>
      <c r="AK55" s="49"/>
    </row>
    <row r="56" spans="1:41" x14ac:dyDescent="0.25">
      <c r="A56" s="53" t="s">
        <v>62</v>
      </c>
      <c r="B56" s="204"/>
      <c r="C56" s="65">
        <v>70</v>
      </c>
      <c r="D56" s="65">
        <v>70</v>
      </c>
      <c r="E56" s="65">
        <v>71.400000000000006</v>
      </c>
      <c r="F56" s="65">
        <v>70.400000000000006</v>
      </c>
      <c r="G56" s="65">
        <v>70.599999999999994</v>
      </c>
      <c r="H56" s="65">
        <v>72.900000000000006</v>
      </c>
      <c r="I56" s="65">
        <v>72.599999999999994</v>
      </c>
      <c r="J56" s="65">
        <v>73.3</v>
      </c>
      <c r="K56" s="65">
        <v>73.400000000000006</v>
      </c>
      <c r="L56" s="65">
        <v>73.7</v>
      </c>
      <c r="M56" s="65">
        <v>71</v>
      </c>
      <c r="N56" s="65">
        <v>71.7</v>
      </c>
      <c r="O56" s="65">
        <v>71.7</v>
      </c>
      <c r="P56" s="65">
        <v>72</v>
      </c>
      <c r="Q56" s="65">
        <v>70.2</v>
      </c>
      <c r="R56" s="65">
        <v>69.900000000000006</v>
      </c>
      <c r="S56" s="65">
        <v>70.3</v>
      </c>
      <c r="T56" s="65">
        <v>70.3</v>
      </c>
      <c r="U56" s="45">
        <v>71</v>
      </c>
      <c r="V56" s="45">
        <v>70</v>
      </c>
      <c r="W56" s="45">
        <v>70</v>
      </c>
      <c r="X56" s="45">
        <v>70</v>
      </c>
      <c r="Y56" s="45">
        <v>68.7</v>
      </c>
      <c r="Z56" s="45">
        <v>68.7</v>
      </c>
      <c r="AA56" s="45">
        <v>68.7</v>
      </c>
      <c r="AB56" s="45">
        <v>71</v>
      </c>
      <c r="AC56" s="45">
        <v>71</v>
      </c>
      <c r="AD56" s="45">
        <v>71</v>
      </c>
      <c r="AE56" s="45">
        <v>71</v>
      </c>
      <c r="AF56" s="45">
        <v>63</v>
      </c>
      <c r="AG56" s="54">
        <v>70</v>
      </c>
      <c r="AH56" s="47">
        <f t="shared" si="2"/>
        <v>73.7</v>
      </c>
      <c r="AI56" s="48">
        <f t="shared" si="3"/>
        <v>63</v>
      </c>
      <c r="AK56" s="49"/>
    </row>
    <row r="57" spans="1:41" x14ac:dyDescent="0.25">
      <c r="A57" s="53" t="s">
        <v>63</v>
      </c>
      <c r="B57" s="204"/>
      <c r="C57" s="65">
        <v>69</v>
      </c>
      <c r="D57" s="65">
        <v>69</v>
      </c>
      <c r="E57" s="65">
        <v>65.2</v>
      </c>
      <c r="F57" s="65">
        <v>68.900000000000006</v>
      </c>
      <c r="G57" s="65">
        <v>60.7</v>
      </c>
      <c r="H57" s="65">
        <v>70</v>
      </c>
      <c r="I57" s="65">
        <v>70.7</v>
      </c>
      <c r="J57" s="65">
        <v>52.1</v>
      </c>
      <c r="K57" s="65">
        <v>69</v>
      </c>
      <c r="L57" s="65">
        <v>69.2</v>
      </c>
      <c r="M57" s="65">
        <v>68.900000000000006</v>
      </c>
      <c r="N57" s="65">
        <v>68.900000000000006</v>
      </c>
      <c r="O57" s="65">
        <v>68.900000000000006</v>
      </c>
      <c r="P57" s="65">
        <v>70.3</v>
      </c>
      <c r="Q57" s="65">
        <v>68.900000000000006</v>
      </c>
      <c r="R57" s="65">
        <v>68.599999999999994</v>
      </c>
      <c r="S57" s="65">
        <v>68.400000000000006</v>
      </c>
      <c r="T57" s="65">
        <v>61</v>
      </c>
      <c r="U57" s="45">
        <v>71</v>
      </c>
      <c r="V57" s="45">
        <v>68</v>
      </c>
      <c r="W57" s="45">
        <v>68</v>
      </c>
      <c r="X57" s="45">
        <v>68</v>
      </c>
      <c r="Y57" s="45">
        <v>68.7</v>
      </c>
      <c r="Z57" s="45">
        <v>68.7</v>
      </c>
      <c r="AA57" s="45">
        <v>68.7</v>
      </c>
      <c r="AB57" s="45">
        <v>69.5</v>
      </c>
      <c r="AC57" s="45">
        <v>69.5</v>
      </c>
      <c r="AD57" s="45">
        <v>69.5</v>
      </c>
      <c r="AE57" s="45">
        <v>62.5</v>
      </c>
      <c r="AF57" s="45">
        <v>62.5</v>
      </c>
      <c r="AG57" s="54">
        <v>69</v>
      </c>
      <c r="AH57" s="47">
        <f t="shared" si="2"/>
        <v>71</v>
      </c>
      <c r="AI57" s="48">
        <f t="shared" si="3"/>
        <v>52.1</v>
      </c>
      <c r="AK57" s="49"/>
    </row>
    <row r="58" spans="1:41" x14ac:dyDescent="0.25">
      <c r="A58" s="53" t="s">
        <v>64</v>
      </c>
      <c r="B58" s="204"/>
      <c r="C58" s="65">
        <v>61.7</v>
      </c>
      <c r="D58" s="65">
        <v>61.7</v>
      </c>
      <c r="E58" s="56">
        <v>61.7</v>
      </c>
      <c r="F58" s="56">
        <v>61.7</v>
      </c>
      <c r="G58" s="56">
        <v>61.7</v>
      </c>
      <c r="H58" s="56">
        <v>61.7</v>
      </c>
      <c r="I58" s="56">
        <v>61.7</v>
      </c>
      <c r="J58" s="56">
        <v>61.7</v>
      </c>
      <c r="K58" s="56">
        <v>61</v>
      </c>
      <c r="L58" s="56">
        <v>61.7</v>
      </c>
      <c r="M58" s="65">
        <v>61.7</v>
      </c>
      <c r="N58" s="65">
        <v>61.7</v>
      </c>
      <c r="O58" s="65">
        <v>61.7</v>
      </c>
      <c r="P58" s="65">
        <v>61.7</v>
      </c>
      <c r="Q58" s="65">
        <v>60.4</v>
      </c>
      <c r="R58" s="65">
        <v>60.4</v>
      </c>
      <c r="S58" s="65">
        <v>60.4</v>
      </c>
      <c r="T58" s="65">
        <v>60.4</v>
      </c>
      <c r="U58" s="45">
        <v>60.4</v>
      </c>
      <c r="V58" s="45">
        <v>60.4</v>
      </c>
      <c r="W58" s="45">
        <v>60.4</v>
      </c>
      <c r="X58" s="45">
        <v>60.4</v>
      </c>
      <c r="Y58" s="45">
        <v>60.4</v>
      </c>
      <c r="Z58" s="45">
        <v>60.4</v>
      </c>
      <c r="AA58" s="45">
        <v>60.4</v>
      </c>
      <c r="AB58" s="45">
        <v>60.4</v>
      </c>
      <c r="AC58" s="45">
        <v>60.4</v>
      </c>
      <c r="AD58" s="45">
        <v>60.4</v>
      </c>
      <c r="AE58" s="45">
        <v>60.4</v>
      </c>
      <c r="AF58" s="45">
        <v>60.4</v>
      </c>
      <c r="AG58" s="54">
        <v>60</v>
      </c>
      <c r="AH58" s="47">
        <f t="shared" si="2"/>
        <v>61.7</v>
      </c>
      <c r="AI58" s="48">
        <f t="shared" si="3"/>
        <v>60.4</v>
      </c>
      <c r="AK58" s="49"/>
    </row>
    <row r="59" spans="1:41" x14ac:dyDescent="0.25">
      <c r="A59" s="53" t="s">
        <v>65</v>
      </c>
      <c r="B59" s="204"/>
      <c r="C59" s="65">
        <v>12</v>
      </c>
      <c r="D59" s="65">
        <v>0</v>
      </c>
      <c r="E59" s="65">
        <v>15</v>
      </c>
      <c r="F59" s="65">
        <v>22</v>
      </c>
      <c r="G59" s="56">
        <v>22</v>
      </c>
      <c r="H59" s="56">
        <v>15</v>
      </c>
      <c r="I59" s="56">
        <v>15</v>
      </c>
      <c r="J59" s="56">
        <v>15</v>
      </c>
      <c r="K59" s="56">
        <v>15</v>
      </c>
      <c r="L59" s="56">
        <v>10</v>
      </c>
      <c r="M59" s="65">
        <v>10</v>
      </c>
      <c r="N59" s="65">
        <v>10</v>
      </c>
      <c r="O59" s="65">
        <v>10</v>
      </c>
      <c r="P59" s="65">
        <v>12</v>
      </c>
      <c r="Q59" s="65">
        <v>10</v>
      </c>
      <c r="R59" s="65">
        <v>10</v>
      </c>
      <c r="S59" s="65">
        <v>10</v>
      </c>
      <c r="T59" s="65">
        <v>10</v>
      </c>
      <c r="U59" s="45">
        <v>15</v>
      </c>
      <c r="V59" s="45">
        <v>10</v>
      </c>
      <c r="W59" s="45">
        <v>10</v>
      </c>
      <c r="X59" s="45">
        <v>10</v>
      </c>
      <c r="Y59" s="45">
        <v>10</v>
      </c>
      <c r="Z59" s="45">
        <v>10</v>
      </c>
      <c r="AA59" s="45">
        <v>25</v>
      </c>
      <c r="AB59" s="45">
        <v>25</v>
      </c>
      <c r="AC59" s="45">
        <v>25</v>
      </c>
      <c r="AD59" s="45">
        <v>25</v>
      </c>
      <c r="AE59" s="45">
        <v>22</v>
      </c>
      <c r="AF59" s="45">
        <v>22</v>
      </c>
      <c r="AG59" s="54">
        <v>30</v>
      </c>
      <c r="AH59" s="47">
        <f t="shared" si="2"/>
        <v>25</v>
      </c>
      <c r="AI59" s="48">
        <f t="shared" si="3"/>
        <v>0</v>
      </c>
      <c r="AK59" s="49"/>
    </row>
    <row r="60" spans="1:41" x14ac:dyDescent="0.25">
      <c r="A60" s="53" t="s">
        <v>66</v>
      </c>
      <c r="B60" s="204"/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0.9</v>
      </c>
      <c r="J60" s="65">
        <v>2.2000000000000002</v>
      </c>
      <c r="K60" s="65">
        <v>4.4000000000000004</v>
      </c>
      <c r="L60" s="65">
        <v>5.5</v>
      </c>
      <c r="M60" s="65">
        <v>9.6</v>
      </c>
      <c r="N60" s="65">
        <v>9.6</v>
      </c>
      <c r="O60" s="65">
        <v>12</v>
      </c>
      <c r="P60" s="65">
        <v>16.399999999999999</v>
      </c>
      <c r="Q60" s="65">
        <v>17.940000000000001</v>
      </c>
      <c r="R60" s="65">
        <v>16.899999999999999</v>
      </c>
      <c r="S60" s="65">
        <v>16.899999999999999</v>
      </c>
      <c r="T60" s="65">
        <v>16.899999999999999</v>
      </c>
      <c r="U60" s="65">
        <v>16.899999999999999</v>
      </c>
      <c r="V60" s="65">
        <v>16.899999999999999</v>
      </c>
      <c r="W60" s="65">
        <v>16.899999999999999</v>
      </c>
      <c r="X60" s="65">
        <v>0</v>
      </c>
      <c r="Y60" s="65">
        <v>0</v>
      </c>
      <c r="Z60" s="6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17.940000000000001</v>
      </c>
      <c r="AI60" s="48">
        <f t="shared" si="3"/>
        <v>0</v>
      </c>
      <c r="AK60" s="49"/>
    </row>
    <row r="61" spans="1:41" x14ac:dyDescent="0.25">
      <c r="A61" s="53" t="s">
        <v>67</v>
      </c>
      <c r="B61" s="204"/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17</v>
      </c>
      <c r="N61" s="65">
        <v>17</v>
      </c>
      <c r="O61" s="65">
        <v>17</v>
      </c>
      <c r="P61" s="65">
        <v>17</v>
      </c>
      <c r="Q61" s="65">
        <v>17</v>
      </c>
      <c r="R61" s="65">
        <v>17</v>
      </c>
      <c r="S61" s="65">
        <v>17</v>
      </c>
      <c r="T61" s="65">
        <v>17</v>
      </c>
      <c r="U61" s="65">
        <v>17</v>
      </c>
      <c r="V61" s="65">
        <v>17</v>
      </c>
      <c r="W61" s="65">
        <v>17</v>
      </c>
      <c r="X61" s="65">
        <v>17</v>
      </c>
      <c r="Y61" s="65">
        <v>17</v>
      </c>
      <c r="Z61" s="65">
        <v>17</v>
      </c>
      <c r="AA61" s="65">
        <v>17</v>
      </c>
      <c r="AB61" s="65">
        <v>17</v>
      </c>
      <c r="AC61" s="65">
        <v>17</v>
      </c>
      <c r="AD61" s="65">
        <v>17</v>
      </c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17</v>
      </c>
      <c r="AK61" s="49"/>
    </row>
    <row r="62" spans="1:41" x14ac:dyDescent="0.25">
      <c r="A62" s="53" t="s">
        <v>68</v>
      </c>
      <c r="B62" s="204"/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0.5</v>
      </c>
      <c r="T62" s="65">
        <v>0.5</v>
      </c>
      <c r="U62" s="65">
        <v>1</v>
      </c>
      <c r="V62" s="65">
        <v>1</v>
      </c>
      <c r="W62" s="65">
        <v>1</v>
      </c>
      <c r="X62" s="65">
        <v>1</v>
      </c>
      <c r="Y62" s="65">
        <v>1</v>
      </c>
      <c r="Z62" s="65">
        <v>1</v>
      </c>
      <c r="AA62" s="65">
        <v>1</v>
      </c>
      <c r="AB62" s="65">
        <v>1</v>
      </c>
      <c r="AC62" s="65">
        <v>1</v>
      </c>
      <c r="AD62" s="65">
        <v>1</v>
      </c>
      <c r="AE62" s="65">
        <v>1</v>
      </c>
      <c r="AF62" s="65">
        <v>1</v>
      </c>
      <c r="AG62" s="54">
        <v>15</v>
      </c>
      <c r="AH62" s="47">
        <f t="shared" si="2"/>
        <v>1</v>
      </c>
      <c r="AI62" s="48">
        <f t="shared" si="3"/>
        <v>0</v>
      </c>
      <c r="AK62" s="49"/>
      <c r="AL62" s="70"/>
      <c r="AO62" s="70"/>
    </row>
    <row r="63" spans="1:41" s="70" customFormat="1" x14ac:dyDescent="0.25">
      <c r="A63" s="53" t="s">
        <v>69</v>
      </c>
      <c r="B63" s="204"/>
      <c r="C63" s="65">
        <v>12.9</v>
      </c>
      <c r="D63" s="65">
        <v>12.9</v>
      </c>
      <c r="E63" s="65">
        <v>12.9</v>
      </c>
      <c r="F63" s="65">
        <v>12.9</v>
      </c>
      <c r="G63" s="65">
        <v>12.9</v>
      </c>
      <c r="H63" s="65">
        <v>12.9</v>
      </c>
      <c r="I63" s="65">
        <v>12.9</v>
      </c>
      <c r="J63" s="65">
        <v>12.9</v>
      </c>
      <c r="K63" s="65">
        <v>12.9</v>
      </c>
      <c r="L63" s="65">
        <v>12.9</v>
      </c>
      <c r="M63" s="65">
        <v>12.9</v>
      </c>
      <c r="N63" s="65">
        <v>12.9</v>
      </c>
      <c r="O63" s="65">
        <v>12.9</v>
      </c>
      <c r="P63" s="65">
        <v>12.9</v>
      </c>
      <c r="Q63" s="65">
        <v>12.3</v>
      </c>
      <c r="R63" s="65">
        <v>12.4</v>
      </c>
      <c r="S63" s="65">
        <v>12.4</v>
      </c>
      <c r="T63" s="65">
        <v>12.4</v>
      </c>
      <c r="U63" s="65">
        <v>12.4</v>
      </c>
      <c r="V63" s="65">
        <v>12.4</v>
      </c>
      <c r="W63" s="65">
        <v>12.4</v>
      </c>
      <c r="X63" s="65">
        <v>12.4</v>
      </c>
      <c r="Y63" s="65">
        <v>12.4</v>
      </c>
      <c r="Z63" s="65">
        <v>12.4</v>
      </c>
      <c r="AA63" s="65">
        <v>12.4</v>
      </c>
      <c r="AB63" s="65">
        <v>12.4</v>
      </c>
      <c r="AC63" s="65">
        <v>12.4</v>
      </c>
      <c r="AD63" s="65">
        <v>12.4</v>
      </c>
      <c r="AE63" s="65">
        <v>12.4</v>
      </c>
      <c r="AF63" s="65">
        <v>12.4</v>
      </c>
      <c r="AG63" s="54">
        <v>14.1</v>
      </c>
      <c r="AH63" s="47">
        <f t="shared" si="2"/>
        <v>12.9</v>
      </c>
      <c r="AI63" s="48">
        <f t="shared" si="3"/>
        <v>12.3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204"/>
      <c r="C64" s="65">
        <v>7.2</v>
      </c>
      <c r="D64" s="65">
        <v>7.2</v>
      </c>
      <c r="E64" s="65">
        <v>7.2</v>
      </c>
      <c r="F64" s="65">
        <v>7.2</v>
      </c>
      <c r="G64" s="65">
        <v>7.2</v>
      </c>
      <c r="H64" s="65">
        <v>7.2</v>
      </c>
      <c r="I64" s="65">
        <v>7.2</v>
      </c>
      <c r="J64" s="65">
        <v>7.2</v>
      </c>
      <c r="K64" s="65">
        <v>7.2</v>
      </c>
      <c r="L64" s="65">
        <v>7.2</v>
      </c>
      <c r="M64" s="65">
        <v>11.2</v>
      </c>
      <c r="N64" s="65">
        <v>11.2</v>
      </c>
      <c r="O64" s="65">
        <v>11.2</v>
      </c>
      <c r="P64" s="65">
        <v>11.2</v>
      </c>
      <c r="Q64" s="65">
        <v>11</v>
      </c>
      <c r="R64" s="65">
        <v>10</v>
      </c>
      <c r="S64" s="65">
        <v>10</v>
      </c>
      <c r="T64" s="65">
        <v>10</v>
      </c>
      <c r="U64" s="65">
        <v>10</v>
      </c>
      <c r="V64" s="65">
        <v>10</v>
      </c>
      <c r="W64" s="65">
        <v>10</v>
      </c>
      <c r="X64" s="65">
        <v>10</v>
      </c>
      <c r="Y64" s="65">
        <v>10</v>
      </c>
      <c r="Z64" s="65">
        <v>10</v>
      </c>
      <c r="AA64" s="65">
        <v>10</v>
      </c>
      <c r="AB64" s="65">
        <v>10</v>
      </c>
      <c r="AC64" s="65">
        <v>10</v>
      </c>
      <c r="AD64" s="65">
        <v>10</v>
      </c>
      <c r="AE64" s="65">
        <v>10</v>
      </c>
      <c r="AF64" s="65">
        <v>10</v>
      </c>
      <c r="AG64" s="54">
        <v>14</v>
      </c>
      <c r="AH64" s="47">
        <f t="shared" si="2"/>
        <v>11.2</v>
      </c>
      <c r="AI64" s="48">
        <f t="shared" si="3"/>
        <v>7.2</v>
      </c>
      <c r="AK64" s="49"/>
    </row>
    <row r="65" spans="1:40" x14ac:dyDescent="0.25">
      <c r="A65" s="53" t="s">
        <v>71</v>
      </c>
      <c r="B65" s="205"/>
      <c r="C65" s="65">
        <v>6.3</v>
      </c>
      <c r="D65" s="65">
        <v>6.3</v>
      </c>
      <c r="E65" s="65">
        <v>6.3</v>
      </c>
      <c r="F65" s="65">
        <v>6.3</v>
      </c>
      <c r="G65" s="65">
        <v>6.3</v>
      </c>
      <c r="H65" s="65">
        <v>6.3</v>
      </c>
      <c r="I65" s="65">
        <v>6.3</v>
      </c>
      <c r="J65" s="65">
        <v>6.3</v>
      </c>
      <c r="K65" s="65">
        <v>6.3</v>
      </c>
      <c r="L65" s="65">
        <v>6.3</v>
      </c>
      <c r="M65" s="65">
        <v>6.3</v>
      </c>
      <c r="N65" s="65">
        <v>6.3</v>
      </c>
      <c r="O65" s="65">
        <v>6.3</v>
      </c>
      <c r="P65" s="65">
        <v>6.3</v>
      </c>
      <c r="Q65" s="65">
        <v>5.0999999999999996</v>
      </c>
      <c r="R65" s="65">
        <v>4.5</v>
      </c>
      <c r="S65" s="65">
        <v>4.5</v>
      </c>
      <c r="T65" s="65">
        <v>4.5</v>
      </c>
      <c r="U65" s="65">
        <v>4.5</v>
      </c>
      <c r="V65" s="65">
        <v>4.5</v>
      </c>
      <c r="W65" s="65">
        <v>4.5</v>
      </c>
      <c r="X65" s="65">
        <v>4.5</v>
      </c>
      <c r="Y65" s="65">
        <v>4.5</v>
      </c>
      <c r="Z65" s="65">
        <v>4.5</v>
      </c>
      <c r="AA65" s="65">
        <v>4.5</v>
      </c>
      <c r="AB65" s="65">
        <v>4.5</v>
      </c>
      <c r="AC65" s="65">
        <v>4.5</v>
      </c>
      <c r="AD65" s="65">
        <v>4.5</v>
      </c>
      <c r="AE65" s="65">
        <v>4.5</v>
      </c>
      <c r="AF65" s="65">
        <v>4.5</v>
      </c>
      <c r="AG65" s="54">
        <v>10.050000000000001</v>
      </c>
      <c r="AH65" s="47">
        <f t="shared" si="2"/>
        <v>6.3</v>
      </c>
      <c r="AI65" s="48">
        <f t="shared" si="3"/>
        <v>4.5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6">SUM(B55:B67)</f>
        <v>5.54</v>
      </c>
      <c r="C68" s="60">
        <f t="shared" si="6"/>
        <v>393.53999999999996</v>
      </c>
      <c r="D68" s="60">
        <f t="shared" si="6"/>
        <v>375.64</v>
      </c>
      <c r="E68" s="60">
        <f t="shared" si="6"/>
        <v>363.24</v>
      </c>
      <c r="F68" s="60">
        <f t="shared" si="6"/>
        <v>383.64000000000004</v>
      </c>
      <c r="G68" s="60">
        <f t="shared" si="6"/>
        <v>395.94</v>
      </c>
      <c r="H68" s="60">
        <f t="shared" si="6"/>
        <v>400.44</v>
      </c>
      <c r="I68" s="60">
        <f t="shared" si="6"/>
        <v>387.43999999999994</v>
      </c>
      <c r="J68" s="60">
        <f t="shared" si="6"/>
        <v>375.64</v>
      </c>
      <c r="K68" s="60">
        <f t="shared" si="6"/>
        <v>373.34</v>
      </c>
      <c r="L68" s="60">
        <f t="shared" si="6"/>
        <v>360.44</v>
      </c>
      <c r="M68" s="60">
        <f t="shared" si="6"/>
        <v>347.54</v>
      </c>
      <c r="N68" s="60">
        <f t="shared" si="6"/>
        <v>348.34000000000003</v>
      </c>
      <c r="O68" s="60">
        <f t="shared" si="6"/>
        <v>363.74</v>
      </c>
      <c r="P68" s="60">
        <f t="shared" si="6"/>
        <v>425.43999999999994</v>
      </c>
      <c r="Q68" s="60">
        <f t="shared" si="6"/>
        <v>422.78000000000003</v>
      </c>
      <c r="R68" s="60">
        <f t="shared" si="6"/>
        <v>419.23999999999995</v>
      </c>
      <c r="S68" s="60">
        <f t="shared" si="6"/>
        <v>419.94</v>
      </c>
      <c r="T68" s="60">
        <f t="shared" si="6"/>
        <v>399.53999999999996</v>
      </c>
      <c r="U68" s="60">
        <f t="shared" si="6"/>
        <v>415.73999999999995</v>
      </c>
      <c r="V68" s="60">
        <f>SUM(V55:V67)</f>
        <v>385.73999999999995</v>
      </c>
      <c r="W68" s="60">
        <f>SUM(W55:W67)</f>
        <v>385.73999999999995</v>
      </c>
      <c r="X68" s="60">
        <f>SUM(X55:X67)</f>
        <v>368.84</v>
      </c>
      <c r="Y68" s="60">
        <f t="shared" si="6"/>
        <v>393.43999999999994</v>
      </c>
      <c r="Z68" s="60">
        <f t="shared" si="6"/>
        <v>402.23999999999995</v>
      </c>
      <c r="AA68" s="60">
        <v>408.23999999999995</v>
      </c>
      <c r="AB68" s="60">
        <f t="shared" si="6"/>
        <v>398.73999999999995</v>
      </c>
      <c r="AC68" s="60">
        <f t="shared" si="6"/>
        <v>398.23999999999995</v>
      </c>
      <c r="AD68" s="60">
        <f t="shared" si="6"/>
        <v>389.34</v>
      </c>
      <c r="AE68" s="60">
        <f t="shared" si="6"/>
        <v>377.34</v>
      </c>
      <c r="AF68" s="60">
        <f t="shared" si="6"/>
        <v>349.34</v>
      </c>
      <c r="AG68" s="61">
        <f t="shared" si="6"/>
        <v>489.91</v>
      </c>
      <c r="AH68" s="47">
        <f t="shared" si="2"/>
        <v>425.43999999999994</v>
      </c>
      <c r="AI68" s="48">
        <f t="shared" si="3"/>
        <v>5.54</v>
      </c>
      <c r="AK68" s="49"/>
    </row>
    <row r="69" spans="1:40" x14ac:dyDescent="0.25">
      <c r="A69" s="44" t="s">
        <v>75</v>
      </c>
      <c r="B69" s="45"/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30.5</v>
      </c>
      <c r="M69" s="45">
        <v>19.899999999999999</v>
      </c>
      <c r="N69" s="45">
        <v>30</v>
      </c>
      <c r="O69" s="45">
        <v>54.8</v>
      </c>
      <c r="P69" s="45">
        <v>39.700000000000003</v>
      </c>
      <c r="Q69" s="45">
        <v>49.9</v>
      </c>
      <c r="R69" s="45">
        <v>58.1</v>
      </c>
      <c r="S69" s="45">
        <v>50</v>
      </c>
      <c r="T69" s="45">
        <v>60</v>
      </c>
      <c r="U69" s="45">
        <v>30</v>
      </c>
      <c r="V69" s="45">
        <v>30</v>
      </c>
      <c r="W69" s="45">
        <v>30</v>
      </c>
      <c r="X69" s="45">
        <v>0</v>
      </c>
      <c r="Y69" s="45">
        <v>0</v>
      </c>
      <c r="Z69" s="45">
        <v>30</v>
      </c>
      <c r="AA69" s="45">
        <v>35</v>
      </c>
      <c r="AB69" s="45">
        <v>50.7</v>
      </c>
      <c r="AC69" s="45">
        <v>50.6</v>
      </c>
      <c r="AD69" s="45">
        <v>40</v>
      </c>
      <c r="AE69" s="45">
        <v>40</v>
      </c>
      <c r="AF69" s="45">
        <v>14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45"/>
      <c r="C70" s="45">
        <v>5.3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11.9</v>
      </c>
      <c r="M70" s="65">
        <v>10.4</v>
      </c>
      <c r="N70" s="65">
        <v>14.3</v>
      </c>
      <c r="O70" s="65">
        <v>23</v>
      </c>
      <c r="P70" s="65">
        <v>16.3</v>
      </c>
      <c r="Q70" s="65">
        <v>23.6</v>
      </c>
      <c r="R70" s="65">
        <v>27</v>
      </c>
      <c r="S70" s="65">
        <v>18.3</v>
      </c>
      <c r="T70" s="65">
        <v>30.4</v>
      </c>
      <c r="U70" s="65">
        <v>15</v>
      </c>
      <c r="V70" s="65">
        <v>14</v>
      </c>
      <c r="W70" s="65">
        <v>14</v>
      </c>
      <c r="X70" s="65">
        <v>6.7</v>
      </c>
      <c r="Y70" s="65">
        <v>0</v>
      </c>
      <c r="Z70" s="65">
        <v>0</v>
      </c>
      <c r="AA70" s="65">
        <v>17.3</v>
      </c>
      <c r="AB70" s="65">
        <v>23.8</v>
      </c>
      <c r="AC70" s="65">
        <v>23.9</v>
      </c>
      <c r="AD70" s="65">
        <v>24</v>
      </c>
      <c r="AE70" s="65">
        <v>17</v>
      </c>
      <c r="AF70" s="65">
        <v>7</v>
      </c>
      <c r="AG70" s="54">
        <v>32</v>
      </c>
      <c r="AH70" s="47">
        <f t="shared" si="2"/>
        <v>30.4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/>
      <c r="C71" s="45">
        <v>1.9</v>
      </c>
      <c r="D71" s="67">
        <v>0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4.4000000000000004</v>
      </c>
      <c r="M71" s="67">
        <v>3.3</v>
      </c>
      <c r="N71" s="67">
        <v>5.2</v>
      </c>
      <c r="O71" s="67">
        <v>8.4</v>
      </c>
      <c r="P71" s="67">
        <v>6</v>
      </c>
      <c r="Q71" s="67">
        <v>8.6</v>
      </c>
      <c r="R71" s="67">
        <v>9.9</v>
      </c>
      <c r="S71" s="67">
        <v>6.7</v>
      </c>
      <c r="T71" s="67">
        <v>11.1</v>
      </c>
      <c r="U71" s="67">
        <v>5.4</v>
      </c>
      <c r="V71" s="67">
        <v>5</v>
      </c>
      <c r="W71" s="67">
        <v>5</v>
      </c>
      <c r="X71" s="67">
        <v>2.2999999999999998</v>
      </c>
      <c r="Y71" s="67">
        <v>0</v>
      </c>
      <c r="Z71" s="67">
        <v>0</v>
      </c>
      <c r="AA71" s="67">
        <v>6.3</v>
      </c>
      <c r="AB71" s="67">
        <v>8.4</v>
      </c>
      <c r="AC71" s="67">
        <v>8.4</v>
      </c>
      <c r="AD71" s="67">
        <v>8.6</v>
      </c>
      <c r="AE71" s="67">
        <v>6.3</v>
      </c>
      <c r="AF71" s="67">
        <v>3</v>
      </c>
      <c r="AG71" s="68">
        <v>14</v>
      </c>
      <c r="AH71" s="47">
        <f t="shared" si="2"/>
        <v>11.1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46.8</v>
      </c>
      <c r="M72" s="60">
        <f t="shared" ref="M72:AF72" si="7">M69+M70+M71</f>
        <v>33.599999999999994</v>
      </c>
      <c r="N72" s="60">
        <f t="shared" si="7"/>
        <v>49.5</v>
      </c>
      <c r="O72" s="60">
        <f t="shared" si="7"/>
        <v>86.2</v>
      </c>
      <c r="P72" s="60">
        <f t="shared" si="7"/>
        <v>62</v>
      </c>
      <c r="Q72" s="60">
        <f t="shared" si="7"/>
        <v>82.1</v>
      </c>
      <c r="R72" s="60">
        <f t="shared" si="7"/>
        <v>95</v>
      </c>
      <c r="S72" s="60">
        <f t="shared" si="7"/>
        <v>75</v>
      </c>
      <c r="T72" s="60">
        <f t="shared" si="7"/>
        <v>101.5</v>
      </c>
      <c r="U72" s="60">
        <f t="shared" si="7"/>
        <v>50.4</v>
      </c>
      <c r="V72" s="60">
        <f>V69+V70+V71</f>
        <v>49</v>
      </c>
      <c r="W72" s="60">
        <f>W69+W70+W71</f>
        <v>49</v>
      </c>
      <c r="X72" s="60">
        <f>X69+X70+X71</f>
        <v>9</v>
      </c>
      <c r="Y72" s="60">
        <f t="shared" si="7"/>
        <v>0</v>
      </c>
      <c r="Z72" s="60">
        <f t="shared" si="7"/>
        <v>30</v>
      </c>
      <c r="AA72" s="60">
        <v>58.599999999999994</v>
      </c>
      <c r="AB72" s="60">
        <f t="shared" si="7"/>
        <v>82.9</v>
      </c>
      <c r="AC72" s="60">
        <f t="shared" si="7"/>
        <v>82.9</v>
      </c>
      <c r="AD72" s="60">
        <f t="shared" si="7"/>
        <v>72.599999999999994</v>
      </c>
      <c r="AE72" s="60">
        <f t="shared" si="7"/>
        <v>63.3</v>
      </c>
      <c r="AF72" s="60">
        <f t="shared" si="7"/>
        <v>24</v>
      </c>
      <c r="AG72" s="61">
        <f>SUM(AG69:AG71)</f>
        <v>106</v>
      </c>
      <c r="AH72" s="47">
        <f t="shared" si="2"/>
        <v>101.5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65</v>
      </c>
      <c r="C73" s="45">
        <v>54.1</v>
      </c>
      <c r="D73" s="45">
        <v>64.900000000000006</v>
      </c>
      <c r="E73" s="45">
        <v>54.8</v>
      </c>
      <c r="F73" s="45">
        <v>48.7</v>
      </c>
      <c r="G73" s="45">
        <v>45.1</v>
      </c>
      <c r="H73" s="45">
        <v>50.7</v>
      </c>
      <c r="I73" s="45">
        <v>48.4</v>
      </c>
      <c r="J73" s="45">
        <v>49</v>
      </c>
      <c r="K73" s="45">
        <v>45</v>
      </c>
      <c r="L73" s="45">
        <v>40</v>
      </c>
      <c r="M73" s="45">
        <v>58</v>
      </c>
      <c r="N73" s="45">
        <v>54.3</v>
      </c>
      <c r="O73" s="45">
        <v>53.1</v>
      </c>
      <c r="P73" s="45">
        <v>56.3</v>
      </c>
      <c r="Q73" s="45">
        <v>57</v>
      </c>
      <c r="R73" s="45">
        <v>56.7</v>
      </c>
      <c r="S73" s="45">
        <v>57.4</v>
      </c>
      <c r="T73" s="45">
        <v>56.7</v>
      </c>
      <c r="U73" s="45">
        <v>71</v>
      </c>
      <c r="V73" s="45">
        <v>60</v>
      </c>
      <c r="W73" s="45">
        <v>65</v>
      </c>
      <c r="X73" s="45">
        <v>63</v>
      </c>
      <c r="Y73" s="45">
        <v>61.4</v>
      </c>
      <c r="Z73" s="45">
        <v>60.1</v>
      </c>
      <c r="AA73" s="45">
        <v>56.8</v>
      </c>
      <c r="AB73" s="45">
        <v>57.6</v>
      </c>
      <c r="AC73" s="45">
        <v>57.6</v>
      </c>
      <c r="AD73" s="45">
        <v>58</v>
      </c>
      <c r="AE73" s="45">
        <v>62</v>
      </c>
      <c r="AF73" s="45">
        <v>62.3</v>
      </c>
      <c r="AG73" s="51"/>
      <c r="AH73" s="47">
        <f t="shared" si="2"/>
        <v>71</v>
      </c>
      <c r="AI73" s="48">
        <f t="shared" si="3"/>
        <v>40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113</v>
      </c>
      <c r="C75" s="65">
        <v>28.9</v>
      </c>
      <c r="D75" s="65">
        <v>30.7</v>
      </c>
      <c r="E75" s="65">
        <v>65</v>
      </c>
      <c r="F75" s="65">
        <v>102</v>
      </c>
      <c r="G75" s="65">
        <v>205.5</v>
      </c>
      <c r="H75" s="65">
        <v>195.2</v>
      </c>
      <c r="I75" s="65">
        <v>195.7</v>
      </c>
      <c r="J75" s="65">
        <v>239.1</v>
      </c>
      <c r="K75" s="65">
        <v>245</v>
      </c>
      <c r="L75" s="65">
        <v>311</v>
      </c>
      <c r="M75" s="65">
        <v>356.4</v>
      </c>
      <c r="N75" s="65">
        <v>350.9</v>
      </c>
      <c r="O75" s="65">
        <v>340</v>
      </c>
      <c r="P75" s="65">
        <v>392.5</v>
      </c>
      <c r="Q75" s="65">
        <v>317</v>
      </c>
      <c r="R75" s="65">
        <v>315</v>
      </c>
      <c r="S75" s="65">
        <v>300</v>
      </c>
      <c r="T75" s="65">
        <v>260</v>
      </c>
      <c r="U75" s="65">
        <v>265</v>
      </c>
      <c r="V75" s="65">
        <v>281</v>
      </c>
      <c r="W75" s="65">
        <v>260</v>
      </c>
      <c r="X75" s="65">
        <v>239</v>
      </c>
      <c r="Y75" s="65">
        <v>190</v>
      </c>
      <c r="Z75" s="65">
        <v>187</v>
      </c>
      <c r="AA75" s="65">
        <v>0</v>
      </c>
      <c r="AB75" s="65">
        <v>10</v>
      </c>
      <c r="AC75" s="65">
        <v>1</v>
      </c>
      <c r="AD75" s="65">
        <v>9.9</v>
      </c>
      <c r="AE75" s="65">
        <v>0</v>
      </c>
      <c r="AF75" s="65">
        <v>0</v>
      </c>
      <c r="AG75" s="75"/>
      <c r="AH75" s="47">
        <f t="shared" si="2"/>
        <v>392.5</v>
      </c>
      <c r="AI75" s="48">
        <f t="shared" si="3"/>
        <v>0</v>
      </c>
      <c r="AK75" s="49"/>
    </row>
    <row r="76" spans="1:40" x14ac:dyDescent="0.25">
      <c r="A76" s="53" t="s">
        <v>82</v>
      </c>
      <c r="B76" s="65">
        <v>0</v>
      </c>
      <c r="C76" s="65">
        <v>13</v>
      </c>
      <c r="D76" s="65">
        <v>12</v>
      </c>
      <c r="E76" s="76">
        <v>12</v>
      </c>
      <c r="F76" s="76">
        <v>10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25.3</v>
      </c>
      <c r="O76" s="76">
        <v>26</v>
      </c>
      <c r="P76" s="76">
        <v>26.3</v>
      </c>
      <c r="Q76" s="76">
        <v>26.3</v>
      </c>
      <c r="R76" s="76">
        <v>29.4</v>
      </c>
      <c r="S76" s="76">
        <v>30.1</v>
      </c>
      <c r="T76" s="76">
        <v>26.5</v>
      </c>
      <c r="U76" s="76">
        <v>27</v>
      </c>
      <c r="V76" s="76">
        <v>30.5</v>
      </c>
      <c r="W76" s="76">
        <v>30.5</v>
      </c>
      <c r="X76" s="76">
        <v>30.5</v>
      </c>
      <c r="Y76" s="76">
        <v>25.3</v>
      </c>
      <c r="Z76" s="76">
        <v>25.3</v>
      </c>
      <c r="AA76" s="76">
        <v>25.3</v>
      </c>
      <c r="AB76" s="76">
        <v>26.1</v>
      </c>
      <c r="AC76" s="76">
        <v>26</v>
      </c>
      <c r="AD76" s="76">
        <v>26</v>
      </c>
      <c r="AE76" s="76">
        <v>26</v>
      </c>
      <c r="AF76" s="76">
        <v>-5</v>
      </c>
      <c r="AG76" s="75"/>
      <c r="AH76" s="47">
        <f t="shared" si="2"/>
        <v>30.5</v>
      </c>
      <c r="AI76" s="48">
        <f t="shared" si="3"/>
        <v>-5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6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35</v>
      </c>
      <c r="U77" s="45">
        <v>32</v>
      </c>
      <c r="V77" s="45">
        <v>24</v>
      </c>
      <c r="W77" s="45">
        <v>24</v>
      </c>
      <c r="X77" s="45">
        <v>24</v>
      </c>
      <c r="Y77" s="45">
        <v>24.5</v>
      </c>
      <c r="Z77" s="45">
        <v>24.5</v>
      </c>
      <c r="AA77" s="45">
        <v>24.5</v>
      </c>
      <c r="AB77" s="45">
        <v>23.6</v>
      </c>
      <c r="AC77" s="45">
        <v>23.8</v>
      </c>
      <c r="AD77" s="45">
        <v>23.3</v>
      </c>
      <c r="AE77" s="45">
        <v>23.3</v>
      </c>
      <c r="AF77" s="45">
        <v>25.7</v>
      </c>
      <c r="AG77" s="75"/>
      <c r="AH77" s="47">
        <f t="shared" ref="AH77:AH120" si="8">MAX(B77:AF77)</f>
        <v>35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45">
        <v>5</v>
      </c>
      <c r="C78" s="45">
        <v>5</v>
      </c>
      <c r="D78" s="65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25.1</v>
      </c>
      <c r="AD78" s="77">
        <v>23.6</v>
      </c>
      <c r="AE78" s="77">
        <v>23.6</v>
      </c>
      <c r="AF78" s="77">
        <v>24.8</v>
      </c>
      <c r="AG78" s="75"/>
      <c r="AH78" s="47">
        <f t="shared" si="8"/>
        <v>25.1</v>
      </c>
      <c r="AI78" s="48">
        <f t="shared" si="9"/>
        <v>5</v>
      </c>
      <c r="AK78" s="49"/>
    </row>
    <row r="79" spans="1:40" ht="15.75" thickBot="1" x14ac:dyDescent="0.3">
      <c r="A79" s="53" t="s">
        <v>85</v>
      </c>
      <c r="B79" s="45">
        <v>0</v>
      </c>
      <c r="C79" s="45">
        <v>0</v>
      </c>
      <c r="D79" s="65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5</v>
      </c>
      <c r="R79" s="77">
        <v>5</v>
      </c>
      <c r="S79" s="77">
        <v>5</v>
      </c>
      <c r="T79" s="77">
        <v>5</v>
      </c>
      <c r="U79" s="77">
        <v>5</v>
      </c>
      <c r="V79" s="77">
        <v>5</v>
      </c>
      <c r="W79" s="77">
        <v>5</v>
      </c>
      <c r="X79" s="77">
        <v>5</v>
      </c>
      <c r="Y79" s="77">
        <v>5</v>
      </c>
      <c r="Z79" s="77">
        <v>5</v>
      </c>
      <c r="AA79" s="77">
        <v>5</v>
      </c>
      <c r="AB79" s="77">
        <v>5</v>
      </c>
      <c r="AC79" s="77">
        <v>5</v>
      </c>
      <c r="AD79" s="77">
        <v>5</v>
      </c>
      <c r="AE79" s="77">
        <v>5</v>
      </c>
      <c r="AF79" s="77">
        <v>5</v>
      </c>
      <c r="AG79" s="75"/>
      <c r="AH79" s="47">
        <f t="shared" si="8"/>
        <v>5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0</v>
      </c>
      <c r="C80" s="45">
        <v>0</v>
      </c>
      <c r="D80" s="65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8</v>
      </c>
      <c r="C81" s="45">
        <v>8</v>
      </c>
      <c r="D81" s="65">
        <v>2.5</v>
      </c>
      <c r="E81" s="77">
        <v>2.5</v>
      </c>
      <c r="F81" s="77">
        <v>2.5</v>
      </c>
      <c r="G81" s="77">
        <v>2.5</v>
      </c>
      <c r="H81" s="77">
        <v>2.5</v>
      </c>
      <c r="I81" s="77">
        <v>2.5</v>
      </c>
      <c r="J81" s="77">
        <v>2.5</v>
      </c>
      <c r="K81" s="77">
        <v>2.5</v>
      </c>
      <c r="L81" s="77">
        <v>2.5</v>
      </c>
      <c r="M81" s="77">
        <v>2.5</v>
      </c>
      <c r="N81" s="77">
        <v>2.5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8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>
        <v>0</v>
      </c>
      <c r="C82" s="4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>
        <v>0</v>
      </c>
      <c r="C83" s="4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 t="shared" ref="B84:AF84" si="10">SUMIF(B73:B83,"&gt;0")</f>
        <v>191</v>
      </c>
      <c r="C84" s="60">
        <f t="shared" si="10"/>
        <v>109</v>
      </c>
      <c r="D84" s="60">
        <f t="shared" si="10"/>
        <v>115.10000000000001</v>
      </c>
      <c r="E84" s="60">
        <f t="shared" si="10"/>
        <v>139.30000000000001</v>
      </c>
      <c r="F84" s="60">
        <f t="shared" si="10"/>
        <v>168.2</v>
      </c>
      <c r="G84" s="60">
        <f t="shared" si="10"/>
        <v>268.10000000000002</v>
      </c>
      <c r="H84" s="60">
        <f t="shared" si="10"/>
        <v>263.39999999999998</v>
      </c>
      <c r="I84" s="60">
        <f t="shared" si="10"/>
        <v>261.60000000000002</v>
      </c>
      <c r="J84" s="60">
        <f t="shared" si="10"/>
        <v>305.60000000000002</v>
      </c>
      <c r="K84" s="60">
        <f t="shared" si="10"/>
        <v>307.5</v>
      </c>
      <c r="L84" s="60">
        <f t="shared" si="10"/>
        <v>368.5</v>
      </c>
      <c r="M84" s="60">
        <f t="shared" si="10"/>
        <v>431.9</v>
      </c>
      <c r="N84" s="60">
        <f t="shared" si="10"/>
        <v>438</v>
      </c>
      <c r="O84" s="60">
        <f t="shared" si="10"/>
        <v>424.1</v>
      </c>
      <c r="P84" s="60">
        <f t="shared" si="10"/>
        <v>480.1</v>
      </c>
      <c r="Q84" s="60">
        <f t="shared" si="10"/>
        <v>410.3</v>
      </c>
      <c r="R84" s="60">
        <f t="shared" si="10"/>
        <v>411.09999999999997</v>
      </c>
      <c r="S84" s="60">
        <f t="shared" si="10"/>
        <v>397.5</v>
      </c>
      <c r="T84" s="60">
        <f t="shared" si="10"/>
        <v>388.2</v>
      </c>
      <c r="U84" s="60">
        <f t="shared" si="10"/>
        <v>405</v>
      </c>
      <c r="V84" s="60">
        <f>SUMIF(V73:V83,"&gt;0")</f>
        <v>405.5</v>
      </c>
      <c r="W84" s="60">
        <f>SUMIF(W73:W83,"&gt;0")</f>
        <v>389.5</v>
      </c>
      <c r="X84" s="60">
        <f>SUMIF(X73:X83,"&gt;0")</f>
        <v>366.5</v>
      </c>
      <c r="Y84" s="60">
        <f t="shared" si="10"/>
        <v>311.2</v>
      </c>
      <c r="Z84" s="60">
        <f t="shared" si="10"/>
        <v>306.89999999999998</v>
      </c>
      <c r="AA84" s="60">
        <v>116.6</v>
      </c>
      <c r="AB84" s="60">
        <f t="shared" si="10"/>
        <v>127.29999999999998</v>
      </c>
      <c r="AC84" s="60">
        <f t="shared" si="10"/>
        <v>138.5</v>
      </c>
      <c r="AD84" s="60">
        <f t="shared" si="10"/>
        <v>145.80000000000001</v>
      </c>
      <c r="AE84" s="60">
        <f t="shared" si="10"/>
        <v>139.9</v>
      </c>
      <c r="AF84" s="60">
        <f t="shared" si="10"/>
        <v>117.8</v>
      </c>
      <c r="AG84" s="88">
        <f>SUM(AG73:AG83)</f>
        <v>0</v>
      </c>
      <c r="AH84" s="47">
        <f t="shared" si="8"/>
        <v>480.1</v>
      </c>
      <c r="AI84" s="48">
        <f t="shared" si="9"/>
        <v>109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>
        <v>0</v>
      </c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 t="shared" ref="B89:AG89" si="11">B50+B54+B72+B68+B84+B88</f>
        <v>973.54</v>
      </c>
      <c r="C89" s="95">
        <f t="shared" si="11"/>
        <v>1620.3400000000001</v>
      </c>
      <c r="D89" s="95">
        <f t="shared" si="11"/>
        <v>1609.3400000000001</v>
      </c>
      <c r="E89" s="95">
        <f t="shared" si="11"/>
        <v>1593.94</v>
      </c>
      <c r="F89" s="95">
        <f t="shared" si="11"/>
        <v>1626.2400000000002</v>
      </c>
      <c r="G89" s="95">
        <f t="shared" si="11"/>
        <v>1620.04</v>
      </c>
      <c r="H89" s="95">
        <f t="shared" si="11"/>
        <v>1589.94</v>
      </c>
      <c r="I89" s="95">
        <f t="shared" si="11"/>
        <v>1587.04</v>
      </c>
      <c r="J89" s="95">
        <f t="shared" si="11"/>
        <v>1586.2400000000002</v>
      </c>
      <c r="K89" s="95">
        <f t="shared" si="11"/>
        <v>1625.94</v>
      </c>
      <c r="L89" s="95">
        <f t="shared" si="11"/>
        <v>1650.74</v>
      </c>
      <c r="M89" s="95">
        <f t="shared" si="11"/>
        <v>1703.7400000000002</v>
      </c>
      <c r="N89" s="95">
        <f t="shared" si="11"/>
        <v>1658.04</v>
      </c>
      <c r="O89" s="95">
        <f t="shared" si="11"/>
        <v>1719.7600000000002</v>
      </c>
      <c r="P89" s="95">
        <f t="shared" si="11"/>
        <v>1786.2399999999998</v>
      </c>
      <c r="Q89" s="95">
        <f t="shared" si="11"/>
        <v>1817.58</v>
      </c>
      <c r="R89" s="95">
        <f t="shared" si="11"/>
        <v>1862.54</v>
      </c>
      <c r="S89" s="95">
        <f t="shared" si="11"/>
        <v>1799.64</v>
      </c>
      <c r="T89" s="95">
        <f t="shared" si="11"/>
        <v>1796.44</v>
      </c>
      <c r="U89" s="95">
        <f t="shared" si="11"/>
        <v>1808.34</v>
      </c>
      <c r="V89" s="95">
        <f>V50+V54+V72+V68+V84+V88</f>
        <v>1757.44</v>
      </c>
      <c r="W89" s="95">
        <f>W50+W54+W72+W68+W84+W88</f>
        <v>1711.44</v>
      </c>
      <c r="X89" s="95">
        <f>X50+X54+X72+X68+X84+X88</f>
        <v>1631.54</v>
      </c>
      <c r="Y89" s="95">
        <f t="shared" si="11"/>
        <v>1701.84</v>
      </c>
      <c r="Z89" s="95">
        <f t="shared" si="11"/>
        <v>1736.3400000000001</v>
      </c>
      <c r="AA89" s="95">
        <v>1765.7399999999998</v>
      </c>
      <c r="AB89" s="95">
        <f t="shared" si="11"/>
        <v>1752.6399999999999</v>
      </c>
      <c r="AC89" s="95">
        <f t="shared" si="11"/>
        <v>1764.9400000000003</v>
      </c>
      <c r="AD89" s="95">
        <f t="shared" si="11"/>
        <v>1753.04</v>
      </c>
      <c r="AE89" s="95">
        <f t="shared" si="11"/>
        <v>1725.8400000000001</v>
      </c>
      <c r="AF89" s="95">
        <f t="shared" si="11"/>
        <v>1676.44</v>
      </c>
      <c r="AG89" s="61">
        <f t="shared" si="11"/>
        <v>2111.5500000000002</v>
      </c>
      <c r="AH89" s="47">
        <f t="shared" si="8"/>
        <v>1862.54</v>
      </c>
      <c r="AI89" s="48">
        <f t="shared" si="9"/>
        <v>973.54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>
        <v>40</v>
      </c>
      <c r="K90" s="97">
        <v>60</v>
      </c>
      <c r="L90" s="97">
        <v>60</v>
      </c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>
        <v>150</v>
      </c>
      <c r="Z90" s="97">
        <v>150</v>
      </c>
      <c r="AA90" s="97">
        <v>180</v>
      </c>
      <c r="AB90" s="97">
        <v>150</v>
      </c>
      <c r="AC90" s="97">
        <v>150</v>
      </c>
      <c r="AD90" s="97">
        <v>150</v>
      </c>
      <c r="AE90" s="97"/>
      <c r="AF90" s="97"/>
      <c r="AG90" s="88"/>
      <c r="AH90" s="47">
        <f t="shared" si="8"/>
        <v>180</v>
      </c>
      <c r="AI90" s="48">
        <f t="shared" si="9"/>
        <v>40</v>
      </c>
    </row>
    <row r="91" spans="1:40" ht="15.75" thickBot="1" x14ac:dyDescent="0.3">
      <c r="A91" s="74" t="s">
        <v>100</v>
      </c>
      <c r="B91" s="95">
        <f t="shared" ref="B91:AF91" si="12">B89+B90</f>
        <v>973.54</v>
      </c>
      <c r="C91" s="95">
        <f t="shared" si="12"/>
        <v>1620.3400000000001</v>
      </c>
      <c r="D91" s="95">
        <f t="shared" si="12"/>
        <v>1609.3400000000001</v>
      </c>
      <c r="E91" s="95">
        <f t="shared" si="12"/>
        <v>1593.94</v>
      </c>
      <c r="F91" s="95">
        <f t="shared" si="12"/>
        <v>1626.2400000000002</v>
      </c>
      <c r="G91" s="95">
        <f t="shared" si="12"/>
        <v>1620.04</v>
      </c>
      <c r="H91" s="95">
        <f t="shared" si="12"/>
        <v>1589.94</v>
      </c>
      <c r="I91" s="95">
        <f t="shared" si="12"/>
        <v>1587.04</v>
      </c>
      <c r="J91" s="95">
        <f t="shared" si="12"/>
        <v>1626.2400000000002</v>
      </c>
      <c r="K91" s="95">
        <f t="shared" si="12"/>
        <v>1685.94</v>
      </c>
      <c r="L91" s="95">
        <f t="shared" si="12"/>
        <v>1710.74</v>
      </c>
      <c r="M91" s="95">
        <f t="shared" si="12"/>
        <v>1703.7400000000002</v>
      </c>
      <c r="N91" s="95">
        <f t="shared" si="12"/>
        <v>1658.04</v>
      </c>
      <c r="O91" s="95">
        <f t="shared" si="12"/>
        <v>1719.7600000000002</v>
      </c>
      <c r="P91" s="95">
        <f t="shared" si="12"/>
        <v>1786.2399999999998</v>
      </c>
      <c r="Q91" s="95">
        <f t="shared" si="12"/>
        <v>1817.58</v>
      </c>
      <c r="R91" s="95">
        <f t="shared" si="12"/>
        <v>1862.54</v>
      </c>
      <c r="S91" s="95">
        <f t="shared" si="12"/>
        <v>1799.64</v>
      </c>
      <c r="T91" s="95">
        <f t="shared" si="12"/>
        <v>1796.44</v>
      </c>
      <c r="U91" s="95">
        <f t="shared" si="12"/>
        <v>1808.34</v>
      </c>
      <c r="V91" s="95">
        <f>V89+V90</f>
        <v>1757.44</v>
      </c>
      <c r="W91" s="95">
        <f>W89+W90</f>
        <v>1711.44</v>
      </c>
      <c r="X91" s="95">
        <f>X89+X90</f>
        <v>1631.54</v>
      </c>
      <c r="Y91" s="95">
        <f t="shared" si="12"/>
        <v>1851.84</v>
      </c>
      <c r="Z91" s="95">
        <f t="shared" si="12"/>
        <v>1886.3400000000001</v>
      </c>
      <c r="AA91" s="95">
        <v>1945.7399999999998</v>
      </c>
      <c r="AB91" s="95">
        <f t="shared" si="12"/>
        <v>1902.6399999999999</v>
      </c>
      <c r="AC91" s="95">
        <f t="shared" si="12"/>
        <v>1914.9400000000003</v>
      </c>
      <c r="AD91" s="95">
        <f t="shared" si="12"/>
        <v>1903.04</v>
      </c>
      <c r="AE91" s="95">
        <f t="shared" si="12"/>
        <v>1725.8400000000001</v>
      </c>
      <c r="AF91" s="95">
        <f t="shared" si="12"/>
        <v>1676.44</v>
      </c>
      <c r="AG91" s="88">
        <f>AG88+AG84+AG72+AG68+AG50+AG90</f>
        <v>1573.45</v>
      </c>
      <c r="AH91" s="47">
        <f t="shared" si="8"/>
        <v>1945.7399999999998</v>
      </c>
      <c r="AI91" s="48">
        <f t="shared" si="9"/>
        <v>973.54</v>
      </c>
    </row>
    <row r="92" spans="1:40" ht="15.75" thickBot="1" x14ac:dyDescent="0.3">
      <c r="A92" s="74" t="s">
        <v>101</v>
      </c>
      <c r="B92" s="95">
        <f t="shared" ref="B92:AF92" si="13">B91-B99</f>
        <v>973.54</v>
      </c>
      <c r="C92" s="95">
        <f t="shared" si="13"/>
        <v>1620.3400000000001</v>
      </c>
      <c r="D92" s="95">
        <f t="shared" si="13"/>
        <v>1609.3400000000001</v>
      </c>
      <c r="E92" s="95">
        <f t="shared" si="13"/>
        <v>1593.94</v>
      </c>
      <c r="F92" s="95">
        <f t="shared" si="13"/>
        <v>1626.2400000000002</v>
      </c>
      <c r="G92" s="95">
        <f t="shared" si="13"/>
        <v>1620.04</v>
      </c>
      <c r="H92" s="95">
        <f t="shared" si="13"/>
        <v>1589.94</v>
      </c>
      <c r="I92" s="95">
        <f t="shared" si="13"/>
        <v>1587.04</v>
      </c>
      <c r="J92" s="95">
        <f t="shared" si="13"/>
        <v>1626.2400000000002</v>
      </c>
      <c r="K92" s="95">
        <f t="shared" si="13"/>
        <v>1685.94</v>
      </c>
      <c r="L92" s="95">
        <f t="shared" si="13"/>
        <v>1710.74</v>
      </c>
      <c r="M92" s="95">
        <f t="shared" si="13"/>
        <v>1703.7400000000002</v>
      </c>
      <c r="N92" s="95">
        <f t="shared" si="13"/>
        <v>1658.04</v>
      </c>
      <c r="O92" s="95">
        <f t="shared" si="13"/>
        <v>1719.7600000000002</v>
      </c>
      <c r="P92" s="95">
        <f t="shared" si="13"/>
        <v>1786.2399999999998</v>
      </c>
      <c r="Q92" s="95">
        <f t="shared" si="13"/>
        <v>1817.58</v>
      </c>
      <c r="R92" s="95">
        <f t="shared" si="13"/>
        <v>1862.54</v>
      </c>
      <c r="S92" s="95">
        <f t="shared" si="13"/>
        <v>1799.64</v>
      </c>
      <c r="T92" s="95">
        <f t="shared" si="13"/>
        <v>1796.44</v>
      </c>
      <c r="U92" s="95">
        <f t="shared" si="13"/>
        <v>1808.34</v>
      </c>
      <c r="V92" s="95">
        <f>V91-V99</f>
        <v>1757.44</v>
      </c>
      <c r="W92" s="95">
        <f>W91-W99</f>
        <v>1711.44</v>
      </c>
      <c r="X92" s="95">
        <f>X91-X99</f>
        <v>1631.54</v>
      </c>
      <c r="Y92" s="95">
        <f t="shared" si="13"/>
        <v>1851.84</v>
      </c>
      <c r="Z92" s="95">
        <f t="shared" si="13"/>
        <v>1886.3400000000001</v>
      </c>
      <c r="AA92" s="95">
        <v>1945.7399999999998</v>
      </c>
      <c r="AB92" s="95">
        <f t="shared" si="13"/>
        <v>1902.6399999999999</v>
      </c>
      <c r="AC92" s="95">
        <f t="shared" si="13"/>
        <v>1914.9400000000003</v>
      </c>
      <c r="AD92" s="95">
        <f t="shared" si="13"/>
        <v>1903.04</v>
      </c>
      <c r="AE92" s="95">
        <f t="shared" si="13"/>
        <v>1725.8400000000001</v>
      </c>
      <c r="AF92" s="95">
        <f t="shared" si="13"/>
        <v>1676.44</v>
      </c>
      <c r="AG92" s="88"/>
      <c r="AH92" s="47">
        <f t="shared" si="8"/>
        <v>1945.7399999999998</v>
      </c>
      <c r="AI92" s="48">
        <f t="shared" si="9"/>
        <v>973.54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0</v>
      </c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 t="shared" ref="B100:AF100" si="14">B84-B99</f>
        <v>191</v>
      </c>
      <c r="C100" s="60">
        <f t="shared" si="14"/>
        <v>109</v>
      </c>
      <c r="D100" s="60">
        <f t="shared" si="14"/>
        <v>115.10000000000001</v>
      </c>
      <c r="E100" s="60">
        <f t="shared" si="14"/>
        <v>139.30000000000001</v>
      </c>
      <c r="F100" s="60">
        <f t="shared" si="14"/>
        <v>168.2</v>
      </c>
      <c r="G100" s="60">
        <f t="shared" si="14"/>
        <v>268.10000000000002</v>
      </c>
      <c r="H100" s="60">
        <f t="shared" si="14"/>
        <v>263.39999999999998</v>
      </c>
      <c r="I100" s="60">
        <f t="shared" si="14"/>
        <v>261.60000000000002</v>
      </c>
      <c r="J100" s="60">
        <f t="shared" si="14"/>
        <v>305.60000000000002</v>
      </c>
      <c r="K100" s="60">
        <f t="shared" si="14"/>
        <v>307.5</v>
      </c>
      <c r="L100" s="60">
        <f t="shared" si="14"/>
        <v>368.5</v>
      </c>
      <c r="M100" s="60">
        <f t="shared" si="14"/>
        <v>431.9</v>
      </c>
      <c r="N100" s="60">
        <f t="shared" si="14"/>
        <v>438</v>
      </c>
      <c r="O100" s="60">
        <f t="shared" si="14"/>
        <v>424.1</v>
      </c>
      <c r="P100" s="60">
        <f t="shared" si="14"/>
        <v>480.1</v>
      </c>
      <c r="Q100" s="60">
        <f t="shared" si="14"/>
        <v>410.3</v>
      </c>
      <c r="R100" s="60">
        <f t="shared" si="14"/>
        <v>411.09999999999997</v>
      </c>
      <c r="S100" s="60">
        <f t="shared" si="14"/>
        <v>397.5</v>
      </c>
      <c r="T100" s="60">
        <f t="shared" si="14"/>
        <v>388.2</v>
      </c>
      <c r="U100" s="60">
        <f t="shared" si="14"/>
        <v>405</v>
      </c>
      <c r="V100" s="60">
        <f>V84-V99</f>
        <v>405.5</v>
      </c>
      <c r="W100" s="60">
        <f>W84-W99</f>
        <v>389.5</v>
      </c>
      <c r="X100" s="60">
        <f>X84-X99</f>
        <v>366.5</v>
      </c>
      <c r="Y100" s="60">
        <f t="shared" si="14"/>
        <v>311.2</v>
      </c>
      <c r="Z100" s="60">
        <f t="shared" si="14"/>
        <v>306.89999999999998</v>
      </c>
      <c r="AA100" s="60">
        <v>116.6</v>
      </c>
      <c r="AB100" s="60">
        <f t="shared" si="14"/>
        <v>127.29999999999998</v>
      </c>
      <c r="AC100" s="60">
        <f t="shared" si="14"/>
        <v>138.5</v>
      </c>
      <c r="AD100" s="60">
        <f t="shared" si="14"/>
        <v>145.80000000000001</v>
      </c>
      <c r="AE100" s="60">
        <f t="shared" si="14"/>
        <v>139.9</v>
      </c>
      <c r="AF100" s="60">
        <f t="shared" si="14"/>
        <v>117.8</v>
      </c>
      <c r="AG100" s="88"/>
      <c r="AH100" s="47">
        <f t="shared" si="8"/>
        <v>480.1</v>
      </c>
      <c r="AI100" s="48">
        <f t="shared" si="9"/>
        <v>109</v>
      </c>
    </row>
    <row r="101" spans="1:37" x14ac:dyDescent="0.25">
      <c r="A101" s="100" t="s">
        <v>107</v>
      </c>
      <c r="B101" s="101">
        <v>50.107999999999997</v>
      </c>
      <c r="C101" s="101">
        <v>50.012</v>
      </c>
      <c r="D101" s="101">
        <v>49.966000000000001</v>
      </c>
      <c r="E101" s="101">
        <v>49.914999999999999</v>
      </c>
      <c r="F101" s="101">
        <v>49.984000000000002</v>
      </c>
      <c r="G101" s="101">
        <v>49.96</v>
      </c>
      <c r="H101" s="101">
        <v>49.96</v>
      </c>
      <c r="I101" s="101">
        <v>49.985999999999997</v>
      </c>
      <c r="J101" s="101">
        <v>49.988</v>
      </c>
      <c r="K101" s="101">
        <v>49.884</v>
      </c>
      <c r="L101" s="101">
        <v>49.807000000000002</v>
      </c>
      <c r="M101" s="101">
        <v>50.042999999999999</v>
      </c>
      <c r="N101" s="101">
        <v>50.01</v>
      </c>
      <c r="O101" s="101">
        <v>50.031999999999996</v>
      </c>
      <c r="P101" s="101">
        <v>49.924999999999997</v>
      </c>
      <c r="Q101" s="101">
        <v>49.98</v>
      </c>
      <c r="R101" s="101">
        <v>50.04</v>
      </c>
      <c r="S101" s="101">
        <v>50.02</v>
      </c>
      <c r="T101" s="101">
        <v>49.98</v>
      </c>
      <c r="U101" s="101">
        <v>50.03</v>
      </c>
      <c r="V101" s="101">
        <v>49.98</v>
      </c>
      <c r="W101" s="101">
        <v>49.94</v>
      </c>
      <c r="X101" s="101">
        <v>50.02</v>
      </c>
      <c r="Y101" s="101">
        <v>50.09</v>
      </c>
      <c r="Z101" s="101">
        <v>50</v>
      </c>
      <c r="AA101" s="101">
        <v>50.04</v>
      </c>
      <c r="AB101" s="101">
        <v>50.084000000000003</v>
      </c>
      <c r="AC101" s="101">
        <v>50.08</v>
      </c>
      <c r="AD101" s="101">
        <v>49.906999999999996</v>
      </c>
      <c r="AE101" s="101">
        <v>50.000999999999998</v>
      </c>
      <c r="AF101" s="101">
        <v>49.875999999999998</v>
      </c>
      <c r="AG101" s="102"/>
      <c r="AH101" s="47">
        <f t="shared" si="8"/>
        <v>50.107999999999997</v>
      </c>
      <c r="AI101" s="48">
        <f t="shared" si="9"/>
        <v>49.807000000000002</v>
      </c>
    </row>
    <row r="102" spans="1:37" x14ac:dyDescent="0.25">
      <c r="A102" s="103" t="s">
        <v>108</v>
      </c>
      <c r="B102" s="65">
        <v>126.1</v>
      </c>
      <c r="C102" s="65">
        <v>121.9</v>
      </c>
      <c r="D102" s="65">
        <v>121.3</v>
      </c>
      <c r="E102" s="65">
        <v>119.9</v>
      </c>
      <c r="F102" s="65">
        <v>120.5</v>
      </c>
      <c r="G102" s="65">
        <v>122</v>
      </c>
      <c r="H102" s="65">
        <v>122.3</v>
      </c>
      <c r="I102" s="65">
        <v>121</v>
      </c>
      <c r="J102" s="65">
        <v>122</v>
      </c>
      <c r="K102" s="65">
        <v>120.4</v>
      </c>
      <c r="L102" s="65">
        <v>121.2</v>
      </c>
      <c r="M102" s="65">
        <v>121.7</v>
      </c>
      <c r="N102" s="65">
        <v>121.7</v>
      </c>
      <c r="O102" s="65">
        <v>127.5</v>
      </c>
      <c r="P102" s="65">
        <v>120.4</v>
      </c>
      <c r="Q102" s="65">
        <v>122.1</v>
      </c>
      <c r="R102" s="65">
        <v>123.1</v>
      </c>
      <c r="S102" s="65">
        <v>124.3</v>
      </c>
      <c r="T102" s="65">
        <v>122.8</v>
      </c>
      <c r="U102" s="65">
        <v>122</v>
      </c>
      <c r="V102" s="65">
        <v>123</v>
      </c>
      <c r="W102" s="65">
        <v>124.4</v>
      </c>
      <c r="X102" s="65">
        <v>122.7</v>
      </c>
      <c r="Y102" s="65">
        <v>123.4</v>
      </c>
      <c r="Z102" s="65">
        <v>122.9</v>
      </c>
      <c r="AA102" s="65">
        <v>125.7</v>
      </c>
      <c r="AB102" s="65">
        <v>126.5</v>
      </c>
      <c r="AC102" s="65">
        <v>125.6</v>
      </c>
      <c r="AD102" s="65">
        <v>126.2</v>
      </c>
      <c r="AE102" s="65">
        <v>127</v>
      </c>
      <c r="AF102" s="65">
        <v>125.3</v>
      </c>
      <c r="AG102" s="104"/>
      <c r="AH102" s="47">
        <f t="shared" si="8"/>
        <v>127.5</v>
      </c>
      <c r="AI102" s="48">
        <f t="shared" si="9"/>
        <v>119.9</v>
      </c>
    </row>
    <row r="103" spans="1:37" x14ac:dyDescent="0.25">
      <c r="A103" s="103" t="s">
        <v>109</v>
      </c>
      <c r="B103" s="65">
        <v>130.80000000000001</v>
      </c>
      <c r="C103" s="65">
        <v>127.6</v>
      </c>
      <c r="D103" s="65">
        <v>127.8</v>
      </c>
      <c r="E103" s="65">
        <v>126.9</v>
      </c>
      <c r="F103" s="65">
        <v>126.7</v>
      </c>
      <c r="G103" s="65">
        <v>127.7</v>
      </c>
      <c r="H103" s="65">
        <v>127.1</v>
      </c>
      <c r="I103" s="65">
        <v>126.4</v>
      </c>
      <c r="J103" s="65">
        <v>126.8</v>
      </c>
      <c r="K103" s="65">
        <v>125.3</v>
      </c>
      <c r="L103" s="65">
        <v>125.4</v>
      </c>
      <c r="M103" s="65">
        <v>125.9</v>
      </c>
      <c r="N103" s="65">
        <v>126.1</v>
      </c>
      <c r="O103" s="65">
        <v>129.69999999999999</v>
      </c>
      <c r="P103" s="65">
        <v>124.5</v>
      </c>
      <c r="Q103" s="65">
        <v>126.5</v>
      </c>
      <c r="R103" s="65">
        <v>126.5</v>
      </c>
      <c r="S103" s="65">
        <v>125</v>
      </c>
      <c r="T103" s="65">
        <v>127.2</v>
      </c>
      <c r="U103" s="65">
        <v>126.4</v>
      </c>
      <c r="V103" s="65">
        <v>127</v>
      </c>
      <c r="W103" s="65">
        <v>128.19999999999999</v>
      </c>
      <c r="X103" s="65">
        <v>127.3</v>
      </c>
      <c r="Y103" s="65">
        <v>127.7</v>
      </c>
      <c r="Z103" s="65">
        <v>126.8</v>
      </c>
      <c r="AA103" s="65">
        <v>128.80000000000001</v>
      </c>
      <c r="AB103" s="65">
        <v>129.69999999999999</v>
      </c>
      <c r="AC103" s="65">
        <v>129</v>
      </c>
      <c r="AD103" s="65">
        <v>129.9</v>
      </c>
      <c r="AE103" s="65">
        <v>131.4</v>
      </c>
      <c r="AF103" s="65">
        <v>130</v>
      </c>
      <c r="AG103" s="104"/>
      <c r="AH103" s="47">
        <f t="shared" si="8"/>
        <v>131.4</v>
      </c>
      <c r="AI103" s="48">
        <f t="shared" si="9"/>
        <v>124.5</v>
      </c>
    </row>
    <row r="104" spans="1:37" x14ac:dyDescent="0.25">
      <c r="A104" s="103" t="s">
        <v>110</v>
      </c>
      <c r="B104" s="65">
        <v>127</v>
      </c>
      <c r="C104" s="65">
        <v>127.6</v>
      </c>
      <c r="D104" s="65">
        <v>125.6</v>
      </c>
      <c r="E104" s="65">
        <v>127.7</v>
      </c>
      <c r="F104" s="65">
        <v>127</v>
      </c>
      <c r="G104" s="65">
        <v>127.7</v>
      </c>
      <c r="H104" s="65">
        <v>130.19999999999999</v>
      </c>
      <c r="I104" s="65">
        <v>129.80000000000001</v>
      </c>
      <c r="J104" s="65">
        <v>125.3</v>
      </c>
      <c r="K104" s="65">
        <v>123.4</v>
      </c>
      <c r="L104" s="65">
        <v>121.6</v>
      </c>
      <c r="M104" s="65">
        <v>120.7</v>
      </c>
      <c r="N104" s="65">
        <v>128.1</v>
      </c>
      <c r="O104" s="65">
        <v>129.80000000000001</v>
      </c>
      <c r="P104" s="65">
        <v>123.9</v>
      </c>
      <c r="Q104" s="65">
        <v>126.7</v>
      </c>
      <c r="R104" s="65">
        <v>126.6</v>
      </c>
      <c r="S104" s="65">
        <v>119</v>
      </c>
      <c r="T104" s="65">
        <v>125.4</v>
      </c>
      <c r="U104" s="65">
        <v>127</v>
      </c>
      <c r="V104" s="65">
        <v>128</v>
      </c>
      <c r="W104" s="65">
        <v>126.9</v>
      </c>
      <c r="X104" s="65">
        <v>130.1</v>
      </c>
      <c r="Y104" s="65">
        <v>123.6</v>
      </c>
      <c r="Z104" s="65">
        <v>122</v>
      </c>
      <c r="AA104" s="65">
        <v>125</v>
      </c>
      <c r="AB104" s="65">
        <v>130.19999999999999</v>
      </c>
      <c r="AC104" s="65">
        <v>124.9</v>
      </c>
      <c r="AD104" s="65">
        <v>125.5</v>
      </c>
      <c r="AE104" s="65">
        <v>124.6</v>
      </c>
      <c r="AF104" s="65">
        <v>125.8</v>
      </c>
      <c r="AG104" s="104"/>
      <c r="AH104" s="47">
        <f t="shared" si="8"/>
        <v>130.19999999999999</v>
      </c>
      <c r="AI104" s="48">
        <f t="shared" si="9"/>
        <v>119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132.5</v>
      </c>
      <c r="C106" s="106">
        <v>132</v>
      </c>
      <c r="D106" s="106">
        <v>135.69999999999999</v>
      </c>
      <c r="E106" s="106">
        <v>133.19999999999999</v>
      </c>
      <c r="F106" s="106">
        <v>132.4</v>
      </c>
      <c r="G106" s="106">
        <v>133.6</v>
      </c>
      <c r="H106" s="106">
        <v>132.6</v>
      </c>
      <c r="I106" s="106">
        <v>133.19999999999999</v>
      </c>
      <c r="J106" s="106">
        <v>136.69999999999999</v>
      </c>
      <c r="K106" s="106">
        <v>132.6</v>
      </c>
      <c r="L106" s="106">
        <v>130.6</v>
      </c>
      <c r="M106" s="106">
        <v>129.6</v>
      </c>
      <c r="N106" s="106">
        <v>131.9</v>
      </c>
      <c r="O106" s="106">
        <v>129.9</v>
      </c>
      <c r="P106" s="106">
        <v>131</v>
      </c>
      <c r="Q106" s="106">
        <v>132.6</v>
      </c>
      <c r="R106" s="106">
        <v>134.9</v>
      </c>
      <c r="S106" s="106">
        <v>133</v>
      </c>
      <c r="T106" s="106">
        <v>132.19999999999999</v>
      </c>
      <c r="U106" s="106">
        <v>131</v>
      </c>
      <c r="V106" s="106">
        <v>135</v>
      </c>
      <c r="W106" s="106">
        <v>133</v>
      </c>
      <c r="X106" s="106">
        <v>133.5</v>
      </c>
      <c r="Y106" s="106">
        <v>134.9</v>
      </c>
      <c r="Z106" s="106">
        <v>134.30000000000001</v>
      </c>
      <c r="AA106" s="106">
        <v>134.6</v>
      </c>
      <c r="AB106" s="106">
        <v>132.19999999999999</v>
      </c>
      <c r="AC106" s="106">
        <v>129.9</v>
      </c>
      <c r="AD106" s="106">
        <v>130.1</v>
      </c>
      <c r="AE106" s="106">
        <v>130.6</v>
      </c>
      <c r="AF106" s="106">
        <v>130.30000000000001</v>
      </c>
      <c r="AG106" s="107"/>
      <c r="AH106" s="47">
        <f t="shared" si="8"/>
        <v>136.69999999999999</v>
      </c>
      <c r="AI106" s="48">
        <f t="shared" si="9"/>
        <v>129.6</v>
      </c>
    </row>
    <row r="107" spans="1:37" x14ac:dyDescent="0.25">
      <c r="A107" s="103" t="s">
        <v>113</v>
      </c>
      <c r="B107" s="65">
        <v>131.4</v>
      </c>
      <c r="C107" s="65">
        <v>129.4</v>
      </c>
      <c r="D107" s="65">
        <v>135.6</v>
      </c>
      <c r="E107" s="65">
        <v>127.9</v>
      </c>
      <c r="F107" s="65">
        <v>128.80000000000001</v>
      </c>
      <c r="G107" s="65">
        <v>129.1</v>
      </c>
      <c r="H107" s="65">
        <v>129.69999999999999</v>
      </c>
      <c r="I107" s="65">
        <v>128.80000000000001</v>
      </c>
      <c r="J107" s="65">
        <v>127.7</v>
      </c>
      <c r="K107" s="65">
        <v>126.9</v>
      </c>
      <c r="L107" s="65">
        <v>126.2</v>
      </c>
      <c r="M107" s="65">
        <v>129.30000000000001</v>
      </c>
      <c r="N107" s="65">
        <v>131.80000000000001</v>
      </c>
      <c r="O107" s="65">
        <v>133.30000000000001</v>
      </c>
      <c r="P107" s="65">
        <v>133.4</v>
      </c>
      <c r="Q107" s="65">
        <v>125.9</v>
      </c>
      <c r="R107" s="65">
        <v>130.9</v>
      </c>
      <c r="S107" s="65">
        <v>131</v>
      </c>
      <c r="T107" s="65">
        <v>128.19999999999999</v>
      </c>
      <c r="U107" s="65">
        <v>130</v>
      </c>
      <c r="V107" s="65">
        <v>132</v>
      </c>
      <c r="W107" s="65">
        <v>132</v>
      </c>
      <c r="X107" s="65">
        <v>131</v>
      </c>
      <c r="Y107" s="65">
        <v>133.30000000000001</v>
      </c>
      <c r="Z107" s="65">
        <v>132.1</v>
      </c>
      <c r="AA107" s="65">
        <v>133.1</v>
      </c>
      <c r="AB107" s="65">
        <v>129.30000000000001</v>
      </c>
      <c r="AC107" s="65">
        <v>129.9</v>
      </c>
      <c r="AD107" s="65">
        <v>126.1</v>
      </c>
      <c r="AE107" s="65">
        <v>127.7</v>
      </c>
      <c r="AF107" s="65">
        <v>127.9</v>
      </c>
      <c r="AG107" s="104"/>
      <c r="AH107" s="47">
        <f t="shared" si="8"/>
        <v>135.6</v>
      </c>
      <c r="AI107" s="48">
        <f t="shared" si="9"/>
        <v>125.9</v>
      </c>
    </row>
    <row r="108" spans="1:37" ht="15.75" thickBot="1" x14ac:dyDescent="0.3">
      <c r="A108" s="103" t="s">
        <v>114</v>
      </c>
      <c r="B108" s="92">
        <v>65.599999999999994</v>
      </c>
      <c r="C108" s="92">
        <v>64.2</v>
      </c>
      <c r="D108" s="92">
        <v>64.2</v>
      </c>
      <c r="E108" s="92">
        <v>64.2</v>
      </c>
      <c r="F108" s="92">
        <v>63.8</v>
      </c>
      <c r="G108" s="92">
        <v>64.3</v>
      </c>
      <c r="H108" s="92">
        <v>63.8</v>
      </c>
      <c r="I108" s="92">
        <v>63.4</v>
      </c>
      <c r="J108" s="92">
        <v>63.5</v>
      </c>
      <c r="K108" s="92">
        <v>62.5</v>
      </c>
      <c r="L108" s="92">
        <v>62.7</v>
      </c>
      <c r="M108" s="92">
        <v>62.9</v>
      </c>
      <c r="N108" s="92">
        <v>62.6</v>
      </c>
      <c r="O108" s="92">
        <v>64.2</v>
      </c>
      <c r="P108" s="92">
        <v>62.2</v>
      </c>
      <c r="Q108" s="92">
        <v>63</v>
      </c>
      <c r="R108" s="92">
        <v>62.8</v>
      </c>
      <c r="S108" s="92">
        <v>63</v>
      </c>
      <c r="T108" s="92">
        <v>63.6</v>
      </c>
      <c r="U108" s="92">
        <v>63.4</v>
      </c>
      <c r="V108" s="92">
        <v>63.7</v>
      </c>
      <c r="W108" s="92">
        <v>64</v>
      </c>
      <c r="X108" s="92">
        <v>63.6</v>
      </c>
      <c r="Y108" s="92">
        <v>63.6</v>
      </c>
      <c r="Z108" s="92">
        <v>63.4</v>
      </c>
      <c r="AA108" s="92">
        <v>64.2</v>
      </c>
      <c r="AB108" s="92">
        <v>64.8</v>
      </c>
      <c r="AC108" s="92">
        <v>64.3</v>
      </c>
      <c r="AD108" s="92">
        <v>65.099999999999994</v>
      </c>
      <c r="AE108" s="92">
        <v>65.599999999999994</v>
      </c>
      <c r="AF108" s="92">
        <v>65.2</v>
      </c>
      <c r="AG108" s="108"/>
      <c r="AH108" s="47">
        <f t="shared" si="8"/>
        <v>65.599999999999994</v>
      </c>
      <c r="AI108" s="48">
        <f t="shared" si="9"/>
        <v>62.2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 t="s">
        <v>115</v>
      </c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 t="shared" ref="B110:O110" si="15">SUM(B20,B26,B29:B30,B58,B60:B61,B63,B65,B111:B115,B138,B144,B150,B159,B161,B173,B180,B183:B184,B191,B193,B195,B199:B201,B203:B205,B210,B216:B217,B219:B221,B229,B234)</f>
        <v>4.5999999999999996</v>
      </c>
      <c r="C110" s="111">
        <f t="shared" si="15"/>
        <v>89.640000000000029</v>
      </c>
      <c r="D110" s="111">
        <f t="shared" si="15"/>
        <v>94.340000000000046</v>
      </c>
      <c r="E110" s="111">
        <f t="shared" si="15"/>
        <v>89.840000000000032</v>
      </c>
      <c r="F110" s="111">
        <f t="shared" si="15"/>
        <v>89.94</v>
      </c>
      <c r="G110" s="111">
        <f t="shared" si="15"/>
        <v>120.44000000000004</v>
      </c>
      <c r="H110" s="111">
        <f t="shared" si="15"/>
        <v>139.54000000000002</v>
      </c>
      <c r="I110" s="111">
        <f t="shared" si="15"/>
        <v>173.74000000000004</v>
      </c>
      <c r="J110" s="111">
        <f t="shared" si="15"/>
        <v>214.04000000000002</v>
      </c>
      <c r="K110" s="111">
        <f t="shared" si="15"/>
        <v>255.74</v>
      </c>
      <c r="L110" s="111">
        <f t="shared" si="15"/>
        <v>256.24</v>
      </c>
      <c r="M110" s="111">
        <f t="shared" si="15"/>
        <v>251.94000000000003</v>
      </c>
      <c r="N110" s="111">
        <f t="shared" si="15"/>
        <v>240.84000000000003</v>
      </c>
      <c r="O110" s="111">
        <f t="shared" si="15"/>
        <v>261.83999999999997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280.14000000000004</v>
      </c>
      <c r="R110" s="111">
        <f t="shared" si="16"/>
        <v>277.90000000000003</v>
      </c>
      <c r="S110" s="111">
        <f t="shared" si="16"/>
        <v>221.80000000000004</v>
      </c>
      <c r="T110" s="111">
        <f t="shared" si="16"/>
        <v>235</v>
      </c>
      <c r="U110" s="111">
        <f t="shared" si="16"/>
        <v>282.20000000000005</v>
      </c>
      <c r="V110" s="111">
        <f>SUM(V20,V26,V29:V30,V58,V60:V61,V63,V65,V111:V115,V138,V144,V150,V159,V161,V173,V180,V183:V184,V191,V193,V195,V199:V201,V203:V205,V210,V216:V217,V219:V221,V229,V234)</f>
        <v>287.8</v>
      </c>
      <c r="W110" s="111">
        <f>SUM(W20,W26,W29:W30,W58,W60:W61,W63,W65,W111:W115,W138,W144,W150,W159,W161,W173,W180,W183:W184,W191,W193,W195,W199:W201,W203:W205,W210,W216:W217,W219:W221,W229,W234)</f>
        <v>256.00000000000006</v>
      </c>
      <c r="X110" s="111">
        <f>SUM(X20,X26,X29:X30,X58,X60:X61,X63,X65,X111:X115,X138,X144,X150,X159,X161,X173,X180,X183:X184,X191,X193,X195,X199:X201,X203:X205,X210,X216:X217,X219:X221,X229,X234)</f>
        <v>235.40000000000003</v>
      </c>
      <c r="Y110" s="111">
        <f t="shared" si="16"/>
        <v>290.10000000000002</v>
      </c>
      <c r="Z110" s="111">
        <f t="shared" si="16"/>
        <v>299.64</v>
      </c>
      <c r="AA110" s="111">
        <v>346.94</v>
      </c>
      <c r="AB110" s="111">
        <f t="shared" si="16"/>
        <v>272.2</v>
      </c>
      <c r="AC110" s="111">
        <f t="shared" si="16"/>
        <v>251.1</v>
      </c>
      <c r="AD110" s="111"/>
      <c r="AE110" s="111">
        <f t="shared" si="16"/>
        <v>185.5</v>
      </c>
      <c r="AF110" s="111">
        <f t="shared" si="16"/>
        <v>151.69999999999999</v>
      </c>
      <c r="AG110" s="112"/>
      <c r="AH110" s="47">
        <f t="shared" si="8"/>
        <v>346.94</v>
      </c>
      <c r="AI110" s="48">
        <f t="shared" si="9"/>
        <v>4.5999999999999996</v>
      </c>
    </row>
    <row r="111" spans="1:37" x14ac:dyDescent="0.25">
      <c r="A111" s="100" t="s">
        <v>117</v>
      </c>
      <c r="B111" s="113"/>
      <c r="C111" s="113">
        <v>34.700000000000003</v>
      </c>
      <c r="D111" s="113">
        <v>37.4</v>
      </c>
      <c r="E111" s="113">
        <v>35.6</v>
      </c>
      <c r="F111" s="113">
        <v>29.7</v>
      </c>
      <c r="G111" s="113">
        <v>34.1</v>
      </c>
      <c r="H111" s="113">
        <v>43.1</v>
      </c>
      <c r="I111" s="113">
        <v>46.5</v>
      </c>
      <c r="J111" s="113">
        <v>40</v>
      </c>
      <c r="K111" s="113">
        <v>41.7</v>
      </c>
      <c r="L111" s="113">
        <v>36.5</v>
      </c>
      <c r="M111" s="113">
        <v>39.6</v>
      </c>
      <c r="N111" s="113">
        <v>46.9</v>
      </c>
      <c r="O111" s="113">
        <v>34.6</v>
      </c>
      <c r="P111" s="113">
        <v>30.1</v>
      </c>
      <c r="Q111" s="113">
        <v>25</v>
      </c>
      <c r="R111" s="113">
        <v>19.899999999999999</v>
      </c>
      <c r="S111" s="113">
        <v>33.200000000000003</v>
      </c>
      <c r="T111" s="113">
        <v>31.7</v>
      </c>
      <c r="U111" s="113">
        <v>55</v>
      </c>
      <c r="V111" s="113">
        <v>64</v>
      </c>
      <c r="W111" s="113">
        <v>38.4</v>
      </c>
      <c r="X111" s="113">
        <v>44.8</v>
      </c>
      <c r="Y111" s="113">
        <v>54.9</v>
      </c>
      <c r="Z111" s="113">
        <v>55.2</v>
      </c>
      <c r="AA111" s="113">
        <v>47.2</v>
      </c>
      <c r="AB111" s="113">
        <v>40.200000000000003</v>
      </c>
      <c r="AC111" s="113">
        <v>48.5</v>
      </c>
      <c r="AD111" s="113">
        <v>38.1</v>
      </c>
      <c r="AE111" s="113">
        <v>33.200000000000003</v>
      </c>
      <c r="AF111" s="113">
        <v>26</v>
      </c>
      <c r="AG111" s="114">
        <v>75</v>
      </c>
      <c r="AH111" s="47">
        <f t="shared" si="8"/>
        <v>64</v>
      </c>
      <c r="AI111" s="48">
        <f t="shared" si="9"/>
        <v>19.899999999999999</v>
      </c>
    </row>
    <row r="112" spans="1:37" x14ac:dyDescent="0.25">
      <c r="A112" s="103" t="s">
        <v>118</v>
      </c>
      <c r="B112" s="115"/>
      <c r="C112" s="115">
        <v>58.7</v>
      </c>
      <c r="D112" s="115">
        <v>62.9</v>
      </c>
      <c r="E112" s="115">
        <v>62.8</v>
      </c>
      <c r="F112" s="115">
        <v>51.8</v>
      </c>
      <c r="G112" s="115">
        <v>58.4</v>
      </c>
      <c r="H112" s="115">
        <v>72.7</v>
      </c>
      <c r="I112" s="115">
        <v>74</v>
      </c>
      <c r="J112" s="115">
        <v>66.2</v>
      </c>
      <c r="K112" s="115">
        <v>67.5</v>
      </c>
      <c r="L112" s="115">
        <v>61.9</v>
      </c>
      <c r="M112" s="115">
        <v>62.9</v>
      </c>
      <c r="N112" s="115">
        <v>73.099999999999994</v>
      </c>
      <c r="O112" s="115">
        <v>56.7</v>
      </c>
      <c r="P112" s="115">
        <v>48.1</v>
      </c>
      <c r="Q112" s="115">
        <v>44.3</v>
      </c>
      <c r="R112" s="115">
        <v>36.6</v>
      </c>
      <c r="S112" s="115">
        <v>53.4</v>
      </c>
      <c r="T112" s="115">
        <v>52.1</v>
      </c>
      <c r="U112" s="115">
        <v>33</v>
      </c>
      <c r="V112" s="115">
        <v>39.6</v>
      </c>
      <c r="W112" s="115">
        <v>56.9</v>
      </c>
      <c r="X112" s="115">
        <v>66.599999999999994</v>
      </c>
      <c r="Y112" s="115">
        <v>77.5</v>
      </c>
      <c r="Z112" s="115">
        <v>76.8</v>
      </c>
      <c r="AA112" s="115">
        <v>65.900000000000006</v>
      </c>
      <c r="AB112" s="115">
        <v>58.4</v>
      </c>
      <c r="AC112" s="115">
        <v>69.3</v>
      </c>
      <c r="AD112" s="115">
        <v>57.1</v>
      </c>
      <c r="AE112" s="115">
        <v>51.3</v>
      </c>
      <c r="AF112" s="115">
        <v>43.6</v>
      </c>
      <c r="AG112" s="114">
        <v>240</v>
      </c>
      <c r="AH112" s="47">
        <f t="shared" si="8"/>
        <v>77.5</v>
      </c>
      <c r="AI112" s="48">
        <f t="shared" si="9"/>
        <v>33</v>
      </c>
    </row>
    <row r="113" spans="1:37" x14ac:dyDescent="0.25">
      <c r="A113" s="103" t="s">
        <v>119</v>
      </c>
      <c r="B113" s="115"/>
      <c r="C113" s="115">
        <v>-125.9</v>
      </c>
      <c r="D113" s="115">
        <v>-125.8</v>
      </c>
      <c r="E113" s="115">
        <f>-62.1-66.5</f>
        <v>-128.6</v>
      </c>
      <c r="F113" s="115">
        <f>-53.1-56.9</f>
        <v>-110</v>
      </c>
      <c r="G113" s="115">
        <f>-49.8-53.9</f>
        <v>-103.69999999999999</v>
      </c>
      <c r="H113" s="115">
        <f>-50.5-54.6</f>
        <v>-105.1</v>
      </c>
      <c r="I113" s="115">
        <f>-39-42.5</f>
        <v>-81.5</v>
      </c>
      <c r="J113" s="115">
        <f>-46.7-49.8</f>
        <v>-96.5</v>
      </c>
      <c r="K113" s="115">
        <f>-41-46.3</f>
        <v>-87.3</v>
      </c>
      <c r="L113" s="115">
        <f>-36.7-42.1</f>
        <v>-78.800000000000011</v>
      </c>
      <c r="M113" s="115">
        <v>-92</v>
      </c>
      <c r="N113" s="115">
        <v>-105</v>
      </c>
      <c r="O113" s="115">
        <v>-72.8</v>
      </c>
      <c r="P113" s="115">
        <v>-79</v>
      </c>
      <c r="Q113" s="115">
        <f>-23.1-32.1</f>
        <v>-55.2</v>
      </c>
      <c r="R113" s="115">
        <f>-19.8-29.2</f>
        <v>-49</v>
      </c>
      <c r="S113" s="115">
        <f>-55.2-35.8</f>
        <v>-91</v>
      </c>
      <c r="T113" s="115">
        <f>-65.9-33.5</f>
        <v>-99.4</v>
      </c>
      <c r="U113" s="115">
        <v>-54</v>
      </c>
      <c r="V113" s="115">
        <v>-60</v>
      </c>
      <c r="W113" s="115">
        <f>-44.6-31.5</f>
        <v>-76.099999999999994</v>
      </c>
      <c r="X113" s="115">
        <f>-34.1-28.2</f>
        <v>-62.3</v>
      </c>
      <c r="Y113" s="115">
        <f>-28-30</f>
        <v>-58</v>
      </c>
      <c r="Z113" s="115">
        <f>-18.6-20</f>
        <v>-38.6</v>
      </c>
      <c r="AA113" s="115">
        <v>-47.5</v>
      </c>
      <c r="AB113" s="115">
        <v>-52</v>
      </c>
      <c r="AC113" s="115">
        <v>-99.6</v>
      </c>
      <c r="AD113" s="115">
        <v>-62</v>
      </c>
      <c r="AE113" s="115">
        <v>-100</v>
      </c>
      <c r="AF113" s="115">
        <v>-108</v>
      </c>
      <c r="AG113" s="114">
        <v>240</v>
      </c>
      <c r="AH113" s="47">
        <f t="shared" si="8"/>
        <v>-38.6</v>
      </c>
      <c r="AI113" s="48">
        <f t="shared" si="9"/>
        <v>-128.6</v>
      </c>
    </row>
    <row r="114" spans="1:37" x14ac:dyDescent="0.25">
      <c r="A114" s="103" t="s">
        <v>120</v>
      </c>
      <c r="B114" s="115"/>
      <c r="C114" s="115">
        <v>-13.3</v>
      </c>
      <c r="D114" s="115">
        <v>-15.6</v>
      </c>
      <c r="E114" s="115">
        <v>-15.4</v>
      </c>
      <c r="F114" s="115">
        <v>-17</v>
      </c>
      <c r="G114" s="115">
        <v>-4.8</v>
      </c>
      <c r="H114" s="115">
        <v>-7.6</v>
      </c>
      <c r="I114" s="115">
        <v>-2.6</v>
      </c>
      <c r="J114" s="115">
        <v>-1.9</v>
      </c>
      <c r="K114" s="115">
        <v>11.6</v>
      </c>
      <c r="L114" s="115">
        <v>18.100000000000001</v>
      </c>
      <c r="M114" s="115">
        <v>12.5</v>
      </c>
      <c r="N114" s="115">
        <v>17</v>
      </c>
      <c r="O114" s="115">
        <v>33.6</v>
      </c>
      <c r="P114" s="115">
        <v>24.3</v>
      </c>
      <c r="Q114" s="115">
        <v>30.9</v>
      </c>
      <c r="R114" s="115">
        <v>34.700000000000003</v>
      </c>
      <c r="S114" s="115">
        <v>85</v>
      </c>
      <c r="T114" s="115">
        <v>30.1</v>
      </c>
      <c r="U114" s="115">
        <v>14</v>
      </c>
      <c r="V114" s="115">
        <v>13</v>
      </c>
      <c r="W114" s="115">
        <v>15.9</v>
      </c>
      <c r="X114" s="115">
        <v>0</v>
      </c>
      <c r="Y114" s="115">
        <v>1.4</v>
      </c>
      <c r="Z114" s="115">
        <v>24.54</v>
      </c>
      <c r="AA114" s="115">
        <v>38.9</v>
      </c>
      <c r="AB114" s="115">
        <v>38.9</v>
      </c>
      <c r="AC114" s="115">
        <v>34.1</v>
      </c>
      <c r="AD114" s="115">
        <v>25.6</v>
      </c>
      <c r="AE114" s="115">
        <v>19</v>
      </c>
      <c r="AF114" s="115">
        <v>-1.9</v>
      </c>
      <c r="AG114" s="114">
        <v>60</v>
      </c>
      <c r="AH114" s="47">
        <f t="shared" si="8"/>
        <v>85</v>
      </c>
      <c r="AI114" s="48">
        <f t="shared" si="9"/>
        <v>-17</v>
      </c>
    </row>
    <row r="115" spans="1:37" x14ac:dyDescent="0.25">
      <c r="A115" s="116" t="s">
        <v>121</v>
      </c>
      <c r="B115" s="117"/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67.599999999999994</v>
      </c>
      <c r="K115" s="117">
        <v>82.1</v>
      </c>
      <c r="L115" s="117">
        <v>76.599999999999994</v>
      </c>
      <c r="M115" s="117">
        <v>84.9</v>
      </c>
      <c r="N115" s="117">
        <v>67.3</v>
      </c>
      <c r="O115" s="117">
        <v>65.8</v>
      </c>
      <c r="P115" s="117">
        <v>84</v>
      </c>
      <c r="Q115" s="117">
        <v>90.2</v>
      </c>
      <c r="R115" s="117">
        <v>94.5</v>
      </c>
      <c r="S115" s="117" t="s">
        <v>302</v>
      </c>
      <c r="T115" s="117">
        <v>79.3</v>
      </c>
      <c r="U115" s="117">
        <v>93</v>
      </c>
      <c r="V115" s="117">
        <v>90</v>
      </c>
      <c r="W115" s="117">
        <v>79.7</v>
      </c>
      <c r="X115" s="117">
        <v>62</v>
      </c>
      <c r="Y115" s="117">
        <v>90</v>
      </c>
      <c r="Z115" s="117">
        <v>57.4</v>
      </c>
      <c r="AA115" s="117">
        <v>73</v>
      </c>
      <c r="AB115" s="117">
        <v>57</v>
      </c>
      <c r="AC115" s="117">
        <v>69.099999999999994</v>
      </c>
      <c r="AD115" s="117">
        <v>69.3</v>
      </c>
      <c r="AE115" s="117">
        <v>52.3</v>
      </c>
      <c r="AF115" s="117">
        <v>62.3</v>
      </c>
      <c r="AG115" s="118">
        <v>120</v>
      </c>
      <c r="AH115" s="47">
        <f t="shared" si="8"/>
        <v>94.5</v>
      </c>
      <c r="AI115" s="48">
        <f t="shared" si="9"/>
        <v>0</v>
      </c>
    </row>
    <row r="116" spans="1:37" x14ac:dyDescent="0.25">
      <c r="A116" s="116" t="s">
        <v>122</v>
      </c>
      <c r="B116" s="117"/>
      <c r="C116" s="117">
        <v>82.1</v>
      </c>
      <c r="D116" s="117">
        <v>90.8</v>
      </c>
      <c r="E116" s="117">
        <v>75.400000000000006</v>
      </c>
      <c r="F116" s="117">
        <v>98.9</v>
      </c>
      <c r="G116" s="117">
        <v>89.1</v>
      </c>
      <c r="H116" s="117">
        <v>89.4</v>
      </c>
      <c r="I116" s="117">
        <v>104.1</v>
      </c>
      <c r="J116" s="117">
        <v>83.1</v>
      </c>
      <c r="K116" s="117">
        <v>100</v>
      </c>
      <c r="L116" s="117">
        <v>91.1</v>
      </c>
      <c r="M116" s="117">
        <v>101.3</v>
      </c>
      <c r="N116" s="117">
        <v>89</v>
      </c>
      <c r="O116" s="117">
        <v>63.9</v>
      </c>
      <c r="P116" s="117">
        <v>100.5</v>
      </c>
      <c r="Q116" s="117">
        <v>99.7</v>
      </c>
      <c r="R116" s="117">
        <v>99.3</v>
      </c>
      <c r="S116" s="117">
        <v>90.3</v>
      </c>
      <c r="T116" s="117">
        <v>85.6</v>
      </c>
      <c r="U116" s="117">
        <v>90</v>
      </c>
      <c r="V116" s="117">
        <v>88</v>
      </c>
      <c r="W116" s="117">
        <v>75.400000000000006</v>
      </c>
      <c r="X116" s="117">
        <v>87.6</v>
      </c>
      <c r="Y116" s="117">
        <v>82.5</v>
      </c>
      <c r="Z116" s="117">
        <v>86.6</v>
      </c>
      <c r="AA116" s="117">
        <v>67.900000000000006</v>
      </c>
      <c r="AB116" s="117">
        <v>70.5</v>
      </c>
      <c r="AC116" s="117">
        <v>56</v>
      </c>
      <c r="AD116" s="117">
        <v>56.7</v>
      </c>
      <c r="AE116" s="117">
        <v>51.9</v>
      </c>
      <c r="AF116" s="117">
        <v>64</v>
      </c>
      <c r="AG116" s="118"/>
      <c r="AH116" s="47">
        <f t="shared" si="8"/>
        <v>104.1</v>
      </c>
      <c r="AI116" s="48">
        <f t="shared" si="9"/>
        <v>51.9</v>
      </c>
    </row>
    <row r="117" spans="1:37" x14ac:dyDescent="0.25">
      <c r="A117" s="116" t="s">
        <v>123</v>
      </c>
      <c r="B117" s="117"/>
      <c r="C117" s="117">
        <v>54.4</v>
      </c>
      <c r="D117" s="117"/>
      <c r="E117" s="117">
        <v>58.5</v>
      </c>
      <c r="F117" s="117">
        <v>54.8</v>
      </c>
      <c r="G117" s="117">
        <v>47.7</v>
      </c>
      <c r="H117" s="117">
        <v>51.6</v>
      </c>
      <c r="I117" s="117">
        <v>49.1</v>
      </c>
      <c r="J117" s="117"/>
      <c r="K117" s="117">
        <v>41.5</v>
      </c>
      <c r="L117" s="117">
        <v>46.9</v>
      </c>
      <c r="M117" s="117"/>
      <c r="N117" s="117">
        <v>39</v>
      </c>
      <c r="O117" s="117"/>
      <c r="P117" s="117">
        <v>51.8</v>
      </c>
      <c r="Q117" s="117">
        <v>41.7</v>
      </c>
      <c r="R117" s="117">
        <v>50</v>
      </c>
      <c r="S117" s="117">
        <v>36.1</v>
      </c>
      <c r="T117" s="117">
        <v>40.299999999999997</v>
      </c>
      <c r="U117" s="117">
        <v>59</v>
      </c>
      <c r="V117" s="117">
        <v>49</v>
      </c>
      <c r="W117" s="117">
        <v>43.2</v>
      </c>
      <c r="X117" s="117">
        <v>38.799999999999997</v>
      </c>
      <c r="Y117" s="117">
        <v>30</v>
      </c>
      <c r="Z117" s="117">
        <v>28.9</v>
      </c>
      <c r="AA117" s="117">
        <v>36.9</v>
      </c>
      <c r="AB117" s="117">
        <v>37.4</v>
      </c>
      <c r="AC117" s="117">
        <v>31.9</v>
      </c>
      <c r="AD117" s="117">
        <v>44.9</v>
      </c>
      <c r="AE117" s="117">
        <v>50.7</v>
      </c>
      <c r="AF117" s="117">
        <v>55.8</v>
      </c>
      <c r="AG117" s="119"/>
      <c r="AH117" s="47">
        <f t="shared" si="8"/>
        <v>59</v>
      </c>
      <c r="AI117" s="48">
        <f t="shared" si="9"/>
        <v>28.9</v>
      </c>
    </row>
    <row r="118" spans="1:37" x14ac:dyDescent="0.25">
      <c r="A118" s="120" t="s">
        <v>124</v>
      </c>
      <c r="B118" s="106"/>
      <c r="C118" s="106">
        <v>-14.4</v>
      </c>
      <c r="D118" s="106">
        <v>15.5</v>
      </c>
      <c r="E118" s="106">
        <v>-13.1</v>
      </c>
      <c r="F118" s="106">
        <v>-7.5</v>
      </c>
      <c r="G118" s="106">
        <v>-4.5</v>
      </c>
      <c r="H118" s="106">
        <v>-7.5</v>
      </c>
      <c r="I118" s="106">
        <v>-6</v>
      </c>
      <c r="J118" s="106">
        <v>-9.5</v>
      </c>
      <c r="K118" s="106">
        <v>-10.4</v>
      </c>
      <c r="L118" s="106">
        <v>-18</v>
      </c>
      <c r="M118" s="106">
        <v>-28.4</v>
      </c>
      <c r="N118" s="106">
        <v>-26</v>
      </c>
      <c r="O118" s="106">
        <v>-47.8</v>
      </c>
      <c r="P118" s="106">
        <v>-55</v>
      </c>
      <c r="Q118" s="106">
        <v>-31.5</v>
      </c>
      <c r="R118" s="106">
        <v>-29.7</v>
      </c>
      <c r="S118" s="106">
        <v>122</v>
      </c>
      <c r="T118" s="106">
        <v>-23.5</v>
      </c>
      <c r="U118" s="106">
        <v>-28</v>
      </c>
      <c r="V118" s="106">
        <v>-27</v>
      </c>
      <c r="W118" s="106">
        <v>-30.7</v>
      </c>
      <c r="X118" s="106">
        <v>-26.2</v>
      </c>
      <c r="Y118" s="106">
        <v>-39.4</v>
      </c>
      <c r="Z118" s="106">
        <v>-40</v>
      </c>
      <c r="AA118" s="106">
        <v>-42</v>
      </c>
      <c r="AB118" s="106">
        <v>-40.9</v>
      </c>
      <c r="AC118" s="106">
        <v>-43.3</v>
      </c>
      <c r="AD118" s="106">
        <v>35.5</v>
      </c>
      <c r="AE118" s="106">
        <v>-35.5</v>
      </c>
      <c r="AF118" s="106">
        <v>33</v>
      </c>
      <c r="AG118" s="119"/>
      <c r="AH118" s="47">
        <f t="shared" si="8"/>
        <v>122</v>
      </c>
      <c r="AI118" s="48">
        <f t="shared" si="9"/>
        <v>-55</v>
      </c>
    </row>
    <row r="119" spans="1:37" x14ac:dyDescent="0.25">
      <c r="A119" s="175" t="s">
        <v>265</v>
      </c>
      <c r="B119" s="106"/>
      <c r="C119" s="106">
        <v>94</v>
      </c>
      <c r="D119" s="106">
        <v>99</v>
      </c>
      <c r="E119" s="106">
        <v>99.5</v>
      </c>
      <c r="F119" s="106">
        <v>88</v>
      </c>
      <c r="G119" s="106">
        <v>86</v>
      </c>
      <c r="H119" s="106">
        <v>72.900000000000006</v>
      </c>
      <c r="I119" s="106">
        <v>45.6</v>
      </c>
      <c r="J119" s="106">
        <v>65.7</v>
      </c>
      <c r="K119" s="106">
        <v>65.400000000000006</v>
      </c>
      <c r="L119" s="106">
        <v>59.9</v>
      </c>
      <c r="M119" s="106">
        <v>57.6</v>
      </c>
      <c r="N119" s="106">
        <v>73.8</v>
      </c>
      <c r="O119" s="106">
        <v>38.200000000000003</v>
      </c>
      <c r="P119" s="106">
        <v>63.2</v>
      </c>
      <c r="Q119" s="106">
        <v>75.900000000000006</v>
      </c>
      <c r="R119" s="106">
        <v>74.5</v>
      </c>
      <c r="S119" s="106">
        <v>62.6</v>
      </c>
      <c r="T119" s="106">
        <v>69.5</v>
      </c>
      <c r="U119" s="106">
        <v>30</v>
      </c>
      <c r="V119" s="106">
        <v>40</v>
      </c>
      <c r="W119" s="106">
        <v>43.1</v>
      </c>
      <c r="X119" s="106">
        <v>86</v>
      </c>
      <c r="Y119" s="106">
        <v>17.8</v>
      </c>
      <c r="Z119" s="106">
        <v>-5.4</v>
      </c>
      <c r="AA119" s="106">
        <v>13.3</v>
      </c>
      <c r="AB119" s="106">
        <v>29.3</v>
      </c>
      <c r="AC119" s="106">
        <v>68.5</v>
      </c>
      <c r="AD119" s="106">
        <v>63.7</v>
      </c>
      <c r="AE119" s="106">
        <v>92.3</v>
      </c>
      <c r="AF119" s="106">
        <v>92.632999999999996</v>
      </c>
      <c r="AG119" s="119"/>
      <c r="AH119" s="47">
        <f t="shared" si="8"/>
        <v>99.5</v>
      </c>
      <c r="AI119" s="48">
        <f t="shared" si="9"/>
        <v>-5.4</v>
      </c>
    </row>
    <row r="120" spans="1:37" ht="15.75" thickBot="1" x14ac:dyDescent="0.3">
      <c r="A120" s="120" t="s">
        <v>125</v>
      </c>
      <c r="B120" s="106"/>
      <c r="C120" s="106">
        <v>112.3</v>
      </c>
      <c r="D120" s="106">
        <v>112.3</v>
      </c>
      <c r="E120" s="106">
        <v>113.5</v>
      </c>
      <c r="F120" s="106">
        <v>111.2</v>
      </c>
      <c r="G120" s="106">
        <v>107.7</v>
      </c>
      <c r="H120" s="106">
        <v>95.1</v>
      </c>
      <c r="I120" s="106">
        <v>94.1</v>
      </c>
      <c r="J120" s="106">
        <v>103.3</v>
      </c>
      <c r="K120" s="106">
        <v>95</v>
      </c>
      <c r="L120" s="106">
        <v>96</v>
      </c>
      <c r="M120" s="106">
        <v>98.7</v>
      </c>
      <c r="N120" s="106">
        <v>106.8</v>
      </c>
      <c r="O120" s="106">
        <v>92.3</v>
      </c>
      <c r="P120" s="106">
        <v>89.4</v>
      </c>
      <c r="Q120" s="106">
        <v>11.5</v>
      </c>
      <c r="R120" s="106">
        <v>58</v>
      </c>
      <c r="S120" s="106">
        <v>103.3</v>
      </c>
      <c r="T120" s="106">
        <v>83.6</v>
      </c>
      <c r="U120" s="106">
        <v>103</v>
      </c>
      <c r="V120" s="106">
        <v>102</v>
      </c>
      <c r="W120" s="106">
        <v>94.8</v>
      </c>
      <c r="X120" s="106">
        <v>85.8</v>
      </c>
      <c r="Y120" s="106">
        <v>105.21</v>
      </c>
      <c r="Z120" s="106">
        <v>112</v>
      </c>
      <c r="AA120" s="106">
        <v>119</v>
      </c>
      <c r="AB120" s="106">
        <v>114</v>
      </c>
      <c r="AC120" s="106">
        <v>114.5</v>
      </c>
      <c r="AD120" s="106">
        <v>111.4</v>
      </c>
      <c r="AE120" s="106">
        <v>119</v>
      </c>
      <c r="AF120" s="106">
        <v>117</v>
      </c>
      <c r="AG120" s="119"/>
      <c r="AH120" s="47">
        <f t="shared" si="8"/>
        <v>119</v>
      </c>
      <c r="AI120" s="48">
        <f t="shared" si="9"/>
        <v>11.5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123.21900000000009</v>
      </c>
      <c r="N231" s="128">
        <f t="shared" ca="1" si="19"/>
        <v>123.21900000000009</v>
      </c>
      <c r="O231" s="128">
        <f t="shared" ca="1" si="19"/>
        <v>119.19900000000008</v>
      </c>
      <c r="P231" s="128">
        <f t="shared" ca="1" si="19"/>
        <v>111.15900000000006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121.23900000000009</v>
      </c>
      <c r="M235" s="136">
        <f t="shared" ca="1" si="20"/>
        <v>121.23900000000009</v>
      </c>
      <c r="N235" s="136">
        <f t="shared" ca="1" si="20"/>
        <v>125.2590000000001</v>
      </c>
      <c r="O235" s="136">
        <f t="shared" ca="1" si="20"/>
        <v>121.23900000000009</v>
      </c>
      <c r="P235" s="136">
        <f t="shared" ca="1" si="20"/>
        <v>113.19900000000007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1710.74</v>
      </c>
      <c r="C244" s="161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19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2080/02/19)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2080/02/19)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973.54</v>
      </c>
      <c r="U249" s="170">
        <f t="shared" si="21"/>
        <v>1620.3400000000001</v>
      </c>
      <c r="V249" s="170">
        <f t="shared" si="21"/>
        <v>1609.3400000000001</v>
      </c>
      <c r="W249" s="170">
        <f t="shared" si="21"/>
        <v>1593.94</v>
      </c>
      <c r="X249" s="170">
        <f t="shared" si="21"/>
        <v>1626.2400000000002</v>
      </c>
      <c r="Y249" s="170">
        <f t="shared" si="21"/>
        <v>1620.04</v>
      </c>
      <c r="Z249" s="170">
        <f t="shared" si="21"/>
        <v>1589.94</v>
      </c>
      <c r="AA249" s="170">
        <f t="shared" si="21"/>
        <v>1587.04</v>
      </c>
      <c r="AB249" s="170">
        <f t="shared" si="21"/>
        <v>1626.2400000000002</v>
      </c>
      <c r="AC249" s="170">
        <f t="shared" si="21"/>
        <v>1685.94</v>
      </c>
      <c r="AD249" s="170">
        <f t="shared" si="21"/>
        <v>1710.74</v>
      </c>
      <c r="AE249" s="170">
        <f t="shared" si="21"/>
        <v>1703.7400000000002</v>
      </c>
      <c r="AF249" s="170">
        <f t="shared" si="21"/>
        <v>1658.04</v>
      </c>
      <c r="AG249" s="170">
        <f t="shared" si="21"/>
        <v>1719.7600000000002</v>
      </c>
      <c r="AH249" s="170">
        <f t="shared" si="21"/>
        <v>1786.2399999999998</v>
      </c>
      <c r="AI249" s="170">
        <f t="shared" si="21"/>
        <v>1817.58</v>
      </c>
      <c r="AJ249" s="170">
        <f t="shared" si="21"/>
        <v>1862.54</v>
      </c>
      <c r="AK249" s="170">
        <f t="shared" si="21"/>
        <v>1799.64</v>
      </c>
      <c r="AL249" s="170">
        <f t="shared" si="21"/>
        <v>1796.44</v>
      </c>
      <c r="AM249" s="170">
        <f t="shared" si="21"/>
        <v>1808.34</v>
      </c>
      <c r="AN249" s="170">
        <f>V91</f>
        <v>1757.44</v>
      </c>
      <c r="AO249" s="170">
        <f t="shared" si="21"/>
        <v>1711.44</v>
      </c>
      <c r="AP249" s="170">
        <f>X91</f>
        <v>1631.54</v>
      </c>
      <c r="AQ249" s="170">
        <f t="shared" si="21"/>
        <v>1851.84</v>
      </c>
      <c r="AR249" s="170">
        <f t="shared" si="21"/>
        <v>1886.3400000000001</v>
      </c>
      <c r="AS249" s="170">
        <f t="shared" si="21"/>
        <v>1945.7399999999998</v>
      </c>
      <c r="AT249" s="170">
        <f t="shared" si="21"/>
        <v>1902.6399999999999</v>
      </c>
      <c r="AU249" s="170">
        <f t="shared" si="21"/>
        <v>1914.9400000000003</v>
      </c>
      <c r="AV249" s="170">
        <f t="shared" si="21"/>
        <v>1903.04</v>
      </c>
      <c r="AW249" s="170">
        <f t="shared" si="21"/>
        <v>1725.8400000000001</v>
      </c>
      <c r="AX249" s="170">
        <f t="shared" si="21"/>
        <v>1676.44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50"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U9:U10"/>
    <mergeCell ref="N9:N10"/>
    <mergeCell ref="A246:B246"/>
    <mergeCell ref="B55:B65"/>
    <mergeCell ref="AB9:AB10"/>
    <mergeCell ref="AC9:AC10"/>
    <mergeCell ref="AD9:AD10"/>
    <mergeCell ref="V9:V10"/>
    <mergeCell ref="W9:W10"/>
    <mergeCell ref="X9:X10"/>
    <mergeCell ref="Y9:Y10"/>
    <mergeCell ref="S9:S10"/>
    <mergeCell ref="R9:R10"/>
    <mergeCell ref="O9:O10"/>
    <mergeCell ref="P9:P10"/>
    <mergeCell ref="Q9:Q10"/>
    <mergeCell ref="T9:T10"/>
    <mergeCell ref="AA9:AA10"/>
    <mergeCell ref="M9:M10"/>
    <mergeCell ref="Z9:Z10"/>
    <mergeCell ref="AN84:AN85"/>
    <mergeCell ref="AE9:AE10"/>
    <mergeCell ref="AF9:AF10"/>
    <mergeCell ref="AG9:AG10"/>
  </mergeCells>
  <conditionalFormatting sqref="V3 AB3">
    <cfRule type="iconSet" priority="38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79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2:AF12 B14:AF17">
    <cfRule type="expression" dxfId="6541" priority="375">
      <formula>B$9&gt;=20/24</formula>
    </cfRule>
    <cfRule type="expression" dxfId="6540" priority="376">
      <formula>AND(B$9&gt;=14/24,B$9&lt;20/24)</formula>
    </cfRule>
    <cfRule type="expression" dxfId="6539" priority="377">
      <formula>AND(B$9&gt;=8/24,B$9&lt;14/24)</formula>
    </cfRule>
    <cfRule type="expression" dxfId="6538" priority="378">
      <formula>B$9&lt;8/24</formula>
    </cfRule>
  </conditionalFormatting>
  <conditionalFormatting sqref="AL4:AL6">
    <cfRule type="iconSet" priority="374">
      <iconSet iconSet="3TrafficLights2" reverse="1">
        <cfvo type="percent" val="0"/>
        <cfvo type="num" val="1"/>
        <cfvo type="num" val="1"/>
      </iconSet>
    </cfRule>
  </conditionalFormatting>
  <conditionalFormatting sqref="AG67 B12:AF12 B14:AF17">
    <cfRule type="expression" dxfId="6537" priority="373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6536" priority="372">
      <formula>$AH12=0</formula>
    </cfRule>
  </conditionalFormatting>
  <conditionalFormatting sqref="A116">
    <cfRule type="expression" dxfId="6535" priority="371">
      <formula>$AH116=0</formula>
    </cfRule>
  </conditionalFormatting>
  <conditionalFormatting sqref="AL44">
    <cfRule type="iconSet" priority="370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6534" priority="369">
      <formula>$AH47=0</formula>
    </cfRule>
  </conditionalFormatting>
  <conditionalFormatting sqref="A100">
    <cfRule type="expression" dxfId="6533" priority="368">
      <formula>$AH100=0</formula>
    </cfRule>
  </conditionalFormatting>
  <conditionalFormatting sqref="A20">
    <cfRule type="expression" dxfId="6532" priority="367">
      <formula>$AH20=0</formula>
    </cfRule>
  </conditionalFormatting>
  <conditionalFormatting sqref="A199:A204">
    <cfRule type="expression" dxfId="6531" priority="366">
      <formula>$AH199=0</formula>
    </cfRule>
  </conditionalFormatting>
  <conditionalFormatting sqref="A193:A198">
    <cfRule type="expression" dxfId="6530" priority="365">
      <formula>$AH193=0</formula>
    </cfRule>
  </conditionalFormatting>
  <conditionalFormatting sqref="A60">
    <cfRule type="expression" dxfId="6529" priority="364">
      <formula>$AH60=0</formula>
    </cfRule>
  </conditionalFormatting>
  <conditionalFormatting sqref="A96">
    <cfRule type="expression" dxfId="6528" priority="363">
      <formula>$AH96=0</formula>
    </cfRule>
  </conditionalFormatting>
  <conditionalFormatting sqref="E101:Y101 AD101:AF101">
    <cfRule type="expression" dxfId="6527" priority="359">
      <formula>E$9&gt;=20/24</formula>
    </cfRule>
    <cfRule type="expression" dxfId="6526" priority="360">
      <formula>AND(E$9&gt;=14/24,E$9&lt;20/24)</formula>
    </cfRule>
    <cfRule type="expression" dxfId="6525" priority="361">
      <formula>AND(E$9&gt;=8/24,E$9&lt;14/24)</formula>
    </cfRule>
    <cfRule type="expression" dxfId="6524" priority="362">
      <formula>E$9&lt;8/24</formula>
    </cfRule>
  </conditionalFormatting>
  <conditionalFormatting sqref="AL45">
    <cfRule type="iconSet" priority="35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523" priority="381">
      <formula>C$9&gt;=20/24</formula>
    </cfRule>
    <cfRule type="expression" dxfId="6522" priority="382">
      <formula>AND(C$9&gt;=14/24,C$9&lt;20/24)</formula>
    </cfRule>
    <cfRule type="expression" dxfId="6521" priority="383">
      <formula>AND(C$9&gt;=8/24,C$9&lt;14/24)</formula>
    </cfRule>
    <cfRule type="expression" dxfId="6520" priority="384">
      <formula>C$9&lt;8/24</formula>
    </cfRule>
  </conditionalFormatting>
  <conditionalFormatting sqref="A236">
    <cfRule type="expression" dxfId="6519" priority="385">
      <formula>$AH236=0</formula>
    </cfRule>
  </conditionalFormatting>
  <conditionalFormatting sqref="AG248">
    <cfRule type="expression" dxfId="6518" priority="386">
      <formula>B$9&gt;=20/24</formula>
    </cfRule>
    <cfRule type="expression" dxfId="6517" priority="387">
      <formula>AND(B$9&gt;=14/24,B$9&lt;20/24)</formula>
    </cfRule>
    <cfRule type="expression" dxfId="6516" priority="388">
      <formula>AND(B$9&gt;=8/24,B$9&lt;14/24)</formula>
    </cfRule>
    <cfRule type="expression" dxfId="6515" priority="389">
      <formula>B$9&lt;8/24</formula>
    </cfRule>
  </conditionalFormatting>
  <conditionalFormatting sqref="S8">
    <cfRule type="expression" dxfId="6514" priority="354">
      <formula>U$9&gt;=20/24</formula>
    </cfRule>
    <cfRule type="expression" dxfId="6513" priority="355">
      <formula>AND(U$9&gt;=14/24,U$9&lt;20/24)</formula>
    </cfRule>
    <cfRule type="expression" dxfId="6512" priority="356">
      <formula>AND(U$9&gt;=8/24,U$9&lt;14/24)</formula>
    </cfRule>
    <cfRule type="expression" dxfId="6511" priority="357">
      <formula>U$9&lt;8/24</formula>
    </cfRule>
  </conditionalFormatting>
  <conditionalFormatting sqref="AB8">
    <cfRule type="expression" dxfId="6510" priority="350">
      <formula>AD$9&gt;=20/24</formula>
    </cfRule>
    <cfRule type="expression" dxfId="6509" priority="351">
      <formula>AND(AD$9&gt;=14/24,AD$9&lt;20/24)</formula>
    </cfRule>
    <cfRule type="expression" dxfId="6508" priority="352">
      <formula>AND(AD$9&gt;=8/24,AD$9&lt;14/24)</formula>
    </cfRule>
    <cfRule type="expression" dxfId="6507" priority="353">
      <formula>AD$9&lt;8/24</formula>
    </cfRule>
  </conditionalFormatting>
  <conditionalFormatting sqref="AH248:AX248">
    <cfRule type="expression" dxfId="6506" priority="390">
      <formula>AG$9&gt;=20/24</formula>
    </cfRule>
    <cfRule type="expression" dxfId="6505" priority="391">
      <formula>AND(AG$9&gt;=14/24,AG$9&lt;20/24)</formula>
    </cfRule>
    <cfRule type="expression" dxfId="6504" priority="392">
      <formula>AND(AG$9&gt;=8/24,AG$9&lt;14/24)</formula>
    </cfRule>
    <cfRule type="expression" dxfId="6503" priority="393">
      <formula>AG$9&lt;8/24</formula>
    </cfRule>
  </conditionalFormatting>
  <conditionalFormatting sqref="T248">
    <cfRule type="expression" dxfId="6502" priority="394">
      <formula>AX$9&gt;=20/24</formula>
    </cfRule>
    <cfRule type="expression" dxfId="6501" priority="395">
      <formula>AND(AX$9&gt;=14/24,AX$9&lt;20/24)</formula>
    </cfRule>
    <cfRule type="expression" dxfId="6500" priority="396">
      <formula>AND(AX$9&gt;=8/24,AX$9&lt;14/24)</formula>
    </cfRule>
    <cfRule type="expression" dxfId="6499" priority="397">
      <formula>AX$9&lt;8/24</formula>
    </cfRule>
  </conditionalFormatting>
  <conditionalFormatting sqref="A117:A119">
    <cfRule type="expression" dxfId="6498" priority="349">
      <formula>$AH117=0</formula>
    </cfRule>
  </conditionalFormatting>
  <conditionalFormatting sqref="M56:T59 E73:AF73">
    <cfRule type="expression" dxfId="6497" priority="345">
      <formula>E$9&gt;=20/24</formula>
    </cfRule>
    <cfRule type="expression" dxfId="6496" priority="346">
      <formula>AND(E$9&gt;=14/24,E$9&lt;20/24)</formula>
    </cfRule>
    <cfRule type="expression" dxfId="6495" priority="347">
      <formula>AND(E$9&gt;=8/24,E$9&lt;14/24)</formula>
    </cfRule>
    <cfRule type="expression" dxfId="6494" priority="348">
      <formula>E$9&lt;8/24</formula>
    </cfRule>
  </conditionalFormatting>
  <conditionalFormatting sqref="M55:T55">
    <cfRule type="expression" dxfId="6493" priority="341">
      <formula>M$9&gt;=20/24</formula>
    </cfRule>
    <cfRule type="expression" dxfId="6492" priority="342">
      <formula>AND(M$9&gt;=14/24,M$9&lt;20/24)</formula>
    </cfRule>
    <cfRule type="expression" dxfId="6491" priority="343">
      <formula>AND(M$9&gt;=8/24,M$9&lt;14/24)</formula>
    </cfRule>
    <cfRule type="expression" dxfId="6490" priority="344">
      <formula>M$9&lt;8/24</formula>
    </cfRule>
  </conditionalFormatting>
  <conditionalFormatting sqref="M55:T59">
    <cfRule type="expression" dxfId="6489" priority="340">
      <formula>M55&gt;$AG55</formula>
    </cfRule>
  </conditionalFormatting>
  <conditionalFormatting sqref="Y98:AF98 AF102:AF108 D88:AF88 M102:Y108 Y49:AF49 AA69:AF71 E74:AF75">
    <cfRule type="expression" dxfId="6488" priority="336">
      <formula>D$9&gt;=20/24</formula>
    </cfRule>
    <cfRule type="expression" dxfId="6487" priority="337">
      <formula>AND(D$9&gt;=14/24,D$9&lt;20/24)</formula>
    </cfRule>
    <cfRule type="expression" dxfId="6486" priority="338">
      <formula>AND(D$9&gt;=8/24,D$9&lt;14/24)</formula>
    </cfRule>
    <cfRule type="expression" dxfId="6485" priority="339">
      <formula>D$9&lt;8/24</formula>
    </cfRule>
  </conditionalFormatting>
  <conditionalFormatting sqref="Y49:AF49 AA69:AF71">
    <cfRule type="expression" dxfId="6484" priority="335">
      <formula>Y49&gt;$AG49</formula>
    </cfRule>
  </conditionalFormatting>
  <conditionalFormatting sqref="AA60:AB60 U55:AC55 U56:AB59 AC56:AC60 AD55:AF60">
    <cfRule type="expression" dxfId="6483" priority="331">
      <formula>U$9&gt;=20/24</formula>
    </cfRule>
    <cfRule type="expression" dxfId="6482" priority="332">
      <formula>AND(U$9&gt;=14/24,U$9&lt;20/24)</formula>
    </cfRule>
    <cfRule type="expression" dxfId="6481" priority="333">
      <formula>AND(U$9&gt;=8/24,U$9&lt;14/24)</formula>
    </cfRule>
    <cfRule type="expression" dxfId="6480" priority="334">
      <formula>U$9&lt;8/24</formula>
    </cfRule>
  </conditionalFormatting>
  <conditionalFormatting sqref="AA60:AB60 U55:AC55 U56:AB59 AC56:AC60 AD55:AF60">
    <cfRule type="expression" dxfId="6479" priority="330">
      <formula>U55&gt;$AG55</formula>
    </cfRule>
  </conditionalFormatting>
  <conditionalFormatting sqref="C99:AF99 D90:AF90">
    <cfRule type="expression" dxfId="6478" priority="326">
      <formula>C$9&gt;=20/24</formula>
    </cfRule>
    <cfRule type="expression" dxfId="6477" priority="327">
      <formula>AND(C$9&gt;=14/24,C$9&lt;20/24)</formula>
    </cfRule>
    <cfRule type="expression" dxfId="6476" priority="328">
      <formula>AND(C$9&gt;=8/24,C$9&lt;14/24)</formula>
    </cfRule>
    <cfRule type="expression" dxfId="6475" priority="329">
      <formula>C$9&lt;8/24</formula>
    </cfRule>
  </conditionalFormatting>
  <conditionalFormatting sqref="T49:X49">
    <cfRule type="expression" dxfId="6474" priority="322">
      <formula>T$9&gt;=20/24</formula>
    </cfRule>
    <cfRule type="expression" dxfId="6473" priority="323">
      <formula>AND(T$9&gt;=14/24,T$9&lt;20/24)</formula>
    </cfRule>
    <cfRule type="expression" dxfId="6472" priority="324">
      <formula>AND(T$9&gt;=8/24,T$9&lt;14/24)</formula>
    </cfRule>
    <cfRule type="expression" dxfId="6471" priority="325">
      <formula>T$9&lt;8/24</formula>
    </cfRule>
  </conditionalFormatting>
  <conditionalFormatting sqref="T49:X49">
    <cfRule type="expression" dxfId="6470" priority="321">
      <formula>T49&gt;$AG49</formula>
    </cfRule>
  </conditionalFormatting>
  <conditionalFormatting sqref="E56:L57">
    <cfRule type="expression" dxfId="6469" priority="317">
      <formula>E$9&gt;=20/24</formula>
    </cfRule>
    <cfRule type="expression" dxfId="6468" priority="318">
      <formula>AND(E$9&gt;=14/24,E$9&lt;20/24)</formula>
    </cfRule>
    <cfRule type="expression" dxfId="6467" priority="319">
      <formula>AND(E$9&gt;=8/24,E$9&lt;14/24)</formula>
    </cfRule>
    <cfRule type="expression" dxfId="6466" priority="320">
      <formula>E$9&lt;8/24</formula>
    </cfRule>
  </conditionalFormatting>
  <conditionalFormatting sqref="E55:L55">
    <cfRule type="expression" dxfId="6465" priority="313">
      <formula>E$9&gt;=20/24</formula>
    </cfRule>
    <cfRule type="expression" dxfId="6464" priority="314">
      <formula>AND(E$9&gt;=14/24,E$9&lt;20/24)</formula>
    </cfRule>
    <cfRule type="expression" dxfId="6463" priority="315">
      <formula>AND(E$9&gt;=8/24,E$9&lt;14/24)</formula>
    </cfRule>
    <cfRule type="expression" dxfId="6462" priority="316">
      <formula>E$9&lt;8/24</formula>
    </cfRule>
  </conditionalFormatting>
  <conditionalFormatting sqref="E55:L57">
    <cfRule type="expression" dxfId="6461" priority="312">
      <formula>E55&gt;$AG55</formula>
    </cfRule>
  </conditionalFormatting>
  <conditionalFormatting sqref="AG72 AG89 E102:L108">
    <cfRule type="expression" dxfId="6460" priority="308">
      <formula>E$9&gt;=20/24</formula>
    </cfRule>
    <cfRule type="expression" dxfId="6459" priority="309">
      <formula>AND(E$9&gt;=14/24,E$9&lt;20/24)</formula>
    </cfRule>
    <cfRule type="expression" dxfId="6458" priority="310">
      <formula>AND(E$9&gt;=8/24,E$9&lt;14/24)</formula>
    </cfRule>
    <cfRule type="expression" dxfId="6457" priority="311">
      <formula>E$9&lt;8/24</formula>
    </cfRule>
  </conditionalFormatting>
  <conditionalFormatting sqref="AG50 AG68 AG72">
    <cfRule type="expression" dxfId="6456" priority="307">
      <formula>AG50&gt;$AG50</formula>
    </cfRule>
  </conditionalFormatting>
  <conditionalFormatting sqref="A45">
    <cfRule type="expression" dxfId="6455" priority="306">
      <formula>$AH45=0</formula>
    </cfRule>
  </conditionalFormatting>
  <conditionalFormatting sqref="Y93:AF97">
    <cfRule type="expression" dxfId="6454" priority="302">
      <formula>Y$9&gt;=20/24</formula>
    </cfRule>
    <cfRule type="expression" dxfId="6453" priority="303">
      <formula>AND(Y$9&gt;=14/24,Y$9&lt;20/24)</formula>
    </cfRule>
    <cfRule type="expression" dxfId="6452" priority="304">
      <formula>AND(Y$9&gt;=8/24,Y$9&lt;14/24)</formula>
    </cfRule>
    <cfRule type="expression" dxfId="6451" priority="305">
      <formula>Y$9&lt;8/24</formula>
    </cfRule>
  </conditionalFormatting>
  <conditionalFormatting sqref="AL47 AL43 AL24:AL34 AL40:AL41 AL19:AL22 AL36:AL38 AL7:AL17">
    <cfRule type="iconSet" priority="398">
      <iconSet iconSet="3TrafficLights2" reverse="1">
        <cfvo type="percent" val="0"/>
        <cfvo type="num" val="1"/>
        <cfvo type="num" val="1"/>
      </iconSet>
    </cfRule>
  </conditionalFormatting>
  <conditionalFormatting sqref="E51:Q51 Q52:Q53 E53:P53 R51:AF53">
    <cfRule type="expression" dxfId="6450" priority="298">
      <formula>E$9&gt;=20/24</formula>
    </cfRule>
    <cfRule type="expression" dxfId="6449" priority="299">
      <formula>AND(E$9&gt;=14/24,E$9&lt;20/24)</formula>
    </cfRule>
    <cfRule type="expression" dxfId="6448" priority="300">
      <formula>AND(E$9&gt;=8/24,E$9&lt;14/24)</formula>
    </cfRule>
    <cfRule type="expression" dxfId="6447" priority="301">
      <formula>E$9&lt;8/24</formula>
    </cfRule>
  </conditionalFormatting>
  <conditionalFormatting sqref="E51:Q51 Q52:Q53 E53:P53 R51:AF53">
    <cfRule type="expression" dxfId="6446" priority="297">
      <formula>E51&gt;$AG51</formula>
    </cfRule>
  </conditionalFormatting>
  <conditionalFormatting sqref="AG54">
    <cfRule type="expression" dxfId="6445" priority="293">
      <formula>AG$9&gt;=20/24</formula>
    </cfRule>
    <cfRule type="expression" dxfId="6444" priority="294">
      <formula>AND(AG$9&gt;=14/24,AG$9&lt;20/24)</formula>
    </cfRule>
    <cfRule type="expression" dxfId="6443" priority="295">
      <formula>AND(AG$9&gt;=8/24,AG$9&lt;14/24)</formula>
    </cfRule>
    <cfRule type="expression" dxfId="6442" priority="296">
      <formula>AG$9&lt;8/24</formula>
    </cfRule>
  </conditionalFormatting>
  <conditionalFormatting sqref="AG54">
    <cfRule type="expression" dxfId="6441" priority="292">
      <formula>AG54&gt;$AG54</formula>
    </cfRule>
  </conditionalFormatting>
  <conditionalFormatting sqref="C109:AF109">
    <cfRule type="expression" dxfId="6440" priority="288">
      <formula>C$9&gt;=20/24</formula>
    </cfRule>
    <cfRule type="expression" dxfId="6439" priority="289">
      <formula>AND(C$9&gt;=14/24,C$9&lt;20/24)</formula>
    </cfRule>
    <cfRule type="expression" dxfId="6438" priority="290">
      <formula>AND(C$9&gt;=8/24,C$9&lt;14/24)</formula>
    </cfRule>
    <cfRule type="expression" dxfId="6437" priority="291">
      <formula>C$9&lt;8/24</formula>
    </cfRule>
  </conditionalFormatting>
  <conditionalFormatting sqref="AL42">
    <cfRule type="iconSet" priority="287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6436" priority="286">
      <formula>$AH42=0</formula>
    </cfRule>
  </conditionalFormatting>
  <conditionalFormatting sqref="A92">
    <cfRule type="expression" dxfId="6435" priority="284">
      <formula>$AH92=0</formula>
    </cfRule>
  </conditionalFormatting>
  <conditionalFormatting sqref="A89">
    <cfRule type="expression" dxfId="6434" priority="285">
      <formula>$AH89=0</formula>
    </cfRule>
  </conditionalFormatting>
  <conditionalFormatting sqref="D112:AF112">
    <cfRule type="expression" dxfId="6433" priority="280">
      <formula>D$9&gt;=20/24</formula>
    </cfRule>
    <cfRule type="expression" dxfId="6432" priority="281">
      <formula>AND(D$9&gt;=14/24,D$9&lt;20/24)</formula>
    </cfRule>
    <cfRule type="expression" dxfId="6431" priority="282">
      <formula>AND(D$9&gt;=8/24,D$9&lt;14/24)</formula>
    </cfRule>
    <cfRule type="expression" dxfId="6430" priority="283">
      <formula>D$9&lt;8/24</formula>
    </cfRule>
  </conditionalFormatting>
  <conditionalFormatting sqref="A112">
    <cfRule type="expression" dxfId="6429" priority="279">
      <formula>$AH112=0</formula>
    </cfRule>
  </conditionalFormatting>
  <conditionalFormatting sqref="A23">
    <cfRule type="expression" dxfId="6428" priority="277">
      <formula>$AH23=0</formula>
    </cfRule>
  </conditionalFormatting>
  <conditionalFormatting sqref="AL2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6427" priority="275">
      <formula>$AH39=0</formula>
    </cfRule>
  </conditionalFormatting>
  <conditionalFormatting sqref="AL39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6426" priority="271">
      <formula>Z$9&gt;=20/24</formula>
    </cfRule>
    <cfRule type="expression" dxfId="6425" priority="272">
      <formula>AND(Z$9&gt;=14/24,Z$9&lt;20/24)</formula>
    </cfRule>
    <cfRule type="expression" dxfId="6424" priority="273">
      <formula>AND(Z$9&gt;=8/24,Z$9&lt;14/24)</formula>
    </cfRule>
    <cfRule type="expression" dxfId="6423" priority="274">
      <formula>Z$9&lt;8/24</formula>
    </cfRule>
  </conditionalFormatting>
  <conditionalFormatting sqref="Z102:AE108">
    <cfRule type="expression" dxfId="6422" priority="267">
      <formula>Z$9&gt;=20/24</formula>
    </cfRule>
    <cfRule type="expression" dxfId="6421" priority="268">
      <formula>AND(Z$9&gt;=14/24,Z$9&lt;20/24)</formula>
    </cfRule>
    <cfRule type="expression" dxfId="6420" priority="269">
      <formula>AND(Z$9&gt;=8/24,Z$9&lt;14/24)</formula>
    </cfRule>
    <cfRule type="expression" dxfId="6419" priority="270">
      <formula>Z$9&lt;8/24</formula>
    </cfRule>
  </conditionalFormatting>
  <conditionalFormatting sqref="C111 C113:C119 AA32:AF34 AA27:AF28 AA37:AF37 AA44:AF45 AA19:AF25 AA39:AF42">
    <cfRule type="expression" dxfId="6418" priority="263">
      <formula>C$9&gt;=20/24</formula>
    </cfRule>
    <cfRule type="expression" dxfId="6417" priority="264">
      <formula>AND(C$9&gt;=14/24,C$9&lt;20/24)</formula>
    </cfRule>
    <cfRule type="expression" dxfId="6416" priority="265">
      <formula>AND(C$9&gt;=8/24,C$9&lt;14/24)</formula>
    </cfRule>
    <cfRule type="expression" dxfId="6415" priority="266">
      <formula>C$9&lt;8/24</formula>
    </cfRule>
  </conditionalFormatting>
  <conditionalFormatting sqref="E49:S49">
    <cfRule type="expression" dxfId="6414" priority="259">
      <formula>E$9&gt;=20/24</formula>
    </cfRule>
    <cfRule type="expression" dxfId="6413" priority="260">
      <formula>AND(E$9&gt;=14/24,E$9&lt;20/24)</formula>
    </cfRule>
    <cfRule type="expression" dxfId="6412" priority="261">
      <formula>AND(E$9&gt;=8/24,E$9&lt;14/24)</formula>
    </cfRule>
    <cfRule type="expression" dxfId="6411" priority="262">
      <formula>E$9&lt;8/24</formula>
    </cfRule>
  </conditionalFormatting>
  <conditionalFormatting sqref="E49:S49 AA32:AF34 AA27:AF28 AA37:AF37 AA44:AF45 AA19:AF25 AA39:AF42">
    <cfRule type="expression" dxfId="6410" priority="258">
      <formula>E19&gt;$AG19</formula>
    </cfRule>
  </conditionalFormatting>
  <conditionalFormatting sqref="C101:D101">
    <cfRule type="expression" dxfId="6409" priority="254">
      <formula>C$9&gt;=20/24</formula>
    </cfRule>
    <cfRule type="expression" dxfId="6408" priority="255">
      <formula>AND(C$9&gt;=14/24,C$9&lt;20/24)</formula>
    </cfRule>
    <cfRule type="expression" dxfId="6407" priority="256">
      <formula>AND(C$9&gt;=8/24,C$9&lt;14/24)</formula>
    </cfRule>
    <cfRule type="expression" dxfId="6406" priority="257">
      <formula>C$9&lt;8/24</formula>
    </cfRule>
  </conditionalFormatting>
  <conditionalFormatting sqref="C88 D102:D108 C98:X98 C85:AF87 E69:Z71 E76:AF78">
    <cfRule type="expression" dxfId="6405" priority="250">
      <formula>C$9&gt;=20/24</formula>
    </cfRule>
    <cfRule type="expression" dxfId="6404" priority="251">
      <formula>AND(C$9&gt;=14/24,C$9&lt;20/24)</formula>
    </cfRule>
    <cfRule type="expression" dxfId="6403" priority="252">
      <formula>AND(C$9&gt;=8/24,C$9&lt;14/24)</formula>
    </cfRule>
    <cfRule type="expression" dxfId="6402" priority="253">
      <formula>C$9&lt;8/24</formula>
    </cfRule>
  </conditionalFormatting>
  <conditionalFormatting sqref="E58:L58 G59:L59 E69:Z71">
    <cfRule type="expression" dxfId="6401" priority="249">
      <formula>E58&gt;$AG58</formula>
    </cfRule>
  </conditionalFormatting>
  <conditionalFormatting sqref="D73">
    <cfRule type="expression" dxfId="6400" priority="191">
      <formula>D$9&gt;=20/24</formula>
    </cfRule>
    <cfRule type="expression" dxfId="6399" priority="192">
      <formula>AND(D$9&gt;=14/24,D$9&lt;20/24)</formula>
    </cfRule>
    <cfRule type="expression" dxfId="6398" priority="193">
      <formula>AND(D$9&gt;=8/24,D$9&lt;14/24)</formula>
    </cfRule>
    <cfRule type="expression" dxfId="6397" priority="194">
      <formula>D$9&lt;8/24</formula>
    </cfRule>
  </conditionalFormatting>
  <conditionalFormatting sqref="C89:AF89 C91:AF91 C100:AF100 C72:AF72">
    <cfRule type="expression" dxfId="6396" priority="245">
      <formula>C$9&gt;=20/24</formula>
    </cfRule>
    <cfRule type="expression" dxfId="6395" priority="246">
      <formula>AND(C$9&gt;=14/24,C$9&lt;20/24)</formula>
    </cfRule>
    <cfRule type="expression" dxfId="6394" priority="247">
      <formula>AND(C$9&gt;=8/24,C$9&lt;14/24)</formula>
    </cfRule>
    <cfRule type="expression" dxfId="6393" priority="248">
      <formula>C$9&lt;8/24</formula>
    </cfRule>
  </conditionalFormatting>
  <conditionalFormatting sqref="C72:AF72 D67:AF68">
    <cfRule type="expression" dxfId="6392" priority="244">
      <formula>C67&gt;$AG67</formula>
    </cfRule>
  </conditionalFormatting>
  <conditionalFormatting sqref="C84:AF84">
    <cfRule type="expression" dxfId="6391" priority="240">
      <formula>C$9&gt;=20/24</formula>
    </cfRule>
    <cfRule type="expression" dxfId="6390" priority="241">
      <formula>AND(C$9&gt;=14/24,C$9&lt;20/24)</formula>
    </cfRule>
    <cfRule type="expression" dxfId="6389" priority="242">
      <formula>AND(C$9&gt;=8/24,C$9&lt;14/24)</formula>
    </cfRule>
    <cfRule type="expression" dxfId="6388" priority="243">
      <formula>C$9&lt;8/24</formula>
    </cfRule>
  </conditionalFormatting>
  <conditionalFormatting sqref="C93:X97">
    <cfRule type="expression" dxfId="6387" priority="236">
      <formula>C$9&gt;=20/24</formula>
    </cfRule>
    <cfRule type="expression" dxfId="6386" priority="237">
      <formula>AND(C$9&gt;=14/24,C$9&lt;20/24)</formula>
    </cfRule>
    <cfRule type="expression" dxfId="6385" priority="238">
      <formula>AND(C$9&gt;=8/24,C$9&lt;14/24)</formula>
    </cfRule>
    <cfRule type="expression" dxfId="6384" priority="239">
      <formula>C$9&lt;8/24</formula>
    </cfRule>
  </conditionalFormatting>
  <conditionalFormatting sqref="D54:AF54">
    <cfRule type="expression" dxfId="6383" priority="232">
      <formula>D$9&gt;=20/24</formula>
    </cfRule>
    <cfRule type="expression" dxfId="6382" priority="233">
      <formula>AND(D$9&gt;=14/24,D$9&lt;20/24)</formula>
    </cfRule>
    <cfRule type="expression" dxfId="6381" priority="234">
      <formula>AND(D$9&gt;=8/24,D$9&lt;14/24)</formula>
    </cfRule>
    <cfRule type="expression" dxfId="6380" priority="235">
      <formula>D$9&lt;8/24</formula>
    </cfRule>
  </conditionalFormatting>
  <conditionalFormatting sqref="D54:AF54">
    <cfRule type="expression" dxfId="6379" priority="231">
      <formula>D54&gt;$AG54</formula>
    </cfRule>
  </conditionalFormatting>
  <conditionalFormatting sqref="C112">
    <cfRule type="expression" dxfId="6378" priority="223">
      <formula>C$9&gt;=20/24</formula>
    </cfRule>
    <cfRule type="expression" dxfId="6377" priority="224">
      <formula>AND(C$9&gt;=14/24,C$9&lt;20/24)</formula>
    </cfRule>
    <cfRule type="expression" dxfId="6376" priority="225">
      <formula>AND(C$9&gt;=8/24,C$9&lt;14/24)</formula>
    </cfRule>
    <cfRule type="expression" dxfId="6375" priority="226">
      <formula>C$9&lt;8/24</formula>
    </cfRule>
  </conditionalFormatting>
  <conditionalFormatting sqref="AA61:AF66">
    <cfRule type="expression" dxfId="6374" priority="219">
      <formula>AA$9&gt;=20/24</formula>
    </cfRule>
    <cfRule type="expression" dxfId="6373" priority="220">
      <formula>AND(AA$9&gt;=14/24,AA$9&lt;20/24)</formula>
    </cfRule>
    <cfRule type="expression" dxfId="6372" priority="221">
      <formula>AND(AA$9&gt;=8/24,AA$9&lt;14/24)</formula>
    </cfRule>
    <cfRule type="expression" dxfId="6371" priority="222">
      <formula>AA$9&lt;8/24</formula>
    </cfRule>
  </conditionalFormatting>
  <conditionalFormatting sqref="AA61:AF66">
    <cfRule type="expression" dxfId="6370" priority="218">
      <formula>AA61&gt;$AG61</formula>
    </cfRule>
  </conditionalFormatting>
  <conditionalFormatting sqref="AA47:AF47">
    <cfRule type="expression" dxfId="6369" priority="217">
      <formula>AA47&gt;$AG47</formula>
    </cfRule>
  </conditionalFormatting>
  <conditionalFormatting sqref="AA13:AF13">
    <cfRule type="expression" dxfId="6368" priority="213">
      <formula>AA$9&gt;=20/24</formula>
    </cfRule>
    <cfRule type="expression" dxfId="6367" priority="214">
      <formula>AND(AA$9&gt;=14/24,AA$9&lt;20/24)</formula>
    </cfRule>
    <cfRule type="expression" dxfId="6366" priority="215">
      <formula>AND(AA$9&gt;=8/24,AA$9&lt;14/24)</formula>
    </cfRule>
    <cfRule type="expression" dxfId="6365" priority="216">
      <formula>AA$9&lt;8/24</formula>
    </cfRule>
  </conditionalFormatting>
  <conditionalFormatting sqref="AA13:AF13">
    <cfRule type="expression" dxfId="6364" priority="212">
      <formula>AA13&gt;$AG13</formula>
    </cfRule>
  </conditionalFormatting>
  <conditionalFormatting sqref="AA47:AF47">
    <cfRule type="expression" dxfId="6363" priority="208">
      <formula>AA$9&gt;=20/24</formula>
    </cfRule>
    <cfRule type="expression" dxfId="6362" priority="209">
      <formula>AND(AA$9&gt;=14/24,AA$9&lt;20/24)</formula>
    </cfRule>
    <cfRule type="expression" dxfId="6361" priority="210">
      <formula>AND(AA$9&gt;=8/24,AA$9&lt;14/24)</formula>
    </cfRule>
    <cfRule type="expression" dxfId="6360" priority="211">
      <formula>AA$9&lt;8/24</formula>
    </cfRule>
  </conditionalFormatting>
  <conditionalFormatting sqref="P79:R79 E79:O81 Q80:R83 P80:P81 S79:AF83">
    <cfRule type="expression" dxfId="6359" priority="204">
      <formula>E$9&gt;=20/24</formula>
    </cfRule>
    <cfRule type="expression" dxfId="6358" priority="205">
      <formula>AND(E$9&gt;=14/24,E$9&lt;20/24)</formula>
    </cfRule>
    <cfRule type="expression" dxfId="6357" priority="206">
      <formula>AND(E$9&gt;=8/24,E$9&lt;14/24)</formula>
    </cfRule>
    <cfRule type="expression" dxfId="6356" priority="207">
      <formula>E$9&lt;8/24</formula>
    </cfRule>
  </conditionalFormatting>
  <conditionalFormatting sqref="AL80:AN80 AL86:AN86 AN81:AN82">
    <cfRule type="expression" dxfId="6355" priority="200">
      <formula>AL$9&gt;=20/24</formula>
    </cfRule>
    <cfRule type="expression" dxfId="6354" priority="201">
      <formula>AND(AL$9&gt;=14/24,AL$9&lt;20/24)</formula>
    </cfRule>
    <cfRule type="expression" dxfId="6353" priority="202">
      <formula>AND(AL$9&gt;=8/24,AL$9&lt;14/24)</formula>
    </cfRule>
    <cfRule type="expression" dxfId="6352" priority="203">
      <formula>AL$9&lt;8/24</formula>
    </cfRule>
  </conditionalFormatting>
  <conditionalFormatting sqref="AN83:AN84">
    <cfRule type="expression" dxfId="6351" priority="196">
      <formula>AN$9&gt;=20/24</formula>
    </cfRule>
    <cfRule type="expression" dxfId="6350" priority="197">
      <formula>AND(AN$9&gt;=14/24,AN$9&lt;20/24)</formula>
    </cfRule>
    <cfRule type="expression" dxfId="6349" priority="198">
      <formula>AND(AN$9&gt;=8/24,AN$9&lt;14/24)</formula>
    </cfRule>
    <cfRule type="expression" dxfId="6348" priority="199">
      <formula>AN$9&lt;8/24</formula>
    </cfRule>
  </conditionalFormatting>
  <conditionalFormatting sqref="AL81:AM85">
    <cfRule type="expression" dxfId="6347" priority="399">
      <formula>AJ$9&gt;=20/24</formula>
    </cfRule>
    <cfRule type="expression" dxfId="6346" priority="400">
      <formula>AND(AJ$9&gt;=14/24,AJ$9&lt;20/24)</formula>
    </cfRule>
    <cfRule type="expression" dxfId="6345" priority="401">
      <formula>AND(AJ$9&gt;=8/24,AJ$9&lt;14/24)</formula>
    </cfRule>
    <cfRule type="expression" dxfId="6344" priority="402">
      <formula>AJ$9&lt;8/24</formula>
    </cfRule>
  </conditionalFormatting>
  <conditionalFormatting sqref="A120">
    <cfRule type="expression" dxfId="6343" priority="195">
      <formula>$AH120=0</formula>
    </cfRule>
  </conditionalFormatting>
  <conditionalFormatting sqref="C102:C108 D69:D71 D74:D83 E82:P83">
    <cfRule type="expression" dxfId="6342" priority="187">
      <formula>C$9&gt;=20/24</formula>
    </cfRule>
    <cfRule type="expression" dxfId="6341" priority="188">
      <formula>AND(C$9&gt;=14/24,C$9&lt;20/24)</formula>
    </cfRule>
    <cfRule type="expression" dxfId="6340" priority="189">
      <formula>AND(C$9&gt;=8/24,C$9&lt;14/24)</formula>
    </cfRule>
    <cfRule type="expression" dxfId="6339" priority="190">
      <formula>C$9&lt;8/24</formula>
    </cfRule>
  </conditionalFormatting>
  <conditionalFormatting sqref="D69:D71">
    <cfRule type="expression" dxfId="6338" priority="186">
      <formula>D69&gt;$AG69</formula>
    </cfRule>
  </conditionalFormatting>
  <conditionalFormatting sqref="C90">
    <cfRule type="expression" dxfId="6337" priority="182">
      <formula>C$9&gt;=20/24</formula>
    </cfRule>
    <cfRule type="expression" dxfId="6336" priority="183">
      <formula>AND(C$9&gt;=14/24,C$9&lt;20/24)</formula>
    </cfRule>
    <cfRule type="expression" dxfId="6335" priority="184">
      <formula>AND(C$9&gt;=8/24,C$9&lt;14/24)</formula>
    </cfRule>
    <cfRule type="expression" dxfId="6334" priority="185">
      <formula>C$9&lt;8/24</formula>
    </cfRule>
  </conditionalFormatting>
  <conditionalFormatting sqref="AA48:AF48">
    <cfRule type="expression" dxfId="6333" priority="178">
      <formula>AA$9&gt;=20/24</formula>
    </cfRule>
    <cfRule type="expression" dxfId="6332" priority="179">
      <formula>AND(AA$9&gt;=14/24,AA$9&lt;20/24)</formula>
    </cfRule>
    <cfRule type="expression" dxfId="6331" priority="180">
      <formula>AND(AA$9&gt;=8/24,AA$9&lt;14/24)</formula>
    </cfRule>
    <cfRule type="expression" dxfId="6330" priority="181">
      <formula>AA$9&lt;8/24</formula>
    </cfRule>
  </conditionalFormatting>
  <conditionalFormatting sqref="AA48:AF48">
    <cfRule type="expression" dxfId="6329" priority="177">
      <formula>AA48&gt;$AG48</formula>
    </cfRule>
  </conditionalFormatting>
  <conditionalFormatting sqref="J60:Z60">
    <cfRule type="expression" dxfId="6328" priority="173">
      <formula>J$9&gt;=20/24</formula>
    </cfRule>
    <cfRule type="expression" dxfId="6327" priority="174">
      <formula>AND(J$9&gt;=14/24,J$9&lt;20/24)</formula>
    </cfRule>
    <cfRule type="expression" dxfId="6326" priority="175">
      <formula>AND(J$9&gt;=8/24,J$9&lt;14/24)</formula>
    </cfRule>
    <cfRule type="expression" dxfId="6325" priority="176">
      <formula>J$9&lt;8/24</formula>
    </cfRule>
  </conditionalFormatting>
  <conditionalFormatting sqref="J60:Z60">
    <cfRule type="expression" dxfId="6324" priority="172">
      <formula>J60&gt;$AG60</formula>
    </cfRule>
  </conditionalFormatting>
  <conditionalFormatting sqref="B88 B98 B103:B108 B69:C71 B74:C76 B49:D49">
    <cfRule type="expression" dxfId="6323" priority="120">
      <formula>B$9&gt;=20/24</formula>
    </cfRule>
    <cfRule type="expression" dxfId="6322" priority="121">
      <formula>AND(B$9&gt;=14/24,B$9&lt;20/24)</formula>
    </cfRule>
    <cfRule type="expression" dxfId="6321" priority="122">
      <formula>AND(B$9&gt;=8/24,B$9&lt;14/24)</formula>
    </cfRule>
    <cfRule type="expression" dxfId="6320" priority="123">
      <formula>B$9&lt;8/24</formula>
    </cfRule>
  </conditionalFormatting>
  <conditionalFormatting sqref="C60:I60">
    <cfRule type="expression" dxfId="6319" priority="111">
      <formula>C$9&gt;=20/24</formula>
    </cfRule>
    <cfRule type="expression" dxfId="6318" priority="112">
      <formula>AND(C$9&gt;=14/24,C$9&lt;20/24)</formula>
    </cfRule>
    <cfRule type="expression" dxfId="6317" priority="113">
      <formula>AND(C$9&gt;=8/24,C$9&lt;14/24)</formula>
    </cfRule>
    <cfRule type="expression" dxfId="6316" priority="114">
      <formula>C$9&lt;8/24</formula>
    </cfRule>
  </conditionalFormatting>
  <conditionalFormatting sqref="E50:AF50">
    <cfRule type="expression" dxfId="6315" priority="171">
      <formula>E50&gt;$AG50</formula>
    </cfRule>
  </conditionalFormatting>
  <conditionalFormatting sqref="Q61:Z66">
    <cfRule type="expression" dxfId="6314" priority="167">
      <formula>Q$9&gt;=20/24</formula>
    </cfRule>
    <cfRule type="expression" dxfId="6313" priority="168">
      <formula>AND(Q$9&gt;=14/24,Q$9&lt;20/24)</formula>
    </cfRule>
    <cfRule type="expression" dxfId="6312" priority="169">
      <formula>AND(Q$9&gt;=8/24,Q$9&lt;14/24)</formula>
    </cfRule>
    <cfRule type="expression" dxfId="6311" priority="170">
      <formula>Q$9&lt;8/24</formula>
    </cfRule>
  </conditionalFormatting>
  <conditionalFormatting sqref="Q61:Z66">
    <cfRule type="expression" dxfId="6310" priority="166">
      <formula>Q61&gt;$AG61</formula>
    </cfRule>
  </conditionalFormatting>
  <conditionalFormatting sqref="A11">
    <cfRule type="expression" dxfId="6309" priority="165">
      <formula>$AH11=0</formula>
    </cfRule>
  </conditionalFormatting>
  <conditionalFormatting sqref="A18">
    <cfRule type="expression" dxfId="6308" priority="163">
      <formula>$AH18=0</formula>
    </cfRule>
  </conditionalFormatting>
  <conditionalFormatting sqref="AL18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6307" priority="159">
      <formula>AA$9&gt;=20/24</formula>
    </cfRule>
    <cfRule type="expression" dxfId="6306" priority="160">
      <formula>AND(AA$9&gt;=14/24,AA$9&lt;20/24)</formula>
    </cfRule>
    <cfRule type="expression" dxfId="6305" priority="161">
      <formula>AND(AA$9&gt;=8/24,AA$9&lt;14/24)</formula>
    </cfRule>
    <cfRule type="expression" dxfId="6304" priority="162">
      <formula>AA$9&lt;8/24</formula>
    </cfRule>
  </conditionalFormatting>
  <conditionalFormatting sqref="AA18:AF18">
    <cfRule type="expression" dxfId="6303" priority="158">
      <formula>AA18&gt;$AG18</formula>
    </cfRule>
  </conditionalFormatting>
  <conditionalFormatting sqref="A35">
    <cfRule type="expression" dxfId="6302" priority="156">
      <formula>$AH35=0</formula>
    </cfRule>
  </conditionalFormatting>
  <conditionalFormatting sqref="AL35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46">
    <cfRule type="expression" dxfId="6301" priority="154">
      <formula>$AH46=0</formula>
    </cfRule>
  </conditionalFormatting>
  <conditionalFormatting sqref="AL46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6300" priority="153">
      <formula>AA46&gt;$AG46</formula>
    </cfRule>
  </conditionalFormatting>
  <conditionalFormatting sqref="AA46:AF46">
    <cfRule type="expression" dxfId="6299" priority="149">
      <formula>AA$9&gt;=20/24</formula>
    </cfRule>
    <cfRule type="expression" dxfId="6298" priority="150">
      <formula>AND(AA$9&gt;=14/24,AA$9&lt;20/24)</formula>
    </cfRule>
    <cfRule type="expression" dxfId="6297" priority="151">
      <formula>AND(AA$9&gt;=8/24,AA$9&lt;14/24)</formula>
    </cfRule>
    <cfRule type="expression" dxfId="6296" priority="152">
      <formula>AA$9&lt;8/24</formula>
    </cfRule>
  </conditionalFormatting>
  <conditionalFormatting sqref="B120">
    <cfRule type="expression" dxfId="6295" priority="21">
      <formula>B$9&gt;=20/24</formula>
    </cfRule>
    <cfRule type="expression" dxfId="6294" priority="22">
      <formula>AND(B$9&gt;=14/24,B$9&lt;20/24)</formula>
    </cfRule>
    <cfRule type="expression" dxfId="6293" priority="23">
      <formula>AND(B$9&gt;=8/24,B$9&lt;14/24)</formula>
    </cfRule>
    <cfRule type="expression" dxfId="6292" priority="24">
      <formula>B$9&lt;8/24</formula>
    </cfRule>
  </conditionalFormatting>
  <conditionalFormatting sqref="D120:AF120">
    <cfRule type="expression" dxfId="6291" priority="145">
      <formula>D$9&gt;=20/24</formula>
    </cfRule>
    <cfRule type="expression" dxfId="6290" priority="146">
      <formula>AND(D$9&gt;=14/24,D$9&lt;20/24)</formula>
    </cfRule>
    <cfRule type="expression" dxfId="6289" priority="147">
      <formula>AND(D$9&gt;=8/24,D$9&lt;14/24)</formula>
    </cfRule>
    <cfRule type="expression" dxfId="6288" priority="148">
      <formula>D$9&lt;8/24</formula>
    </cfRule>
  </conditionalFormatting>
  <conditionalFormatting sqref="C120">
    <cfRule type="expression" dxfId="6287" priority="141">
      <formula>C$9&gt;=20/24</formula>
    </cfRule>
    <cfRule type="expression" dxfId="6286" priority="142">
      <formula>AND(C$9&gt;=14/24,C$9&lt;20/24)</formula>
    </cfRule>
    <cfRule type="expression" dxfId="6285" priority="143">
      <formula>AND(C$9&gt;=8/24,C$9&lt;14/24)</formula>
    </cfRule>
    <cfRule type="expression" dxfId="6284" priority="144">
      <formula>C$9&lt;8/24</formula>
    </cfRule>
  </conditionalFormatting>
  <conditionalFormatting sqref="B111 B113:B119">
    <cfRule type="expression" dxfId="6283" priority="137">
      <formula>B$9&gt;=20/24</formula>
    </cfRule>
    <cfRule type="expression" dxfId="6282" priority="138">
      <formula>AND(B$9&gt;=14/24,B$9&lt;20/24)</formula>
    </cfRule>
    <cfRule type="expression" dxfId="6281" priority="139">
      <formula>AND(B$9&gt;=8/24,B$9&lt;14/24)</formula>
    </cfRule>
    <cfRule type="expression" dxfId="6280" priority="140">
      <formula>B$9&lt;8/24</formula>
    </cfRule>
  </conditionalFormatting>
  <conditionalFormatting sqref="B101">
    <cfRule type="expression" dxfId="6279" priority="133">
      <formula>B$9&gt;=20/24</formula>
    </cfRule>
    <cfRule type="expression" dxfId="6278" priority="134">
      <formula>AND(B$9&gt;=14/24,B$9&lt;20/24)</formula>
    </cfRule>
    <cfRule type="expression" dxfId="6277" priority="135">
      <formula>AND(B$9&gt;=8/24,B$9&lt;14/24)</formula>
    </cfRule>
    <cfRule type="expression" dxfId="6276" priority="136">
      <formula>B$9&lt;8/24</formula>
    </cfRule>
  </conditionalFormatting>
  <conditionalFormatting sqref="B73:C73 E59:F59 C56:D59">
    <cfRule type="expression" dxfId="6275" priority="129">
      <formula>B$9&gt;=20/24</formula>
    </cfRule>
    <cfRule type="expression" dxfId="6274" priority="130">
      <formula>AND(B$9&gt;=14/24,B$9&lt;20/24)</formula>
    </cfRule>
    <cfRule type="expression" dxfId="6273" priority="131">
      <formula>AND(B$9&gt;=8/24,B$9&lt;14/24)</formula>
    </cfRule>
    <cfRule type="expression" dxfId="6272" priority="132">
      <formula>B$9&lt;8/24</formula>
    </cfRule>
  </conditionalFormatting>
  <conditionalFormatting sqref="B55:D55">
    <cfRule type="expression" dxfId="6271" priority="125">
      <formula>B$9&gt;=20/24</formula>
    </cfRule>
    <cfRule type="expression" dxfId="6270" priority="126">
      <formula>AND(B$9&gt;=14/24,B$9&lt;20/24)</formula>
    </cfRule>
    <cfRule type="expression" dxfId="6269" priority="127">
      <formula>AND(B$9&gt;=8/24,B$9&lt;14/24)</formula>
    </cfRule>
    <cfRule type="expression" dxfId="6268" priority="128">
      <formula>B$9&lt;8/24</formula>
    </cfRule>
  </conditionalFormatting>
  <conditionalFormatting sqref="B55:D55 E59:F59 C56:D59">
    <cfRule type="expression" dxfId="6267" priority="124">
      <formula>B55&gt;$AG55</formula>
    </cfRule>
  </conditionalFormatting>
  <conditionalFormatting sqref="B69:C71 B49:D49">
    <cfRule type="expression" dxfId="6266" priority="119">
      <formula>B49&gt;$AG49</formula>
    </cfRule>
  </conditionalFormatting>
  <conditionalFormatting sqref="B99 B90">
    <cfRule type="expression" dxfId="6265" priority="115">
      <formula>B$9&gt;=20/24</formula>
    </cfRule>
    <cfRule type="expression" dxfId="6264" priority="116">
      <formula>AND(B$9&gt;=14/24,B$9&lt;20/24)</formula>
    </cfRule>
    <cfRule type="expression" dxfId="6263" priority="117">
      <formula>AND(B$9&gt;=8/24,B$9&lt;14/24)</formula>
    </cfRule>
    <cfRule type="expression" dxfId="6262" priority="118">
      <formula>B$9&lt;8/24</formula>
    </cfRule>
  </conditionalFormatting>
  <conditionalFormatting sqref="C60:I60">
    <cfRule type="expression" dxfId="6261" priority="110">
      <formula>C60&gt;$AG60</formula>
    </cfRule>
  </conditionalFormatting>
  <conditionalFormatting sqref="B93:B97">
    <cfRule type="expression" dxfId="6260" priority="106">
      <formula>B$9&gt;=20/24</formula>
    </cfRule>
    <cfRule type="expression" dxfId="6259" priority="107">
      <formula>AND(B$9&gt;=14/24,B$9&lt;20/24)</formula>
    </cfRule>
    <cfRule type="expression" dxfId="6258" priority="108">
      <formula>AND(B$9&gt;=8/24,B$9&lt;14/24)</formula>
    </cfRule>
    <cfRule type="expression" dxfId="6257" priority="109">
      <formula>B$9&lt;8/24</formula>
    </cfRule>
  </conditionalFormatting>
  <conditionalFormatting sqref="E52:P52 B51:D53">
    <cfRule type="expression" dxfId="6256" priority="102">
      <formula>B$9&gt;=20/24</formula>
    </cfRule>
    <cfRule type="expression" dxfId="6255" priority="103">
      <formula>AND(B$9&gt;=14/24,B$9&lt;20/24)</formula>
    </cfRule>
    <cfRule type="expression" dxfId="6254" priority="104">
      <formula>AND(B$9&gt;=8/24,B$9&lt;14/24)</formula>
    </cfRule>
    <cfRule type="expression" dxfId="6253" priority="105">
      <formula>B$9&lt;8/24</formula>
    </cfRule>
  </conditionalFormatting>
  <conditionalFormatting sqref="E52:P52 B51:D53">
    <cfRule type="expression" dxfId="6252" priority="101">
      <formula>B51&gt;$AG51</formula>
    </cfRule>
  </conditionalFormatting>
  <conditionalFormatting sqref="B109">
    <cfRule type="expression" dxfId="6251" priority="97">
      <formula>B$9&gt;=20/24</formula>
    </cfRule>
    <cfRule type="expression" dxfId="6250" priority="98">
      <formula>AND(B$9&gt;=14/24,B$9&lt;20/24)</formula>
    </cfRule>
    <cfRule type="expression" dxfId="6249" priority="99">
      <formula>AND(B$9&gt;=8/24,B$9&lt;14/24)</formula>
    </cfRule>
    <cfRule type="expression" dxfId="6248" priority="100">
      <formula>B$9&lt;8/24</formula>
    </cfRule>
  </conditionalFormatting>
  <conditionalFormatting sqref="B112">
    <cfRule type="expression" dxfId="6247" priority="93">
      <formula>B$9&gt;=20/24</formula>
    </cfRule>
    <cfRule type="expression" dxfId="6246" priority="94">
      <formula>AND(B$9&gt;=14/24,B$9&lt;20/24)</formula>
    </cfRule>
    <cfRule type="expression" dxfId="6245" priority="95">
      <formula>AND(B$9&gt;=8/24,B$9&lt;14/24)</formula>
    </cfRule>
    <cfRule type="expression" dxfId="6244" priority="96">
      <formula>B$9&lt;8/24</formula>
    </cfRule>
  </conditionalFormatting>
  <conditionalFormatting sqref="B36:Z37 B19:Z34 AA43:AF43 AA26:AF26 AA29:AF31 AA36:AF36 B39:Z45 B38:AF38">
    <cfRule type="expression" dxfId="6243" priority="89">
      <formula>B$9&gt;=20/24</formula>
    </cfRule>
    <cfRule type="expression" dxfId="6242" priority="90">
      <formula>AND(B$9&gt;=14/24,B$9&lt;20/24)</formula>
    </cfRule>
    <cfRule type="expression" dxfId="6241" priority="91">
      <formula>AND(B$9&gt;=8/24,B$9&lt;14/24)</formula>
    </cfRule>
    <cfRule type="expression" dxfId="6240" priority="92">
      <formula>B$9&lt;8/24</formula>
    </cfRule>
  </conditionalFormatting>
  <conditionalFormatting sqref="B36:Z37 B19:Z34 AA43:AF43 AA26:AF26 AA29:AF31 AA36:AF36 B39:Z45 B38:AF38">
    <cfRule type="expression" dxfId="6239" priority="88">
      <formula>B19&gt;$AG19</formula>
    </cfRule>
  </conditionalFormatting>
  <conditionalFormatting sqref="B85:B87 B77:C83">
    <cfRule type="expression" dxfId="6238" priority="84">
      <formula>B$9&gt;=20/24</formula>
    </cfRule>
    <cfRule type="expression" dxfId="6237" priority="85">
      <formula>AND(B$9&gt;=14/24,B$9&lt;20/24)</formula>
    </cfRule>
    <cfRule type="expression" dxfId="6236" priority="86">
      <formula>AND(B$9&gt;=8/24,B$9&lt;14/24)</formula>
    </cfRule>
    <cfRule type="expression" dxfId="6235" priority="87">
      <formula>B$9&lt;8/24</formula>
    </cfRule>
  </conditionalFormatting>
  <conditionalFormatting sqref="B89 B91 B100 B72">
    <cfRule type="expression" dxfId="6234" priority="80">
      <formula>B$9&gt;=20/24</formula>
    </cfRule>
    <cfRule type="expression" dxfId="6233" priority="81">
      <formula>AND(B$9&gt;=14/24,B$9&lt;20/24)</formula>
    </cfRule>
    <cfRule type="expression" dxfId="6232" priority="82">
      <formula>AND(B$9&gt;=8/24,B$9&lt;14/24)</formula>
    </cfRule>
    <cfRule type="expression" dxfId="6231" priority="83">
      <formula>B$9&lt;8/24</formula>
    </cfRule>
  </conditionalFormatting>
  <conditionalFormatting sqref="B72 B67:C68">
    <cfRule type="expression" dxfId="6230" priority="79">
      <formula>B67&gt;$AG67</formula>
    </cfRule>
  </conditionalFormatting>
  <conditionalFormatting sqref="B84">
    <cfRule type="expression" dxfId="6229" priority="75">
      <formula>B$9&gt;=20/24</formula>
    </cfRule>
    <cfRule type="expression" dxfId="6228" priority="76">
      <formula>AND(B$9&gt;=14/24,B$9&lt;20/24)</formula>
    </cfRule>
    <cfRule type="expression" dxfId="6227" priority="77">
      <formula>AND(B$9&gt;=8/24,B$9&lt;14/24)</formula>
    </cfRule>
    <cfRule type="expression" dxfId="6226" priority="78">
      <formula>B$9&lt;8/24</formula>
    </cfRule>
  </conditionalFormatting>
  <conditionalFormatting sqref="B54:C54">
    <cfRule type="expression" dxfId="6225" priority="71">
      <formula>B$9&gt;=20/24</formula>
    </cfRule>
    <cfRule type="expression" dxfId="6224" priority="72">
      <formula>AND(B$9&gt;=14/24,B$9&lt;20/24)</formula>
    </cfRule>
    <cfRule type="expression" dxfId="6223" priority="73">
      <formula>AND(B$9&gt;=8/24,B$9&lt;14/24)</formula>
    </cfRule>
    <cfRule type="expression" dxfId="6222" priority="74">
      <formula>B$9&lt;8/24</formula>
    </cfRule>
  </conditionalFormatting>
  <conditionalFormatting sqref="B54:C54">
    <cfRule type="expression" dxfId="6221" priority="70">
      <formula>B54&gt;$AG54</formula>
    </cfRule>
  </conditionalFormatting>
  <conditionalFormatting sqref="B66:C66 C61:C65 D61:P66">
    <cfRule type="expression" dxfId="6220" priority="62">
      <formula>B$9&gt;=20/24</formula>
    </cfRule>
    <cfRule type="expression" dxfId="6219" priority="63">
      <formula>AND(B$9&gt;=14/24,B$9&lt;20/24)</formula>
    </cfRule>
    <cfRule type="expression" dxfId="6218" priority="64">
      <formula>AND(B$9&gt;=8/24,B$9&lt;14/24)</formula>
    </cfRule>
    <cfRule type="expression" dxfId="6217" priority="65">
      <formula>B$9&lt;8/24</formula>
    </cfRule>
  </conditionalFormatting>
  <conditionalFormatting sqref="B66:C66 C61:C65 D61:P66">
    <cfRule type="expression" dxfId="6216" priority="61">
      <formula>B61&gt;$AG61</formula>
    </cfRule>
  </conditionalFormatting>
  <conditionalFormatting sqref="B47:Z47">
    <cfRule type="expression" dxfId="6215" priority="60">
      <formula>B47&gt;$AG47</formula>
    </cfRule>
  </conditionalFormatting>
  <conditionalFormatting sqref="B13:Z13">
    <cfRule type="expression" dxfId="6214" priority="56">
      <formula>B$9&gt;=20/24</formula>
    </cfRule>
    <cfRule type="expression" dxfId="6213" priority="57">
      <formula>AND(B$9&gt;=14/24,B$9&lt;20/24)</formula>
    </cfRule>
    <cfRule type="expression" dxfId="6212" priority="58">
      <formula>AND(B$9&gt;=8/24,B$9&lt;14/24)</formula>
    </cfRule>
    <cfRule type="expression" dxfId="6211" priority="59">
      <formula>B$9&lt;8/24</formula>
    </cfRule>
  </conditionalFormatting>
  <conditionalFormatting sqref="B13:Z13">
    <cfRule type="expression" dxfId="6210" priority="55">
      <formula>B13&gt;$AG13</formula>
    </cfRule>
  </conditionalFormatting>
  <conditionalFormatting sqref="B47:Z47">
    <cfRule type="expression" dxfId="6209" priority="51">
      <formula>B$9&gt;=20/24</formula>
    </cfRule>
    <cfRule type="expression" dxfId="6208" priority="52">
      <formula>AND(B$9&gt;=14/24,B$9&lt;20/24)</formula>
    </cfRule>
    <cfRule type="expression" dxfId="6207" priority="53">
      <formula>AND(B$9&gt;=8/24,B$9&lt;14/24)</formula>
    </cfRule>
    <cfRule type="expression" dxfId="6206" priority="54">
      <formula>B$9&lt;8/24</formula>
    </cfRule>
  </conditionalFormatting>
  <conditionalFormatting sqref="B48:Z48">
    <cfRule type="expression" dxfId="6205" priority="47">
      <formula>B$9&gt;=20/24</formula>
    </cfRule>
    <cfRule type="expression" dxfId="6204" priority="48">
      <formula>AND(B$9&gt;=14/24,B$9&lt;20/24)</formula>
    </cfRule>
    <cfRule type="expression" dxfId="6203" priority="49">
      <formula>AND(B$9&gt;=8/24,B$9&lt;14/24)</formula>
    </cfRule>
    <cfRule type="expression" dxfId="6202" priority="50">
      <formula>B$9&lt;8/24</formula>
    </cfRule>
  </conditionalFormatting>
  <conditionalFormatting sqref="B48:Z48">
    <cfRule type="expression" dxfId="6201" priority="46">
      <formula>B48&gt;$AG48</formula>
    </cfRule>
  </conditionalFormatting>
  <conditionalFormatting sqref="B50:D50">
    <cfRule type="expression" dxfId="6200" priority="45">
      <formula>B50&gt;$AG50</formula>
    </cfRule>
  </conditionalFormatting>
  <conditionalFormatting sqref="B11:AF11">
    <cfRule type="expression" dxfId="6199" priority="41">
      <formula>B$9&gt;=20/24</formula>
    </cfRule>
    <cfRule type="expression" dxfId="6198" priority="42">
      <formula>AND(B$9&gt;=14/24,B$9&lt;20/24)</formula>
    </cfRule>
    <cfRule type="expression" dxfId="6197" priority="43">
      <formula>AND(B$9&gt;=8/24,B$9&lt;14/24)</formula>
    </cfRule>
    <cfRule type="expression" dxfId="6196" priority="44">
      <formula>B$9&lt;8/24</formula>
    </cfRule>
  </conditionalFormatting>
  <conditionalFormatting sqref="B11:AF11">
    <cfRule type="expression" dxfId="6195" priority="40">
      <formula>B11&gt;$AG11</formula>
    </cfRule>
  </conditionalFormatting>
  <conditionalFormatting sqref="B18:Z18">
    <cfRule type="expression" dxfId="6194" priority="36">
      <formula>B$9&gt;=20/24</formula>
    </cfRule>
    <cfRule type="expression" dxfId="6193" priority="37">
      <formula>AND(B$9&gt;=14/24,B$9&lt;20/24)</formula>
    </cfRule>
    <cfRule type="expression" dxfId="6192" priority="38">
      <formula>AND(B$9&gt;=8/24,B$9&lt;14/24)</formula>
    </cfRule>
    <cfRule type="expression" dxfId="6191" priority="39">
      <formula>B$9&lt;8/24</formula>
    </cfRule>
  </conditionalFormatting>
  <conditionalFormatting sqref="B18:Z18">
    <cfRule type="expression" dxfId="6190" priority="35">
      <formula>B18&gt;$AG18</formula>
    </cfRule>
  </conditionalFormatting>
  <conditionalFormatting sqref="B35:AF35">
    <cfRule type="expression" dxfId="6189" priority="31">
      <formula>B$9&gt;=20/24</formula>
    </cfRule>
    <cfRule type="expression" dxfId="6188" priority="32">
      <formula>AND(B$9&gt;=14/24,B$9&lt;20/24)</formula>
    </cfRule>
    <cfRule type="expression" dxfId="6187" priority="33">
      <formula>AND(B$9&gt;=8/24,B$9&lt;14/24)</formula>
    </cfRule>
    <cfRule type="expression" dxfId="6186" priority="34">
      <formula>B$9&lt;8/24</formula>
    </cfRule>
  </conditionalFormatting>
  <conditionalFormatting sqref="B35:AF35">
    <cfRule type="expression" dxfId="6185" priority="30">
      <formula>B35&gt;$AG35</formula>
    </cfRule>
  </conditionalFormatting>
  <conditionalFormatting sqref="B46:Z46">
    <cfRule type="expression" dxfId="6184" priority="29">
      <formula>B46&gt;$AG46</formula>
    </cfRule>
  </conditionalFormatting>
  <conditionalFormatting sqref="B46:Z46">
    <cfRule type="expression" dxfId="6183" priority="25">
      <formula>B$9&gt;=20/24</formula>
    </cfRule>
    <cfRule type="expression" dxfId="6182" priority="26">
      <formula>AND(B$9&gt;=14/24,B$9&lt;20/24)</formula>
    </cfRule>
    <cfRule type="expression" dxfId="6181" priority="27">
      <formula>AND(B$9&gt;=8/24,B$9&lt;14/24)</formula>
    </cfRule>
    <cfRule type="expression" dxfId="6180" priority="28">
      <formula>B$9&lt;8/24</formula>
    </cfRule>
  </conditionalFormatting>
  <conditionalFormatting sqref="B102">
    <cfRule type="expression" dxfId="6179" priority="1">
      <formula>B$9&gt;=20/24</formula>
    </cfRule>
    <cfRule type="expression" dxfId="6178" priority="2">
      <formula>AND(B$9&gt;=14/24,B$9&lt;20/24)</formula>
    </cfRule>
    <cfRule type="expression" dxfId="6177" priority="3">
      <formula>AND(B$9&gt;=8/24,B$9&lt;14/24)</formula>
    </cfRule>
    <cfRule type="expression" dxfId="6176" priority="4">
      <formula>B$9&lt;8/24</formula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7" id="{44C6C3E5-3ED0-467E-9F38-281E90223CE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8" id="{AD18F331-FE63-44F2-883E-D84587E3C75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9" id="{C2D98BF4-541C-4346-9A39-DD28980F032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30" id="{57CB7CFA-E9A9-48ED-B763-341ADD7EBCB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66" id="{72EBB11A-BF34-4344-987A-C94FB4CF86B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7" id="{C281E1A2-65C2-4F1A-B482-25B99F52C48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8" id="{D46F3BC6-6504-4C48-A7EF-98DA888A9A4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9" id="{F3DC9882-F19C-4AD9-B906-5F14A46A21B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CJ281"/>
  <sheetViews>
    <sheetView zoomScale="90" zoomScaleNormal="90" workbookViewId="0">
      <pane ySplit="10" topLeftCell="A76" activePane="bottomLeft" state="frozen"/>
      <selection activeCell="Z85" sqref="Z85"/>
      <selection pane="bottomLeft" activeCell="AB127" sqref="AB12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2080/02/20</v>
      </c>
      <c r="C4" s="191"/>
      <c r="D4" s="191"/>
      <c r="E4" s="192" t="str">
        <f ca="1">"2079/"&amp;"12/"&amp;INT(MID(CELL("filename",G6),FIND("]",CELL("filename",G6))+1,200))</f>
        <v>2079/12/20</v>
      </c>
      <c r="F4" s="192"/>
      <c r="G4" s="192"/>
      <c r="H4" s="192" t="str">
        <f ca="1">TEXT(E4,"dddd")</f>
        <v>Wednesday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147.4</v>
      </c>
      <c r="C5" s="30">
        <f t="shared" si="0"/>
        <v>245</v>
      </c>
      <c r="D5" s="30">
        <f t="shared" si="0"/>
        <v>316.8</v>
      </c>
      <c r="E5" s="30">
        <f t="shared" si="0"/>
        <v>359.4</v>
      </c>
      <c r="F5" s="30">
        <f t="shared" si="0"/>
        <v>397.59999999999997</v>
      </c>
      <c r="G5" s="30">
        <f t="shared" si="0"/>
        <v>390.80799999999999</v>
      </c>
      <c r="H5" s="30">
        <f t="shared" si="0"/>
        <v>408.09999999999997</v>
      </c>
      <c r="I5" s="30">
        <f t="shared" si="0"/>
        <v>396.40000000000003</v>
      </c>
      <c r="J5" s="30">
        <f t="shared" si="0"/>
        <v>400.8</v>
      </c>
      <c r="K5" s="30">
        <f t="shared" si="0"/>
        <v>479.5</v>
      </c>
      <c r="L5" s="30">
        <f t="shared" si="0"/>
        <v>452.3</v>
      </c>
      <c r="M5" s="30">
        <f t="shared" si="0"/>
        <v>444.1</v>
      </c>
      <c r="N5" s="30">
        <f t="shared" si="0"/>
        <v>233.8</v>
      </c>
      <c r="O5" s="30">
        <f t="shared" si="0"/>
        <v>284.8</v>
      </c>
      <c r="P5" s="30">
        <f t="shared" si="0"/>
        <v>269.60000000000002</v>
      </c>
      <c r="Q5" s="30">
        <f t="shared" si="0"/>
        <v>310.89999999999998</v>
      </c>
      <c r="R5" s="30">
        <f t="shared" si="0"/>
        <v>383</v>
      </c>
      <c r="S5" s="30">
        <f t="shared" si="0"/>
        <v>332.90000000000003</v>
      </c>
      <c r="T5" s="30">
        <f t="shared" si="0"/>
        <v>323.60000000000002</v>
      </c>
      <c r="U5" s="30">
        <f t="shared" si="0"/>
        <v>335.4</v>
      </c>
      <c r="V5" s="30">
        <f t="shared" si="0"/>
        <v>337.4</v>
      </c>
      <c r="W5" s="30">
        <f t="shared" si="0"/>
        <v>302.39999999999998</v>
      </c>
      <c r="X5" s="30">
        <f t="shared" si="0"/>
        <v>266.39999999999998</v>
      </c>
      <c r="Y5" s="30">
        <f t="shared" si="0"/>
        <v>269</v>
      </c>
      <c r="Z5" s="30">
        <f t="shared" si="0"/>
        <v>66.400000000000006</v>
      </c>
      <c r="AA5" s="30">
        <f t="shared" si="0"/>
        <v>81.400000000000006</v>
      </c>
      <c r="AB5" s="30">
        <f t="shared" si="0"/>
        <v>81.400000000000006</v>
      </c>
      <c r="AC5" s="30">
        <f t="shared" si="0"/>
        <v>128</v>
      </c>
      <c r="AD5" s="30">
        <f t="shared" si="0"/>
        <v>182</v>
      </c>
      <c r="AE5" s="30">
        <f t="shared" si="0"/>
        <v>112</v>
      </c>
      <c r="AF5" s="30">
        <f>B84</f>
        <v>144.9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1680MW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Load=1533</v>
      </c>
      <c r="B7" s="35">
        <f t="shared" ref="B7:AF7" si="1">B91</f>
        <v>1674.0400000000004</v>
      </c>
      <c r="C7" s="35">
        <f t="shared" si="1"/>
        <v>1642.3400000000001</v>
      </c>
      <c r="D7" s="35">
        <f t="shared" si="1"/>
        <v>1653.44</v>
      </c>
      <c r="E7" s="35">
        <f t="shared" si="1"/>
        <v>1586.4399999999998</v>
      </c>
      <c r="F7" s="35">
        <f t="shared" si="1"/>
        <v>1632.8400000000001</v>
      </c>
      <c r="G7" s="35">
        <f t="shared" si="1"/>
        <v>1553.94</v>
      </c>
      <c r="H7" s="35">
        <f t="shared" si="1"/>
        <v>1533.048</v>
      </c>
      <c r="I7" s="35">
        <f t="shared" si="1"/>
        <v>1570.34</v>
      </c>
      <c r="J7" s="35">
        <f t="shared" si="1"/>
        <v>1560.8400000000001</v>
      </c>
      <c r="K7" s="35">
        <f t="shared" si="1"/>
        <v>1533.14</v>
      </c>
      <c r="L7" s="35">
        <f t="shared" si="1"/>
        <v>1613.8400000000001</v>
      </c>
      <c r="M7" s="35">
        <f t="shared" si="1"/>
        <v>1680.14</v>
      </c>
      <c r="N7" s="35">
        <f>N91</f>
        <v>1674.3400000000001</v>
      </c>
      <c r="O7" s="35">
        <f t="shared" si="1"/>
        <v>1602.04</v>
      </c>
      <c r="P7" s="35">
        <f t="shared" si="1"/>
        <v>1622.74</v>
      </c>
      <c r="Q7" s="35">
        <f t="shared" si="1"/>
        <v>1620.1399999999999</v>
      </c>
      <c r="R7" s="35">
        <f t="shared" si="1"/>
        <v>1630.6399999999999</v>
      </c>
      <c r="S7" s="35">
        <f t="shared" si="1"/>
        <v>1669.44</v>
      </c>
      <c r="T7" s="35">
        <f t="shared" si="1"/>
        <v>1623.2400000000002</v>
      </c>
      <c r="U7" s="35">
        <f t="shared" si="1"/>
        <v>1630.94</v>
      </c>
      <c r="V7" s="35">
        <f t="shared" si="1"/>
        <v>1620.3400000000001</v>
      </c>
      <c r="W7" s="35">
        <f t="shared" si="1"/>
        <v>1569.3400000000001</v>
      </c>
      <c r="X7" s="35">
        <f t="shared" si="1"/>
        <v>1562.3400000000001</v>
      </c>
      <c r="Y7" s="35">
        <f t="shared" si="1"/>
        <v>1583.94</v>
      </c>
      <c r="Z7" s="35">
        <f t="shared" si="1"/>
        <v>1666.54</v>
      </c>
      <c r="AA7" s="35">
        <f t="shared" si="1"/>
        <v>1935.94</v>
      </c>
      <c r="AB7" s="35">
        <f t="shared" si="1"/>
        <v>1952.14</v>
      </c>
      <c r="AC7" s="35">
        <f t="shared" si="1"/>
        <v>1896.3400000000004</v>
      </c>
      <c r="AD7" s="35">
        <f t="shared" si="1"/>
        <v>1839.4400000000003</v>
      </c>
      <c r="AE7" s="35">
        <f t="shared" si="1"/>
        <v>1792.24</v>
      </c>
      <c r="AF7" s="35">
        <f t="shared" si="1"/>
        <v>1665.24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29</v>
      </c>
      <c r="C11" s="45">
        <v>29</v>
      </c>
      <c r="D11" s="45">
        <v>29</v>
      </c>
      <c r="E11" s="45">
        <v>29</v>
      </c>
      <c r="F11" s="45">
        <v>0</v>
      </c>
      <c r="G11" s="45">
        <v>30</v>
      </c>
      <c r="H11" s="45">
        <v>30</v>
      </c>
      <c r="I11" s="45">
        <v>30</v>
      </c>
      <c r="J11" s="45">
        <v>10</v>
      </c>
      <c r="K11" s="45">
        <v>10</v>
      </c>
      <c r="L11" s="45">
        <v>10</v>
      </c>
      <c r="M11" s="45">
        <v>25</v>
      </c>
      <c r="N11" s="45">
        <v>25</v>
      </c>
      <c r="O11" s="45">
        <v>25</v>
      </c>
      <c r="P11" s="45">
        <v>25</v>
      </c>
      <c r="Q11" s="45">
        <v>55</v>
      </c>
      <c r="R11" s="45">
        <v>55</v>
      </c>
      <c r="S11" s="45">
        <v>38</v>
      </c>
      <c r="T11" s="45">
        <v>38</v>
      </c>
      <c r="U11" s="45">
        <v>38</v>
      </c>
      <c r="V11" s="45">
        <v>38</v>
      </c>
      <c r="W11" s="45">
        <v>38</v>
      </c>
      <c r="X11" s="45">
        <v>38</v>
      </c>
      <c r="Y11" s="45">
        <v>38</v>
      </c>
      <c r="Z11" s="45">
        <v>38</v>
      </c>
      <c r="AA11" s="45">
        <v>38</v>
      </c>
      <c r="AB11" s="45">
        <v>38</v>
      </c>
      <c r="AC11" s="45">
        <v>38</v>
      </c>
      <c r="AD11" s="45">
        <v>38</v>
      </c>
      <c r="AE11" s="45">
        <v>38</v>
      </c>
      <c r="AF11" s="45">
        <v>38</v>
      </c>
      <c r="AG11" s="46">
        <v>86</v>
      </c>
      <c r="AH11" s="47">
        <f t="shared" ref="AH11:AH76" si="2">MAX(B11:AF11)</f>
        <v>55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28</v>
      </c>
      <c r="C12" s="45">
        <v>28</v>
      </c>
      <c r="D12" s="45">
        <v>28</v>
      </c>
      <c r="E12" s="45">
        <v>28</v>
      </c>
      <c r="F12" s="45">
        <v>28</v>
      </c>
      <c r="G12" s="45">
        <v>28</v>
      </c>
      <c r="H12" s="45">
        <v>28</v>
      </c>
      <c r="I12" s="45">
        <v>28</v>
      </c>
      <c r="J12" s="45">
        <v>28</v>
      </c>
      <c r="K12" s="45">
        <v>28</v>
      </c>
      <c r="L12" s="45">
        <v>28</v>
      </c>
      <c r="M12" s="45">
        <v>28</v>
      </c>
      <c r="N12" s="45">
        <v>28</v>
      </c>
      <c r="O12" s="45">
        <v>28</v>
      </c>
      <c r="P12" s="45">
        <v>28</v>
      </c>
      <c r="Q12" s="45">
        <v>28</v>
      </c>
      <c r="R12" s="45">
        <v>28</v>
      </c>
      <c r="S12" s="45">
        <v>28</v>
      </c>
      <c r="T12" s="45">
        <v>28</v>
      </c>
      <c r="U12" s="45">
        <v>28</v>
      </c>
      <c r="V12" s="45">
        <v>28</v>
      </c>
      <c r="W12" s="45">
        <v>28</v>
      </c>
      <c r="X12" s="45">
        <v>28</v>
      </c>
      <c r="Y12" s="45">
        <v>28</v>
      </c>
      <c r="Z12" s="45">
        <v>28</v>
      </c>
      <c r="AA12" s="45">
        <v>28</v>
      </c>
      <c r="AB12" s="45">
        <v>28</v>
      </c>
      <c r="AC12" s="45">
        <v>28</v>
      </c>
      <c r="AD12" s="45">
        <v>28</v>
      </c>
      <c r="AE12" s="45">
        <v>28</v>
      </c>
      <c r="AF12" s="45">
        <v>28</v>
      </c>
      <c r="AG12" s="50">
        <v>54</v>
      </c>
      <c r="AH12" s="47">
        <f t="shared" si="2"/>
        <v>28</v>
      </c>
      <c r="AI12" s="48">
        <f t="shared" si="3"/>
        <v>28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20.9</v>
      </c>
      <c r="C13" s="45">
        <v>20.9</v>
      </c>
      <c r="D13" s="45">
        <v>20.9</v>
      </c>
      <c r="E13" s="45">
        <v>20.9</v>
      </c>
      <c r="F13" s="45">
        <v>20.9</v>
      </c>
      <c r="G13" s="45">
        <v>20.9</v>
      </c>
      <c r="H13" s="45">
        <v>23.9</v>
      </c>
      <c r="I13" s="45">
        <v>23.9</v>
      </c>
      <c r="J13" s="45">
        <v>23.9</v>
      </c>
      <c r="K13" s="45">
        <v>23.9</v>
      </c>
      <c r="L13" s="45">
        <v>23.9</v>
      </c>
      <c r="M13" s="45">
        <v>23.9</v>
      </c>
      <c r="N13" s="45">
        <v>23.9</v>
      </c>
      <c r="O13" s="45">
        <v>23.9</v>
      </c>
      <c r="P13" s="45">
        <v>23.9</v>
      </c>
      <c r="Q13" s="45">
        <v>20.8</v>
      </c>
      <c r="R13" s="45">
        <v>20.8</v>
      </c>
      <c r="S13" s="45">
        <v>20.8</v>
      </c>
      <c r="T13" s="45">
        <v>7.8</v>
      </c>
      <c r="U13" s="45">
        <v>29.8</v>
      </c>
      <c r="V13" s="45">
        <v>29.8</v>
      </c>
      <c r="W13" s="45">
        <v>29.8</v>
      </c>
      <c r="X13" s="45">
        <v>29.8</v>
      </c>
      <c r="Y13" s="45">
        <v>29.8</v>
      </c>
      <c r="Z13" s="45">
        <v>29.8</v>
      </c>
      <c r="AA13" s="45">
        <v>29.8</v>
      </c>
      <c r="AB13" s="45">
        <v>29.8</v>
      </c>
      <c r="AC13" s="45">
        <v>0</v>
      </c>
      <c r="AD13" s="45">
        <v>0</v>
      </c>
      <c r="AE13" s="45">
        <v>24.8</v>
      </c>
      <c r="AF13" s="45">
        <v>24.8</v>
      </c>
      <c r="AG13" s="46">
        <v>52.4</v>
      </c>
      <c r="AH13" s="47">
        <f t="shared" si="2"/>
        <v>29.8</v>
      </c>
      <c r="AI13" s="48">
        <f t="shared" si="3"/>
        <v>0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50.6</v>
      </c>
      <c r="C14" s="58">
        <v>50.6</v>
      </c>
      <c r="D14" s="58">
        <v>50.6</v>
      </c>
      <c r="E14" s="58">
        <v>50.6</v>
      </c>
      <c r="F14" s="58">
        <v>50.6</v>
      </c>
      <c r="G14" s="58">
        <v>50.6</v>
      </c>
      <c r="H14" s="58">
        <v>50.6</v>
      </c>
      <c r="I14" s="58">
        <v>50.6</v>
      </c>
      <c r="J14" s="58">
        <v>50.6</v>
      </c>
      <c r="K14" s="58">
        <v>50.6</v>
      </c>
      <c r="L14" s="58">
        <v>50.6</v>
      </c>
      <c r="M14" s="58">
        <v>50.6</v>
      </c>
      <c r="N14" s="58">
        <v>50.6</v>
      </c>
      <c r="O14" s="58">
        <v>50.6</v>
      </c>
      <c r="P14" s="58">
        <v>50.6</v>
      </c>
      <c r="Q14" s="58">
        <v>50.6</v>
      </c>
      <c r="R14" s="58">
        <v>50.6</v>
      </c>
      <c r="S14" s="58">
        <v>50.6</v>
      </c>
      <c r="T14" s="58">
        <v>50.5</v>
      </c>
      <c r="U14" s="58">
        <v>50.5</v>
      </c>
      <c r="V14" s="58">
        <v>50.5</v>
      </c>
      <c r="W14" s="58">
        <v>50.5</v>
      </c>
      <c r="X14" s="58">
        <v>50.5</v>
      </c>
      <c r="Y14" s="58">
        <v>50.5</v>
      </c>
      <c r="Z14" s="58">
        <v>50.5</v>
      </c>
      <c r="AA14" s="58">
        <v>50.5</v>
      </c>
      <c r="AB14" s="58">
        <v>50.5</v>
      </c>
      <c r="AC14" s="58">
        <v>50.5</v>
      </c>
      <c r="AD14" s="58">
        <v>50.5</v>
      </c>
      <c r="AE14" s="58">
        <v>50.5</v>
      </c>
      <c r="AF14" s="58">
        <v>50.5</v>
      </c>
      <c r="AG14" s="50">
        <v>50</v>
      </c>
      <c r="AH14" s="47">
        <f t="shared" si="2"/>
        <v>50.6</v>
      </c>
      <c r="AI14" s="48">
        <f t="shared" si="3"/>
        <v>50.5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32.5</v>
      </c>
      <c r="C15" s="45">
        <v>32.5</v>
      </c>
      <c r="D15" s="45">
        <v>32.5</v>
      </c>
      <c r="E15" s="45">
        <v>32.5</v>
      </c>
      <c r="F15" s="45">
        <v>30.9</v>
      </c>
      <c r="G15" s="45">
        <v>30.9</v>
      </c>
      <c r="H15" s="45">
        <v>29.2</v>
      </c>
      <c r="I15" s="45">
        <v>29.2</v>
      </c>
      <c r="J15" s="45">
        <v>29.2</v>
      </c>
      <c r="K15" s="45">
        <v>29.2</v>
      </c>
      <c r="L15" s="45">
        <v>29.2</v>
      </c>
      <c r="M15" s="45">
        <v>29.2</v>
      </c>
      <c r="N15" s="45">
        <v>29.2</v>
      </c>
      <c r="O15" s="45">
        <v>29.2</v>
      </c>
      <c r="P15" s="45">
        <v>29.2</v>
      </c>
      <c r="Q15" s="45">
        <v>26.2</v>
      </c>
      <c r="R15" s="45">
        <v>26.2</v>
      </c>
      <c r="S15" s="45">
        <v>26.2</v>
      </c>
      <c r="T15" s="45">
        <v>26</v>
      </c>
      <c r="U15" s="45">
        <v>26</v>
      </c>
      <c r="V15" s="45">
        <v>26</v>
      </c>
      <c r="W15" s="45">
        <v>26</v>
      </c>
      <c r="X15" s="45">
        <v>26</v>
      </c>
      <c r="Y15" s="45">
        <v>26</v>
      </c>
      <c r="Z15" s="45">
        <v>26</v>
      </c>
      <c r="AA15" s="45">
        <v>26</v>
      </c>
      <c r="AB15" s="45">
        <v>26</v>
      </c>
      <c r="AC15" s="45">
        <v>26</v>
      </c>
      <c r="AD15" s="45">
        <v>26</v>
      </c>
      <c r="AE15" s="45">
        <v>26</v>
      </c>
      <c r="AF15" s="45">
        <v>26</v>
      </c>
      <c r="AG15" s="50">
        <v>45</v>
      </c>
      <c r="AH15" s="47">
        <f t="shared" si="2"/>
        <v>32.5</v>
      </c>
      <c r="AI15" s="48">
        <f t="shared" si="3"/>
        <v>26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30</v>
      </c>
      <c r="C16" s="45">
        <v>30</v>
      </c>
      <c r="D16" s="45">
        <v>30</v>
      </c>
      <c r="E16" s="45">
        <v>30</v>
      </c>
      <c r="F16" s="45">
        <v>30</v>
      </c>
      <c r="G16" s="45">
        <v>30</v>
      </c>
      <c r="H16" s="45">
        <v>30</v>
      </c>
      <c r="I16" s="45">
        <v>30</v>
      </c>
      <c r="J16" s="45">
        <v>30</v>
      </c>
      <c r="K16" s="45">
        <v>30</v>
      </c>
      <c r="L16" s="45">
        <v>30</v>
      </c>
      <c r="M16" s="45">
        <v>30</v>
      </c>
      <c r="N16" s="45">
        <v>30</v>
      </c>
      <c r="O16" s="45">
        <v>30</v>
      </c>
      <c r="P16" s="45">
        <v>30</v>
      </c>
      <c r="Q16" s="45">
        <v>30</v>
      </c>
      <c r="R16" s="45">
        <v>30</v>
      </c>
      <c r="S16" s="45">
        <v>30</v>
      </c>
      <c r="T16" s="45">
        <v>30</v>
      </c>
      <c r="U16" s="45">
        <v>30</v>
      </c>
      <c r="V16" s="45">
        <v>30</v>
      </c>
      <c r="W16" s="45">
        <v>30</v>
      </c>
      <c r="X16" s="45">
        <v>30</v>
      </c>
      <c r="Y16" s="45">
        <v>30</v>
      </c>
      <c r="Z16" s="45">
        <v>30</v>
      </c>
      <c r="AA16" s="45">
        <v>30</v>
      </c>
      <c r="AB16" s="45">
        <v>30</v>
      </c>
      <c r="AC16" s="45">
        <v>30</v>
      </c>
      <c r="AD16" s="45">
        <v>30</v>
      </c>
      <c r="AE16" s="45">
        <v>30</v>
      </c>
      <c r="AF16" s="45">
        <v>30</v>
      </c>
      <c r="AG16" s="50">
        <v>44</v>
      </c>
      <c r="AH16" s="47">
        <f>MAX(B16:AG16)</f>
        <v>44</v>
      </c>
      <c r="AI16" s="48">
        <f>MIN(B16:AG16)</f>
        <v>30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27</v>
      </c>
      <c r="C17" s="45">
        <v>27</v>
      </c>
      <c r="D17" s="45">
        <v>27</v>
      </c>
      <c r="E17" s="45">
        <v>27</v>
      </c>
      <c r="F17" s="45">
        <v>27</v>
      </c>
      <c r="G17" s="45">
        <v>27</v>
      </c>
      <c r="H17" s="45">
        <v>26</v>
      </c>
      <c r="I17" s="45">
        <v>26</v>
      </c>
      <c r="J17" s="45">
        <v>26</v>
      </c>
      <c r="K17" s="45">
        <v>26</v>
      </c>
      <c r="L17" s="45">
        <v>26</v>
      </c>
      <c r="M17" s="45">
        <v>26</v>
      </c>
      <c r="N17" s="45">
        <v>24</v>
      </c>
      <c r="O17" s="45">
        <v>24</v>
      </c>
      <c r="P17" s="45">
        <v>24</v>
      </c>
      <c r="Q17" s="45">
        <v>23</v>
      </c>
      <c r="R17" s="45">
        <v>23</v>
      </c>
      <c r="S17" s="45">
        <v>23</v>
      </c>
      <c r="T17" s="45">
        <v>24</v>
      </c>
      <c r="U17" s="45">
        <v>24</v>
      </c>
      <c r="V17" s="45">
        <v>24</v>
      </c>
      <c r="W17" s="45">
        <v>24</v>
      </c>
      <c r="X17" s="45">
        <v>24</v>
      </c>
      <c r="Y17" s="45">
        <v>24</v>
      </c>
      <c r="Z17" s="45">
        <v>24</v>
      </c>
      <c r="AA17" s="45">
        <v>24</v>
      </c>
      <c r="AB17" s="45">
        <v>24</v>
      </c>
      <c r="AC17" s="45">
        <v>24</v>
      </c>
      <c r="AD17" s="45">
        <v>24</v>
      </c>
      <c r="AE17" s="45">
        <v>24</v>
      </c>
      <c r="AF17" s="45">
        <v>24</v>
      </c>
      <c r="AG17" s="50">
        <v>42</v>
      </c>
      <c r="AH17" s="47">
        <f t="shared" si="2"/>
        <v>27</v>
      </c>
      <c r="AI17" s="48">
        <f t="shared" si="3"/>
        <v>23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20.100000000000001</v>
      </c>
      <c r="C18" s="45">
        <v>20.100000000000001</v>
      </c>
      <c r="D18" s="45">
        <v>20.100000000000001</v>
      </c>
      <c r="E18" s="45">
        <v>20.100000000000001</v>
      </c>
      <c r="F18" s="45">
        <v>20.100000000000001</v>
      </c>
      <c r="G18" s="45">
        <v>20.100000000000001</v>
      </c>
      <c r="H18" s="45">
        <v>20.100000000000001</v>
      </c>
      <c r="I18" s="45">
        <v>20.100000000000001</v>
      </c>
      <c r="J18" s="45">
        <v>20.100000000000001</v>
      </c>
      <c r="K18" s="45">
        <v>20.100000000000001</v>
      </c>
      <c r="L18" s="45">
        <v>20.100000000000001</v>
      </c>
      <c r="M18" s="45">
        <v>20.100000000000001</v>
      </c>
      <c r="N18" s="45">
        <v>20.100000000000001</v>
      </c>
      <c r="O18" s="45">
        <v>20.100000000000001</v>
      </c>
      <c r="P18" s="45">
        <v>20.100000000000001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20.100000000000001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22</v>
      </c>
      <c r="C19" s="45">
        <v>22</v>
      </c>
      <c r="D19" s="45">
        <v>22</v>
      </c>
      <c r="E19" s="45">
        <v>22</v>
      </c>
      <c r="F19" s="45">
        <v>22</v>
      </c>
      <c r="G19" s="45">
        <v>22</v>
      </c>
      <c r="H19" s="45">
        <v>22</v>
      </c>
      <c r="I19" s="45">
        <v>22</v>
      </c>
      <c r="J19" s="45">
        <v>22</v>
      </c>
      <c r="K19" s="45">
        <v>22</v>
      </c>
      <c r="L19" s="45">
        <v>22</v>
      </c>
      <c r="M19" s="45">
        <v>22</v>
      </c>
      <c r="N19" s="45">
        <v>22</v>
      </c>
      <c r="O19" s="45">
        <v>22</v>
      </c>
      <c r="P19" s="45">
        <v>22</v>
      </c>
      <c r="Q19" s="45">
        <v>22</v>
      </c>
      <c r="R19" s="45">
        <v>22</v>
      </c>
      <c r="S19" s="45">
        <v>22</v>
      </c>
      <c r="T19" s="45">
        <v>22</v>
      </c>
      <c r="U19" s="45">
        <v>22</v>
      </c>
      <c r="V19" s="45">
        <v>22</v>
      </c>
      <c r="W19" s="45">
        <v>22</v>
      </c>
      <c r="X19" s="45">
        <v>22</v>
      </c>
      <c r="Y19" s="45">
        <v>22</v>
      </c>
      <c r="Z19" s="45">
        <v>22</v>
      </c>
      <c r="AA19" s="45">
        <v>22</v>
      </c>
      <c r="AB19" s="45">
        <v>22</v>
      </c>
      <c r="AC19" s="45">
        <v>22</v>
      </c>
      <c r="AD19" s="45">
        <v>22</v>
      </c>
      <c r="AE19" s="45">
        <v>22</v>
      </c>
      <c r="AF19" s="45">
        <v>22</v>
      </c>
      <c r="AG19" s="50">
        <v>36</v>
      </c>
      <c r="AH19" s="47">
        <f t="shared" si="2"/>
        <v>22</v>
      </c>
      <c r="AI19" s="48">
        <f t="shared" si="3"/>
        <v>22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18.8</v>
      </c>
      <c r="C20" s="45">
        <v>18.8</v>
      </c>
      <c r="D20" s="45">
        <v>18.8</v>
      </c>
      <c r="E20" s="45">
        <v>18.8</v>
      </c>
      <c r="F20" s="45">
        <v>15.3</v>
      </c>
      <c r="G20" s="45">
        <v>15</v>
      </c>
      <c r="H20" s="45">
        <v>15.4</v>
      </c>
      <c r="I20" s="45">
        <v>15.4</v>
      </c>
      <c r="J20" s="45">
        <v>15.4</v>
      </c>
      <c r="K20" s="45">
        <v>15.4</v>
      </c>
      <c r="L20" s="45">
        <v>15.4</v>
      </c>
      <c r="M20" s="45">
        <v>15.4</v>
      </c>
      <c r="N20" s="45">
        <v>15.4</v>
      </c>
      <c r="O20" s="45">
        <v>15.4</v>
      </c>
      <c r="P20" s="45">
        <v>15.4</v>
      </c>
      <c r="Q20" s="45">
        <v>14</v>
      </c>
      <c r="R20" s="45">
        <v>14</v>
      </c>
      <c r="S20" s="45">
        <v>14</v>
      </c>
      <c r="T20" s="45">
        <v>12</v>
      </c>
      <c r="U20" s="45">
        <v>12</v>
      </c>
      <c r="V20" s="45">
        <v>12</v>
      </c>
      <c r="W20" s="45">
        <v>12</v>
      </c>
      <c r="X20" s="45">
        <v>12</v>
      </c>
      <c r="Y20" s="45">
        <v>12</v>
      </c>
      <c r="Z20" s="45">
        <v>12</v>
      </c>
      <c r="AA20" s="45">
        <v>12</v>
      </c>
      <c r="AB20" s="45">
        <v>12</v>
      </c>
      <c r="AC20" s="45">
        <v>12</v>
      </c>
      <c r="AD20" s="45">
        <v>12</v>
      </c>
      <c r="AE20" s="45">
        <v>12</v>
      </c>
      <c r="AF20" s="45">
        <v>12</v>
      </c>
      <c r="AG20" s="51">
        <v>30</v>
      </c>
      <c r="AH20" s="47">
        <f t="shared" si="2"/>
        <v>18.8</v>
      </c>
      <c r="AI20" s="48">
        <f t="shared" si="3"/>
        <v>12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11</v>
      </c>
      <c r="C21" s="45">
        <v>11</v>
      </c>
      <c r="D21" s="45">
        <v>11</v>
      </c>
      <c r="E21" s="45">
        <v>11</v>
      </c>
      <c r="F21" s="45">
        <v>11</v>
      </c>
      <c r="G21" s="45">
        <v>11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50">
        <v>24.2</v>
      </c>
      <c r="AH21" s="47">
        <f t="shared" si="2"/>
        <v>13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0">
        <v>28</v>
      </c>
      <c r="AH22" s="47">
        <f t="shared" si="2"/>
        <v>11</v>
      </c>
      <c r="AI22" s="48">
        <f t="shared" si="3"/>
        <v>0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14.1</v>
      </c>
      <c r="H23" s="45">
        <v>14.1</v>
      </c>
      <c r="I23" s="45">
        <v>14.1</v>
      </c>
      <c r="J23" s="45">
        <v>14.1</v>
      </c>
      <c r="K23" s="45">
        <v>14.1</v>
      </c>
      <c r="L23" s="45">
        <v>14.1</v>
      </c>
      <c r="M23" s="45">
        <v>14.1</v>
      </c>
      <c r="N23" s="45">
        <v>14.1</v>
      </c>
      <c r="O23" s="45">
        <v>14.1</v>
      </c>
      <c r="P23" s="45">
        <v>14.1</v>
      </c>
      <c r="Q23" s="45">
        <v>14.1</v>
      </c>
      <c r="R23" s="45">
        <v>14.1</v>
      </c>
      <c r="S23" s="45">
        <v>14.1</v>
      </c>
      <c r="T23" s="45">
        <v>14.1</v>
      </c>
      <c r="U23" s="45">
        <v>14.1</v>
      </c>
      <c r="V23" s="45">
        <v>14.1</v>
      </c>
      <c r="W23" s="45">
        <v>14.1</v>
      </c>
      <c r="X23" s="45">
        <v>14.1</v>
      </c>
      <c r="Y23" s="45">
        <v>14.1</v>
      </c>
      <c r="Z23" s="45">
        <v>14.1</v>
      </c>
      <c r="AA23" s="45">
        <v>14.1</v>
      </c>
      <c r="AB23" s="45">
        <v>14.1</v>
      </c>
      <c r="AC23" s="45">
        <v>14.1</v>
      </c>
      <c r="AD23" s="45">
        <v>14.1</v>
      </c>
      <c r="AE23" s="45">
        <v>14.1</v>
      </c>
      <c r="AF23" s="45">
        <v>14.1</v>
      </c>
      <c r="AG23" s="51">
        <v>30</v>
      </c>
      <c r="AH23" s="47">
        <f t="shared" si="2"/>
        <v>14.1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13</v>
      </c>
      <c r="C24" s="45">
        <v>13</v>
      </c>
      <c r="D24" s="45">
        <v>13</v>
      </c>
      <c r="E24" s="45">
        <v>13</v>
      </c>
      <c r="F24" s="45">
        <v>13</v>
      </c>
      <c r="G24" s="45">
        <v>13.3</v>
      </c>
      <c r="H24" s="45">
        <v>15</v>
      </c>
      <c r="I24" s="45">
        <v>15</v>
      </c>
      <c r="J24" s="45">
        <v>15</v>
      </c>
      <c r="K24" s="45">
        <v>15</v>
      </c>
      <c r="L24" s="45">
        <v>15</v>
      </c>
      <c r="M24" s="45">
        <v>15</v>
      </c>
      <c r="N24" s="45">
        <v>15</v>
      </c>
      <c r="O24" s="45">
        <v>15</v>
      </c>
      <c r="P24" s="45">
        <v>15</v>
      </c>
      <c r="Q24" s="45">
        <v>14.6</v>
      </c>
      <c r="R24" s="45">
        <v>14.6</v>
      </c>
      <c r="S24" s="45">
        <v>14.6</v>
      </c>
      <c r="T24" s="45">
        <v>12.9</v>
      </c>
      <c r="U24" s="45">
        <v>16.5</v>
      </c>
      <c r="V24" s="45">
        <v>16.5</v>
      </c>
      <c r="W24" s="45">
        <v>16.5</v>
      </c>
      <c r="X24" s="45">
        <v>16.5</v>
      </c>
      <c r="Y24" s="45">
        <v>16.5</v>
      </c>
      <c r="Z24" s="45">
        <v>16.5</v>
      </c>
      <c r="AA24" s="45">
        <v>16.5</v>
      </c>
      <c r="AB24" s="45">
        <v>16.5</v>
      </c>
      <c r="AC24" s="45">
        <v>16.5</v>
      </c>
      <c r="AD24" s="45">
        <v>16.5</v>
      </c>
      <c r="AE24" s="45">
        <v>16.5</v>
      </c>
      <c r="AF24" s="45">
        <v>16.5</v>
      </c>
      <c r="AG24" s="50">
        <v>25</v>
      </c>
      <c r="AH24" s="47">
        <f t="shared" si="2"/>
        <v>16.5</v>
      </c>
      <c r="AI24" s="48">
        <f t="shared" si="3"/>
        <v>12.9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14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7.5</v>
      </c>
      <c r="C26" s="45">
        <v>7.5</v>
      </c>
      <c r="D26" s="45">
        <v>7.5</v>
      </c>
      <c r="E26" s="45">
        <v>7.5</v>
      </c>
      <c r="F26" s="45">
        <v>7.5</v>
      </c>
      <c r="G26" s="45">
        <v>7.5</v>
      </c>
      <c r="H26" s="45">
        <v>7.5</v>
      </c>
      <c r="I26" s="45">
        <v>7.5</v>
      </c>
      <c r="J26" s="45">
        <v>7.5</v>
      </c>
      <c r="K26" s="45">
        <v>7.5</v>
      </c>
      <c r="L26" s="45">
        <v>7.5</v>
      </c>
      <c r="M26" s="45">
        <v>7.5</v>
      </c>
      <c r="N26" s="45">
        <v>7.5</v>
      </c>
      <c r="O26" s="45">
        <v>7.5</v>
      </c>
      <c r="P26" s="45">
        <v>7.5</v>
      </c>
      <c r="Q26" s="45">
        <v>7.5</v>
      </c>
      <c r="R26" s="45">
        <v>7.5</v>
      </c>
      <c r="S26" s="45">
        <v>7.5</v>
      </c>
      <c r="T26" s="45">
        <v>7.5</v>
      </c>
      <c r="U26" s="45">
        <v>7.5</v>
      </c>
      <c r="V26" s="45">
        <v>7.5</v>
      </c>
      <c r="W26" s="45">
        <v>7.5</v>
      </c>
      <c r="X26" s="45">
        <v>7.5</v>
      </c>
      <c r="Y26" s="45">
        <v>7.5</v>
      </c>
      <c r="Z26" s="45">
        <v>7.5</v>
      </c>
      <c r="AA26" s="45">
        <v>7.5</v>
      </c>
      <c r="AB26" s="45">
        <v>7.5</v>
      </c>
      <c r="AC26" s="45">
        <v>7.5</v>
      </c>
      <c r="AD26" s="45">
        <v>7.5</v>
      </c>
      <c r="AE26" s="45">
        <v>7.5</v>
      </c>
      <c r="AF26" s="45">
        <v>7.5</v>
      </c>
      <c r="AG26" s="50">
        <v>25</v>
      </c>
      <c r="AH26" s="47">
        <f t="shared" si="2"/>
        <v>7.5</v>
      </c>
      <c r="AI26" s="48">
        <f t="shared" si="3"/>
        <v>7.5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17</v>
      </c>
      <c r="C27" s="45">
        <v>17</v>
      </c>
      <c r="D27" s="45">
        <v>17</v>
      </c>
      <c r="E27" s="45">
        <v>17</v>
      </c>
      <c r="F27" s="45">
        <v>17</v>
      </c>
      <c r="G27" s="45">
        <v>17</v>
      </c>
      <c r="H27" s="45">
        <v>17</v>
      </c>
      <c r="I27" s="45">
        <v>17</v>
      </c>
      <c r="J27" s="45">
        <v>17</v>
      </c>
      <c r="K27" s="45">
        <v>17</v>
      </c>
      <c r="L27" s="45">
        <v>17</v>
      </c>
      <c r="M27" s="45">
        <v>17</v>
      </c>
      <c r="N27" s="45">
        <v>16</v>
      </c>
      <c r="O27" s="45">
        <v>16</v>
      </c>
      <c r="P27" s="45">
        <v>16</v>
      </c>
      <c r="Q27" s="45">
        <v>16</v>
      </c>
      <c r="R27" s="45">
        <v>16</v>
      </c>
      <c r="S27" s="45">
        <v>16</v>
      </c>
      <c r="T27" s="45">
        <v>16</v>
      </c>
      <c r="U27" s="45">
        <v>16</v>
      </c>
      <c r="V27" s="45">
        <v>16</v>
      </c>
      <c r="W27" s="45">
        <v>16</v>
      </c>
      <c r="X27" s="45">
        <v>16</v>
      </c>
      <c r="Y27" s="45">
        <v>16</v>
      </c>
      <c r="Z27" s="45">
        <v>16</v>
      </c>
      <c r="AA27" s="45">
        <v>16</v>
      </c>
      <c r="AB27" s="45">
        <v>16</v>
      </c>
      <c r="AC27" s="45">
        <v>16</v>
      </c>
      <c r="AD27" s="45">
        <v>16</v>
      </c>
      <c r="AE27" s="45">
        <v>16</v>
      </c>
      <c r="AF27" s="45">
        <v>16</v>
      </c>
      <c r="AG27" s="50">
        <v>25</v>
      </c>
      <c r="AH27" s="47">
        <f t="shared" si="2"/>
        <v>17</v>
      </c>
      <c r="AI27" s="48">
        <f t="shared" si="3"/>
        <v>16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8.5</v>
      </c>
      <c r="C28" s="45">
        <v>8.5</v>
      </c>
      <c r="D28" s="45">
        <v>8.5</v>
      </c>
      <c r="E28" s="45">
        <v>8.5</v>
      </c>
      <c r="F28" s="45">
        <v>8.5</v>
      </c>
      <c r="G28" s="45">
        <v>8.5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5.9</v>
      </c>
      <c r="N28" s="45">
        <v>5.9</v>
      </c>
      <c r="O28" s="45">
        <v>5.9</v>
      </c>
      <c r="P28" s="45">
        <v>5.9</v>
      </c>
      <c r="Q28" s="45">
        <v>11.8</v>
      </c>
      <c r="R28" s="45">
        <v>11.8</v>
      </c>
      <c r="S28" s="45">
        <v>11.8</v>
      </c>
      <c r="T28" s="45">
        <v>11.8</v>
      </c>
      <c r="U28" s="45">
        <v>8.1</v>
      </c>
      <c r="V28" s="45">
        <v>8.1</v>
      </c>
      <c r="W28" s="45">
        <v>8.1</v>
      </c>
      <c r="X28" s="45">
        <v>8.1</v>
      </c>
      <c r="Y28" s="45">
        <v>8.1</v>
      </c>
      <c r="Z28" s="45">
        <v>8.1</v>
      </c>
      <c r="AA28" s="45">
        <v>8.1</v>
      </c>
      <c r="AB28" s="45">
        <v>8.1</v>
      </c>
      <c r="AC28" s="45">
        <v>8.1</v>
      </c>
      <c r="AD28" s="45">
        <v>8.1</v>
      </c>
      <c r="AE28" s="45">
        <v>8.1</v>
      </c>
      <c r="AF28" s="45">
        <v>8.1</v>
      </c>
      <c r="AG28" s="50">
        <v>23.5</v>
      </c>
      <c r="AH28" s="47">
        <f t="shared" si="2"/>
        <v>11.8</v>
      </c>
      <c r="AI28" s="48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4.5</v>
      </c>
      <c r="C29" s="45">
        <v>4.5</v>
      </c>
      <c r="D29" s="45">
        <v>4.5</v>
      </c>
      <c r="E29" s="45">
        <v>4.5</v>
      </c>
      <c r="F29" s="45">
        <v>4.5</v>
      </c>
      <c r="G29" s="45">
        <v>4.5</v>
      </c>
      <c r="H29" s="45">
        <v>4.5</v>
      </c>
      <c r="I29" s="45">
        <v>4.5</v>
      </c>
      <c r="J29" s="45">
        <v>4.5</v>
      </c>
      <c r="K29" s="45">
        <v>4.5</v>
      </c>
      <c r="L29" s="45">
        <v>4.5</v>
      </c>
      <c r="M29" s="45">
        <v>4.5</v>
      </c>
      <c r="N29" s="45">
        <v>4.5</v>
      </c>
      <c r="O29" s="45">
        <v>4.5</v>
      </c>
      <c r="P29" s="45">
        <v>4.5</v>
      </c>
      <c r="Q29" s="45">
        <v>4.5</v>
      </c>
      <c r="R29" s="45">
        <v>4.5</v>
      </c>
      <c r="S29" s="45">
        <v>4.5</v>
      </c>
      <c r="T29" s="45">
        <v>4.5</v>
      </c>
      <c r="U29" s="45">
        <v>4.5</v>
      </c>
      <c r="V29" s="45">
        <v>4.5</v>
      </c>
      <c r="W29" s="45">
        <v>4.5</v>
      </c>
      <c r="X29" s="45">
        <v>4.5</v>
      </c>
      <c r="Y29" s="45">
        <v>4.5</v>
      </c>
      <c r="Z29" s="45">
        <v>4.5</v>
      </c>
      <c r="AA29" s="45">
        <v>4.5</v>
      </c>
      <c r="AB29" s="45">
        <v>4.5</v>
      </c>
      <c r="AC29" s="45">
        <v>4.5</v>
      </c>
      <c r="AD29" s="45">
        <v>4.5</v>
      </c>
      <c r="AE29" s="45">
        <v>4.5</v>
      </c>
      <c r="AF29" s="45">
        <v>4.5</v>
      </c>
      <c r="AG29" s="50">
        <v>22.2</v>
      </c>
      <c r="AH29" s="47">
        <f t="shared" si="2"/>
        <v>4.5</v>
      </c>
      <c r="AI29" s="48">
        <f t="shared" si="3"/>
        <v>4.5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50">
        <v>22</v>
      </c>
      <c r="AH31" s="47">
        <f t="shared" si="2"/>
        <v>4.5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</v>
      </c>
      <c r="C32" s="45">
        <v>5</v>
      </c>
      <c r="D32" s="45">
        <v>5</v>
      </c>
      <c r="E32" s="45">
        <v>7.8</v>
      </c>
      <c r="F32" s="45">
        <v>7.8</v>
      </c>
      <c r="G32" s="45">
        <v>7.8</v>
      </c>
      <c r="H32" s="45">
        <v>7.8</v>
      </c>
      <c r="I32" s="45">
        <v>7.8</v>
      </c>
      <c r="J32" s="45">
        <v>7.8</v>
      </c>
      <c r="K32" s="45">
        <v>7.8</v>
      </c>
      <c r="L32" s="45">
        <v>7.8</v>
      </c>
      <c r="M32" s="45">
        <v>7.8</v>
      </c>
      <c r="N32" s="45">
        <v>7.8</v>
      </c>
      <c r="O32" s="45">
        <v>7.8</v>
      </c>
      <c r="P32" s="45">
        <v>7.8</v>
      </c>
      <c r="Q32" s="45">
        <v>4.8</v>
      </c>
      <c r="R32" s="45">
        <v>4.8</v>
      </c>
      <c r="S32" s="45">
        <v>4.8</v>
      </c>
      <c r="T32" s="45">
        <v>4.8</v>
      </c>
      <c r="U32" s="45">
        <v>5.7</v>
      </c>
      <c r="V32" s="45">
        <v>5.7</v>
      </c>
      <c r="W32" s="45">
        <v>5.7</v>
      </c>
      <c r="X32" s="45">
        <v>5.7</v>
      </c>
      <c r="Y32" s="45">
        <v>5.7</v>
      </c>
      <c r="Z32" s="45">
        <v>5.7</v>
      </c>
      <c r="AA32" s="45">
        <v>5.7</v>
      </c>
      <c r="AB32" s="45">
        <v>5.7</v>
      </c>
      <c r="AC32" s="45">
        <v>5.7</v>
      </c>
      <c r="AD32" s="45">
        <v>5.7</v>
      </c>
      <c r="AE32" s="45">
        <v>5.7</v>
      </c>
      <c r="AF32" s="45">
        <v>5.7</v>
      </c>
      <c r="AG32" s="50">
        <v>22</v>
      </c>
      <c r="AH32" s="47">
        <f t="shared" si="2"/>
        <v>7.8</v>
      </c>
      <c r="AI32" s="48">
        <f t="shared" si="3"/>
        <v>4.8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14</v>
      </c>
      <c r="C33" s="45">
        <v>14</v>
      </c>
      <c r="D33" s="45">
        <v>14</v>
      </c>
      <c r="E33" s="45">
        <v>14</v>
      </c>
      <c r="F33" s="45">
        <v>14</v>
      </c>
      <c r="G33" s="45">
        <v>14</v>
      </c>
      <c r="H33" s="45">
        <v>14</v>
      </c>
      <c r="I33" s="45">
        <v>14</v>
      </c>
      <c r="J33" s="45">
        <v>14</v>
      </c>
      <c r="K33" s="45">
        <v>14</v>
      </c>
      <c r="L33" s="45">
        <v>14</v>
      </c>
      <c r="M33" s="45">
        <v>14</v>
      </c>
      <c r="N33" s="45">
        <v>14</v>
      </c>
      <c r="O33" s="45">
        <v>14</v>
      </c>
      <c r="P33" s="45">
        <v>14</v>
      </c>
      <c r="Q33" s="45">
        <v>14</v>
      </c>
      <c r="R33" s="45">
        <v>14</v>
      </c>
      <c r="S33" s="45">
        <v>14</v>
      </c>
      <c r="T33" s="45">
        <v>14</v>
      </c>
      <c r="U33" s="45">
        <v>14</v>
      </c>
      <c r="V33" s="45">
        <v>14</v>
      </c>
      <c r="W33" s="45">
        <v>14</v>
      </c>
      <c r="X33" s="45">
        <v>14</v>
      </c>
      <c r="Y33" s="45">
        <v>14</v>
      </c>
      <c r="Z33" s="45">
        <v>14</v>
      </c>
      <c r="AA33" s="45">
        <v>14</v>
      </c>
      <c r="AB33" s="45">
        <v>14</v>
      </c>
      <c r="AC33" s="45">
        <v>14</v>
      </c>
      <c r="AD33" s="45">
        <v>14</v>
      </c>
      <c r="AE33" s="45">
        <v>14</v>
      </c>
      <c r="AF33" s="45">
        <v>14</v>
      </c>
      <c r="AG33" s="50">
        <v>20</v>
      </c>
      <c r="AH33" s="47">
        <f t="shared" si="2"/>
        <v>14</v>
      </c>
      <c r="AI33" s="48">
        <f t="shared" si="3"/>
        <v>14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0">
        <v>18</v>
      </c>
      <c r="AH34" s="47">
        <f t="shared" si="2"/>
        <v>8.5</v>
      </c>
      <c r="AI34" s="48">
        <f t="shared" si="3"/>
        <v>8.5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0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50">
        <v>13</v>
      </c>
      <c r="AH38" s="47">
        <f t="shared" si="2"/>
        <v>0</v>
      </c>
      <c r="AI38" s="48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0">
        <v>12</v>
      </c>
      <c r="AH39" s="47">
        <f t="shared" si="2"/>
        <v>7</v>
      </c>
      <c r="AI39" s="48">
        <f t="shared" si="3"/>
        <v>7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>
        <v>3.6</v>
      </c>
      <c r="N45" s="45">
        <v>3.6</v>
      </c>
      <c r="O45" s="45">
        <v>3.6</v>
      </c>
      <c r="P45" s="45">
        <v>3.6</v>
      </c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3.6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5</v>
      </c>
      <c r="C46" s="45">
        <v>5</v>
      </c>
      <c r="D46" s="45">
        <v>5</v>
      </c>
      <c r="E46" s="45">
        <v>5</v>
      </c>
      <c r="F46" s="45">
        <v>5</v>
      </c>
      <c r="G46" s="45">
        <v>5</v>
      </c>
      <c r="H46" s="45">
        <v>5</v>
      </c>
      <c r="I46" s="45">
        <v>5</v>
      </c>
      <c r="J46" s="45">
        <v>5</v>
      </c>
      <c r="K46" s="45">
        <v>5</v>
      </c>
      <c r="L46" s="45">
        <v>5</v>
      </c>
      <c r="M46" s="45">
        <v>5</v>
      </c>
      <c r="N46" s="45">
        <v>5</v>
      </c>
      <c r="O46" s="45">
        <v>5</v>
      </c>
      <c r="P46" s="45">
        <v>5</v>
      </c>
      <c r="Q46" s="45">
        <v>5</v>
      </c>
      <c r="R46" s="45">
        <v>5</v>
      </c>
      <c r="S46" s="45">
        <v>5</v>
      </c>
      <c r="T46" s="45">
        <v>5</v>
      </c>
      <c r="U46" s="45">
        <v>5</v>
      </c>
      <c r="V46" s="45">
        <v>5</v>
      </c>
      <c r="W46" s="45">
        <v>5</v>
      </c>
      <c r="X46" s="45">
        <v>5</v>
      </c>
      <c r="Y46" s="45">
        <v>5</v>
      </c>
      <c r="Z46" s="45">
        <v>5</v>
      </c>
      <c r="AA46" s="45">
        <v>5</v>
      </c>
      <c r="AB46" s="45">
        <v>5</v>
      </c>
      <c r="AC46" s="45">
        <v>5</v>
      </c>
      <c r="AD46" s="45">
        <v>5</v>
      </c>
      <c r="AE46" s="45">
        <v>5</v>
      </c>
      <c r="AF46" s="45">
        <v>5</v>
      </c>
      <c r="AG46" s="54">
        <v>10</v>
      </c>
      <c r="AH46" s="47">
        <f t="shared" si="2"/>
        <v>5</v>
      </c>
      <c r="AI46" s="48">
        <f t="shared" si="3"/>
        <v>5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200</v>
      </c>
      <c r="C48" s="56">
        <v>200</v>
      </c>
      <c r="D48" s="56">
        <v>200</v>
      </c>
      <c r="E48" s="56">
        <v>200</v>
      </c>
      <c r="F48" s="56">
        <v>200</v>
      </c>
      <c r="G48" s="56">
        <v>200</v>
      </c>
      <c r="H48" s="56">
        <v>200</v>
      </c>
      <c r="I48" s="56">
        <v>200</v>
      </c>
      <c r="J48" s="56">
        <v>200</v>
      </c>
      <c r="K48" s="56">
        <v>200</v>
      </c>
      <c r="L48" s="56">
        <v>200</v>
      </c>
      <c r="M48" s="56">
        <v>230</v>
      </c>
      <c r="N48" s="56">
        <v>230</v>
      </c>
      <c r="O48" s="56">
        <v>230</v>
      </c>
      <c r="P48" s="56">
        <v>230</v>
      </c>
      <c r="Q48" s="56">
        <v>230</v>
      </c>
      <c r="R48" s="56">
        <v>230</v>
      </c>
      <c r="S48" s="56">
        <v>230</v>
      </c>
      <c r="T48" s="56">
        <v>230</v>
      </c>
      <c r="U48" s="56">
        <v>230</v>
      </c>
      <c r="V48" s="56">
        <v>230</v>
      </c>
      <c r="W48" s="56">
        <v>230</v>
      </c>
      <c r="X48" s="56">
        <v>230</v>
      </c>
      <c r="Y48" s="56">
        <v>230</v>
      </c>
      <c r="Z48" s="56">
        <v>230</v>
      </c>
      <c r="AA48" s="56">
        <v>230</v>
      </c>
      <c r="AB48" s="56">
        <v>230</v>
      </c>
      <c r="AC48" s="56">
        <v>230</v>
      </c>
      <c r="AD48" s="56">
        <v>230</v>
      </c>
      <c r="AE48" s="56">
        <v>230</v>
      </c>
      <c r="AF48" s="56">
        <v>230</v>
      </c>
      <c r="AG48" s="54">
        <v>85</v>
      </c>
      <c r="AH48" s="47">
        <f t="shared" si="2"/>
        <v>230</v>
      </c>
      <c r="AI48" s="48">
        <f t="shared" si="3"/>
        <v>200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6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 t="shared" ref="B50:AF50" si="4">SUM(B11:B48)</f>
        <v>674.90000000000009</v>
      </c>
      <c r="C50" s="60">
        <f t="shared" si="4"/>
        <v>674.90000000000009</v>
      </c>
      <c r="D50" s="60">
        <f t="shared" si="4"/>
        <v>674.90000000000009</v>
      </c>
      <c r="E50" s="60">
        <f t="shared" si="4"/>
        <v>677.7</v>
      </c>
      <c r="F50" s="60">
        <f t="shared" si="4"/>
        <v>643.60000000000014</v>
      </c>
      <c r="G50" s="60">
        <f t="shared" si="4"/>
        <v>674.7</v>
      </c>
      <c r="H50" s="60">
        <f t="shared" si="4"/>
        <v>670.6</v>
      </c>
      <c r="I50" s="60">
        <f t="shared" si="4"/>
        <v>670.6</v>
      </c>
      <c r="J50" s="60">
        <f t="shared" si="4"/>
        <v>650.60000000000014</v>
      </c>
      <c r="K50" s="60">
        <f t="shared" si="4"/>
        <v>650.60000000000014</v>
      </c>
      <c r="L50" s="60">
        <f t="shared" si="4"/>
        <v>650.60000000000014</v>
      </c>
      <c r="M50" s="60">
        <f t="shared" si="4"/>
        <v>701.5</v>
      </c>
      <c r="N50" s="60">
        <f t="shared" si="4"/>
        <v>698.5</v>
      </c>
      <c r="O50" s="60">
        <f t="shared" si="4"/>
        <v>698.5</v>
      </c>
      <c r="P50" s="60">
        <f t="shared" si="4"/>
        <v>698.5</v>
      </c>
      <c r="Q50" s="60">
        <f t="shared" si="4"/>
        <v>698.40000000000009</v>
      </c>
      <c r="R50" s="60">
        <f t="shared" si="4"/>
        <v>698.40000000000009</v>
      </c>
      <c r="S50" s="60">
        <f t="shared" si="4"/>
        <v>681.40000000000009</v>
      </c>
      <c r="T50" s="60">
        <f t="shared" si="4"/>
        <v>665.40000000000009</v>
      </c>
      <c r="U50" s="60">
        <f t="shared" si="4"/>
        <v>688.2</v>
      </c>
      <c r="V50" s="60">
        <f t="shared" si="4"/>
        <v>688.2</v>
      </c>
      <c r="W50" s="60">
        <f t="shared" si="4"/>
        <v>688.2</v>
      </c>
      <c r="X50" s="60">
        <f t="shared" si="4"/>
        <v>688.2</v>
      </c>
      <c r="Y50" s="60">
        <f t="shared" si="4"/>
        <v>688.2</v>
      </c>
      <c r="Z50" s="60">
        <f t="shared" si="4"/>
        <v>688.2</v>
      </c>
      <c r="AA50" s="60">
        <f t="shared" si="4"/>
        <v>688.2</v>
      </c>
      <c r="AB50" s="60">
        <f t="shared" si="4"/>
        <v>688.2</v>
      </c>
      <c r="AC50" s="60">
        <f t="shared" si="4"/>
        <v>658.40000000000009</v>
      </c>
      <c r="AD50" s="60">
        <f t="shared" si="4"/>
        <v>658.40000000000009</v>
      </c>
      <c r="AE50" s="60">
        <f t="shared" si="4"/>
        <v>683.2</v>
      </c>
      <c r="AF50" s="60">
        <f t="shared" si="4"/>
        <v>683.2</v>
      </c>
      <c r="AG50" s="61">
        <f>SUM(AG13:AG48)</f>
        <v>922.14</v>
      </c>
      <c r="AH50" s="47">
        <f t="shared" si="2"/>
        <v>701.5</v>
      </c>
      <c r="AI50" s="48">
        <f t="shared" si="3"/>
        <v>643.60000000000014</v>
      </c>
      <c r="AK50" s="49"/>
    </row>
    <row r="51" spans="1:41" x14ac:dyDescent="0.25">
      <c r="A51" s="62" t="s">
        <v>57</v>
      </c>
      <c r="B51" s="45">
        <v>456</v>
      </c>
      <c r="C51" s="45">
        <v>422</v>
      </c>
      <c r="D51" s="45">
        <v>360</v>
      </c>
      <c r="E51" s="45">
        <v>200</v>
      </c>
      <c r="F51" s="45">
        <v>225</v>
      </c>
      <c r="G51" s="45">
        <v>110</v>
      </c>
      <c r="H51" s="45">
        <v>90</v>
      </c>
      <c r="I51" s="45">
        <v>110</v>
      </c>
      <c r="J51" s="45">
        <v>112</v>
      </c>
      <c r="K51" s="45">
        <v>90</v>
      </c>
      <c r="L51" s="45">
        <v>90</v>
      </c>
      <c r="M51" s="45">
        <v>120</v>
      </c>
      <c r="N51" s="63">
        <v>100</v>
      </c>
      <c r="O51" s="63">
        <v>210</v>
      </c>
      <c r="P51" s="63">
        <v>200</v>
      </c>
      <c r="Q51" s="63">
        <v>190</v>
      </c>
      <c r="R51" s="63">
        <v>150</v>
      </c>
      <c r="S51" s="63">
        <v>120</v>
      </c>
      <c r="T51" s="45">
        <v>150</v>
      </c>
      <c r="U51" s="45">
        <v>140</v>
      </c>
      <c r="V51" s="45">
        <v>120</v>
      </c>
      <c r="W51" s="45">
        <v>70</v>
      </c>
      <c r="X51" s="45">
        <v>110</v>
      </c>
      <c r="Y51" s="45">
        <v>160</v>
      </c>
      <c r="Z51" s="45">
        <v>240</v>
      </c>
      <c r="AA51" s="45">
        <v>456</v>
      </c>
      <c r="AB51" s="45">
        <v>456</v>
      </c>
      <c r="AC51" s="45">
        <v>430</v>
      </c>
      <c r="AD51" s="45">
        <v>340</v>
      </c>
      <c r="AE51" s="45">
        <v>260</v>
      </c>
      <c r="AF51" s="45">
        <v>340</v>
      </c>
      <c r="AG51" s="51">
        <v>456</v>
      </c>
      <c r="AH51" s="47">
        <f t="shared" si="2"/>
        <v>456</v>
      </c>
      <c r="AI51" s="48">
        <f t="shared" si="3"/>
        <v>70</v>
      </c>
      <c r="AK51" s="49"/>
    </row>
    <row r="52" spans="1:41" x14ac:dyDescent="0.25">
      <c r="A52" s="64" t="s">
        <v>58</v>
      </c>
      <c r="B52" s="65">
        <v>36</v>
      </c>
      <c r="C52" s="65">
        <v>36</v>
      </c>
      <c r="D52" s="65">
        <v>36</v>
      </c>
      <c r="E52" s="65">
        <v>36</v>
      </c>
      <c r="F52" s="65">
        <v>36</v>
      </c>
      <c r="G52" s="65">
        <v>36</v>
      </c>
      <c r="H52" s="65">
        <v>36</v>
      </c>
      <c r="I52" s="65">
        <v>36</v>
      </c>
      <c r="J52" s="65">
        <v>36</v>
      </c>
      <c r="K52" s="65">
        <v>36</v>
      </c>
      <c r="L52" s="65">
        <v>36</v>
      </c>
      <c r="M52" s="65">
        <v>36</v>
      </c>
      <c r="N52" s="65">
        <v>36</v>
      </c>
      <c r="O52" s="65">
        <v>36</v>
      </c>
      <c r="P52" s="65">
        <v>36</v>
      </c>
      <c r="Q52" s="65">
        <v>36</v>
      </c>
      <c r="R52" s="65">
        <v>36</v>
      </c>
      <c r="S52" s="65">
        <v>36</v>
      </c>
      <c r="T52" s="65">
        <v>36</v>
      </c>
      <c r="U52" s="65">
        <v>36</v>
      </c>
      <c r="V52" s="65">
        <v>36</v>
      </c>
      <c r="W52" s="65">
        <v>36</v>
      </c>
      <c r="X52" s="65">
        <v>36</v>
      </c>
      <c r="Y52" s="65">
        <v>36</v>
      </c>
      <c r="Z52" s="65">
        <v>36</v>
      </c>
      <c r="AA52" s="65">
        <v>36</v>
      </c>
      <c r="AB52" s="65">
        <v>36</v>
      </c>
      <c r="AC52" s="65">
        <v>36</v>
      </c>
      <c r="AD52" s="65">
        <v>36</v>
      </c>
      <c r="AE52" s="65">
        <v>36</v>
      </c>
      <c r="AF52" s="65">
        <v>36</v>
      </c>
      <c r="AG52" s="54">
        <v>60</v>
      </c>
      <c r="AH52" s="47">
        <f t="shared" si="2"/>
        <v>36</v>
      </c>
      <c r="AI52" s="48">
        <f t="shared" si="3"/>
        <v>36</v>
      </c>
      <c r="AK52" s="49"/>
    </row>
    <row r="53" spans="1:41" ht="15.75" thickBot="1" x14ac:dyDescent="0.3">
      <c r="A53" s="66" t="s">
        <v>59</v>
      </c>
      <c r="B53" s="67">
        <v>22.4</v>
      </c>
      <c r="C53" s="67">
        <v>22.4</v>
      </c>
      <c r="D53" s="67">
        <v>22.4</v>
      </c>
      <c r="E53" s="67">
        <v>22.4</v>
      </c>
      <c r="F53" s="67">
        <v>22.4</v>
      </c>
      <c r="G53" s="67">
        <v>22.4</v>
      </c>
      <c r="H53" s="67">
        <v>22.4</v>
      </c>
      <c r="I53" s="67">
        <v>22.4</v>
      </c>
      <c r="J53" s="67">
        <v>22</v>
      </c>
      <c r="K53" s="67">
        <v>22</v>
      </c>
      <c r="L53" s="67">
        <v>22</v>
      </c>
      <c r="M53" s="67">
        <v>22.5</v>
      </c>
      <c r="N53" s="67">
        <v>22.4</v>
      </c>
      <c r="O53" s="67">
        <v>22.4</v>
      </c>
      <c r="P53" s="67">
        <v>22.5</v>
      </c>
      <c r="Q53" s="67">
        <v>22.4</v>
      </c>
      <c r="R53" s="67">
        <v>22.4</v>
      </c>
      <c r="S53" s="67">
        <v>22.4</v>
      </c>
      <c r="T53" s="67">
        <v>22.4</v>
      </c>
      <c r="U53" s="67">
        <v>22.4</v>
      </c>
      <c r="V53" s="67">
        <v>22.4</v>
      </c>
      <c r="W53" s="67">
        <v>22.4</v>
      </c>
      <c r="X53" s="67">
        <v>22.4</v>
      </c>
      <c r="Y53" s="67">
        <v>22.4</v>
      </c>
      <c r="Z53" s="67">
        <v>22.4</v>
      </c>
      <c r="AA53" s="67">
        <v>22.4</v>
      </c>
      <c r="AB53" s="67">
        <v>22.4</v>
      </c>
      <c r="AC53" s="67">
        <v>22.4</v>
      </c>
      <c r="AD53" s="67">
        <v>22.4</v>
      </c>
      <c r="AE53" s="67">
        <v>22.4</v>
      </c>
      <c r="AF53" s="67">
        <v>22.4</v>
      </c>
      <c r="AG53" s="68">
        <v>22.1</v>
      </c>
      <c r="AH53" s="47">
        <f t="shared" si="2"/>
        <v>22.5</v>
      </c>
      <c r="AI53" s="48">
        <f t="shared" si="3"/>
        <v>22</v>
      </c>
      <c r="AK53" s="49"/>
    </row>
    <row r="54" spans="1:41" ht="15.75" thickBot="1" x14ac:dyDescent="0.3">
      <c r="A54" s="69" t="s">
        <v>60</v>
      </c>
      <c r="B54" s="60">
        <f t="shared" ref="B54:AG54" si="5">SUM(B51:B53)</f>
        <v>514.4</v>
      </c>
      <c r="C54" s="60">
        <f t="shared" si="5"/>
        <v>480.4</v>
      </c>
      <c r="D54" s="60">
        <f t="shared" si="5"/>
        <v>418.4</v>
      </c>
      <c r="E54" s="60">
        <f t="shared" si="5"/>
        <v>258.39999999999998</v>
      </c>
      <c r="F54" s="60">
        <f t="shared" si="5"/>
        <v>283.39999999999998</v>
      </c>
      <c r="G54" s="60">
        <f t="shared" si="5"/>
        <v>168.4</v>
      </c>
      <c r="H54" s="60">
        <f t="shared" si="5"/>
        <v>148.4</v>
      </c>
      <c r="I54" s="60">
        <f t="shared" si="5"/>
        <v>168.4</v>
      </c>
      <c r="J54" s="60">
        <f t="shared" si="5"/>
        <v>170</v>
      </c>
      <c r="K54" s="60">
        <f t="shared" si="5"/>
        <v>148</v>
      </c>
      <c r="L54" s="60">
        <f t="shared" si="5"/>
        <v>148</v>
      </c>
      <c r="M54" s="60">
        <f t="shared" si="5"/>
        <v>178.5</v>
      </c>
      <c r="N54" s="60">
        <f t="shared" si="5"/>
        <v>158.4</v>
      </c>
      <c r="O54" s="60">
        <f t="shared" si="5"/>
        <v>268.39999999999998</v>
      </c>
      <c r="P54" s="60">
        <f t="shared" si="5"/>
        <v>258.5</v>
      </c>
      <c r="Q54" s="60">
        <f t="shared" si="5"/>
        <v>248.4</v>
      </c>
      <c r="R54" s="60">
        <f t="shared" si="5"/>
        <v>208.4</v>
      </c>
      <c r="S54" s="60">
        <f t="shared" si="5"/>
        <v>178.4</v>
      </c>
      <c r="T54" s="60">
        <f t="shared" si="5"/>
        <v>208.4</v>
      </c>
      <c r="U54" s="60">
        <f t="shared" si="5"/>
        <v>198.4</v>
      </c>
      <c r="V54" s="60">
        <f t="shared" si="5"/>
        <v>178.4</v>
      </c>
      <c r="W54" s="60">
        <f t="shared" si="5"/>
        <v>128.4</v>
      </c>
      <c r="X54" s="60">
        <f t="shared" si="5"/>
        <v>168.4</v>
      </c>
      <c r="Y54" s="60">
        <f t="shared" si="5"/>
        <v>218.4</v>
      </c>
      <c r="Z54" s="60">
        <f t="shared" si="5"/>
        <v>298.39999999999998</v>
      </c>
      <c r="AA54" s="60">
        <f t="shared" si="5"/>
        <v>514.4</v>
      </c>
      <c r="AB54" s="60">
        <f t="shared" si="5"/>
        <v>514.4</v>
      </c>
      <c r="AC54" s="60">
        <f t="shared" si="5"/>
        <v>488.4</v>
      </c>
      <c r="AD54" s="60">
        <f t="shared" si="5"/>
        <v>398.4</v>
      </c>
      <c r="AE54" s="60">
        <f t="shared" si="5"/>
        <v>318.39999999999998</v>
      </c>
      <c r="AF54" s="60">
        <f t="shared" si="5"/>
        <v>398.4</v>
      </c>
      <c r="AG54" s="61">
        <f t="shared" si="5"/>
        <v>538.1</v>
      </c>
      <c r="AH54" s="47">
        <f t="shared" si="2"/>
        <v>514.4</v>
      </c>
      <c r="AI54" s="48">
        <f t="shared" si="3"/>
        <v>128.4</v>
      </c>
      <c r="AK54" s="49"/>
    </row>
    <row r="55" spans="1:41" x14ac:dyDescent="0.25">
      <c r="A55" s="44" t="s">
        <v>61</v>
      </c>
      <c r="B55" s="45">
        <v>91</v>
      </c>
      <c r="C55" s="45">
        <v>111</v>
      </c>
      <c r="D55" s="45">
        <v>86.5</v>
      </c>
      <c r="E55" s="45">
        <v>91</v>
      </c>
      <c r="F55" s="45">
        <v>96</v>
      </c>
      <c r="G55" s="45">
        <v>61.3</v>
      </c>
      <c r="H55" s="45">
        <v>71.3</v>
      </c>
      <c r="I55" s="45">
        <v>71.400000000000006</v>
      </c>
      <c r="J55" s="45">
        <v>92</v>
      </c>
      <c r="K55" s="45">
        <v>80</v>
      </c>
      <c r="L55" s="45">
        <v>81.5</v>
      </c>
      <c r="M55" s="45">
        <v>91.3</v>
      </c>
      <c r="N55" s="45">
        <v>97.6</v>
      </c>
      <c r="O55" s="45">
        <v>121.9</v>
      </c>
      <c r="P55" s="45">
        <v>121.7</v>
      </c>
      <c r="Q55" s="45">
        <v>137</v>
      </c>
      <c r="R55" s="45">
        <v>137</v>
      </c>
      <c r="S55" s="45">
        <v>146</v>
      </c>
      <c r="T55" s="45">
        <v>136</v>
      </c>
      <c r="U55" s="45">
        <v>145</v>
      </c>
      <c r="V55" s="45">
        <v>144</v>
      </c>
      <c r="W55" s="45">
        <v>144</v>
      </c>
      <c r="X55" s="45">
        <v>136</v>
      </c>
      <c r="Y55" s="45">
        <v>143</v>
      </c>
      <c r="Z55" s="45">
        <v>143</v>
      </c>
      <c r="AA55" s="45">
        <v>143</v>
      </c>
      <c r="AB55" s="45">
        <v>143</v>
      </c>
      <c r="AC55" s="45">
        <v>143</v>
      </c>
      <c r="AD55" s="45">
        <v>141</v>
      </c>
      <c r="AE55" s="45">
        <v>125</v>
      </c>
      <c r="AF55" s="45">
        <v>115</v>
      </c>
      <c r="AG55" s="51">
        <v>144</v>
      </c>
      <c r="AH55" s="47">
        <f t="shared" si="2"/>
        <v>146</v>
      </c>
      <c r="AI55" s="48">
        <f t="shared" si="3"/>
        <v>61.3</v>
      </c>
      <c r="AK55" s="49"/>
    </row>
    <row r="56" spans="1:41" x14ac:dyDescent="0.25">
      <c r="A56" s="53" t="s">
        <v>62</v>
      </c>
      <c r="B56" s="65">
        <v>43</v>
      </c>
      <c r="C56" s="65">
        <v>45.2</v>
      </c>
      <c r="D56" s="65">
        <v>45.2</v>
      </c>
      <c r="E56" s="65">
        <v>55</v>
      </c>
      <c r="F56" s="65">
        <v>70</v>
      </c>
      <c r="G56" s="65">
        <v>70</v>
      </c>
      <c r="H56" s="65">
        <v>70</v>
      </c>
      <c r="I56" s="65">
        <v>70</v>
      </c>
      <c r="J56" s="65">
        <v>70</v>
      </c>
      <c r="K56" s="65">
        <v>70</v>
      </c>
      <c r="L56" s="65">
        <v>70</v>
      </c>
      <c r="M56" s="65">
        <v>70</v>
      </c>
      <c r="N56" s="65">
        <v>69.8</v>
      </c>
      <c r="O56" s="65">
        <v>71.2</v>
      </c>
      <c r="P56" s="65">
        <v>59.6</v>
      </c>
      <c r="Q56" s="65">
        <v>60.6</v>
      </c>
      <c r="R56" s="65">
        <v>70</v>
      </c>
      <c r="S56" s="65">
        <v>71.5</v>
      </c>
      <c r="T56" s="45">
        <v>71.3</v>
      </c>
      <c r="U56" s="45">
        <v>70.400000000000006</v>
      </c>
      <c r="V56" s="45">
        <v>69</v>
      </c>
      <c r="W56" s="45">
        <v>69</v>
      </c>
      <c r="X56" s="45">
        <v>69</v>
      </c>
      <c r="Y56" s="45">
        <v>69</v>
      </c>
      <c r="Z56" s="45">
        <v>69</v>
      </c>
      <c r="AA56" s="45">
        <v>69</v>
      </c>
      <c r="AB56" s="45">
        <v>69</v>
      </c>
      <c r="AC56" s="45">
        <v>69</v>
      </c>
      <c r="AD56" s="65">
        <v>67</v>
      </c>
      <c r="AE56" s="65">
        <v>67</v>
      </c>
      <c r="AF56" s="65">
        <v>60</v>
      </c>
      <c r="AG56" s="54">
        <v>70</v>
      </c>
      <c r="AH56" s="47">
        <f t="shared" si="2"/>
        <v>71.5</v>
      </c>
      <c r="AI56" s="48">
        <f t="shared" si="3"/>
        <v>43</v>
      </c>
      <c r="AK56" s="49"/>
    </row>
    <row r="57" spans="1:41" x14ac:dyDescent="0.25">
      <c r="A57" s="53" t="s">
        <v>63</v>
      </c>
      <c r="B57" s="65">
        <v>63.6</v>
      </c>
      <c r="C57" s="65">
        <v>62.6</v>
      </c>
      <c r="D57" s="65">
        <v>62.6</v>
      </c>
      <c r="E57" s="65">
        <v>66.7</v>
      </c>
      <c r="F57" s="65">
        <v>70</v>
      </c>
      <c r="G57" s="65">
        <v>70</v>
      </c>
      <c r="H57" s="65">
        <v>70</v>
      </c>
      <c r="I57" s="65">
        <v>69.5</v>
      </c>
      <c r="J57" s="65">
        <v>69.5</v>
      </c>
      <c r="K57" s="65">
        <v>69.900000000000006</v>
      </c>
      <c r="L57" s="65">
        <v>69.900000000000006</v>
      </c>
      <c r="M57" s="65">
        <v>69.900000000000006</v>
      </c>
      <c r="N57" s="65">
        <v>69.3</v>
      </c>
      <c r="O57" s="65">
        <v>69.3</v>
      </c>
      <c r="P57" s="65">
        <v>62.8</v>
      </c>
      <c r="Q57" s="65">
        <v>62.9</v>
      </c>
      <c r="R57" s="65">
        <v>62.7</v>
      </c>
      <c r="S57" s="65">
        <v>67.3</v>
      </c>
      <c r="T57" s="45">
        <v>67.400000000000006</v>
      </c>
      <c r="U57" s="45">
        <v>67.400000000000006</v>
      </c>
      <c r="V57" s="45">
        <v>67.400000000000006</v>
      </c>
      <c r="W57" s="45">
        <v>67.400000000000006</v>
      </c>
      <c r="X57" s="45">
        <v>67.400000000000006</v>
      </c>
      <c r="Y57" s="45">
        <v>68</v>
      </c>
      <c r="Z57" s="45">
        <v>68</v>
      </c>
      <c r="AA57" s="45">
        <v>68</v>
      </c>
      <c r="AB57" s="45">
        <v>68</v>
      </c>
      <c r="AC57" s="45">
        <v>68</v>
      </c>
      <c r="AD57" s="65">
        <v>68.5</v>
      </c>
      <c r="AE57" s="65">
        <v>68.5</v>
      </c>
      <c r="AF57" s="65">
        <v>68.5</v>
      </c>
      <c r="AG57" s="54">
        <v>69</v>
      </c>
      <c r="AH57" s="47">
        <f t="shared" si="2"/>
        <v>70</v>
      </c>
      <c r="AI57" s="48">
        <f t="shared" si="3"/>
        <v>62.6</v>
      </c>
      <c r="AK57" s="49"/>
    </row>
    <row r="58" spans="1:41" x14ac:dyDescent="0.25">
      <c r="A58" s="53" t="s">
        <v>64</v>
      </c>
      <c r="B58" s="65">
        <v>60.4</v>
      </c>
      <c r="C58" s="65">
        <v>60.4</v>
      </c>
      <c r="D58" s="65">
        <v>60.4</v>
      </c>
      <c r="E58" s="56">
        <v>60.4</v>
      </c>
      <c r="F58" s="56">
        <v>60</v>
      </c>
      <c r="G58" s="56">
        <v>60</v>
      </c>
      <c r="H58" s="56">
        <v>60</v>
      </c>
      <c r="I58" s="56">
        <v>60.4</v>
      </c>
      <c r="J58" s="56">
        <v>60.4</v>
      </c>
      <c r="K58" s="56">
        <v>60.4</v>
      </c>
      <c r="L58" s="56">
        <v>60.4</v>
      </c>
      <c r="M58" s="56">
        <v>60.4</v>
      </c>
      <c r="N58" s="56">
        <v>60.4</v>
      </c>
      <c r="O58" s="56">
        <v>60.4</v>
      </c>
      <c r="P58" s="65">
        <v>60.4</v>
      </c>
      <c r="Q58" s="65">
        <v>60.4</v>
      </c>
      <c r="R58" s="65">
        <v>60.4</v>
      </c>
      <c r="S58" s="65">
        <v>60.4</v>
      </c>
      <c r="T58" s="45">
        <v>60.4</v>
      </c>
      <c r="U58" s="45">
        <v>60.4</v>
      </c>
      <c r="V58" s="45">
        <v>60.4</v>
      </c>
      <c r="W58" s="45">
        <v>60.4</v>
      </c>
      <c r="X58" s="45">
        <v>60.4</v>
      </c>
      <c r="Y58" s="45">
        <v>60.4</v>
      </c>
      <c r="Z58" s="45">
        <v>60.4</v>
      </c>
      <c r="AA58" s="45">
        <v>60.4</v>
      </c>
      <c r="AB58" s="45">
        <v>60.4</v>
      </c>
      <c r="AC58" s="45">
        <v>60.4</v>
      </c>
      <c r="AD58" s="65">
        <v>60.4</v>
      </c>
      <c r="AE58" s="65">
        <v>60.4</v>
      </c>
      <c r="AF58" s="65">
        <v>60.4</v>
      </c>
      <c r="AG58" s="54">
        <v>60</v>
      </c>
      <c r="AH58" s="47">
        <f t="shared" si="2"/>
        <v>60.4</v>
      </c>
      <c r="AI58" s="48">
        <f t="shared" si="3"/>
        <v>60</v>
      </c>
      <c r="AK58" s="49"/>
    </row>
    <row r="59" spans="1:41" x14ac:dyDescent="0.25">
      <c r="A59" s="53" t="s">
        <v>65</v>
      </c>
      <c r="B59" s="65">
        <v>10</v>
      </c>
      <c r="C59" s="65">
        <v>10</v>
      </c>
      <c r="D59" s="65">
        <v>10</v>
      </c>
      <c r="E59" s="65">
        <v>10</v>
      </c>
      <c r="F59" s="56">
        <v>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0</v>
      </c>
      <c r="M59" s="56">
        <v>0</v>
      </c>
      <c r="N59" s="56">
        <v>12</v>
      </c>
      <c r="O59" s="56">
        <v>12</v>
      </c>
      <c r="P59" s="65">
        <v>15</v>
      </c>
      <c r="Q59" s="65">
        <v>15</v>
      </c>
      <c r="R59" s="65">
        <v>15</v>
      </c>
      <c r="S59" s="65">
        <v>15</v>
      </c>
      <c r="T59" s="45">
        <v>15</v>
      </c>
      <c r="U59" s="45">
        <v>15</v>
      </c>
      <c r="V59" s="45">
        <v>15</v>
      </c>
      <c r="W59" s="45">
        <v>22</v>
      </c>
      <c r="X59" s="45">
        <v>22</v>
      </c>
      <c r="Y59" s="45">
        <v>22</v>
      </c>
      <c r="Z59" s="45">
        <v>22</v>
      </c>
      <c r="AA59" s="45">
        <v>30</v>
      </c>
      <c r="AB59" s="45">
        <v>30</v>
      </c>
      <c r="AC59" s="45">
        <v>30</v>
      </c>
      <c r="AD59" s="65">
        <v>20</v>
      </c>
      <c r="AE59" s="65">
        <v>20</v>
      </c>
      <c r="AF59" s="65">
        <v>20</v>
      </c>
      <c r="AG59" s="54">
        <v>30</v>
      </c>
      <c r="AH59" s="47">
        <f t="shared" si="2"/>
        <v>30</v>
      </c>
      <c r="AI59" s="48">
        <f t="shared" si="3"/>
        <v>0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1.5</v>
      </c>
      <c r="L60" s="65">
        <v>2</v>
      </c>
      <c r="M60" s="65">
        <v>6</v>
      </c>
      <c r="N60" s="65">
        <v>14</v>
      </c>
      <c r="O60" s="65">
        <v>16.3</v>
      </c>
      <c r="P60" s="65">
        <v>16.899999999999999</v>
      </c>
      <c r="Q60" s="65">
        <v>17.899999999999999</v>
      </c>
      <c r="R60" s="65">
        <v>17.899999999999999</v>
      </c>
      <c r="S60" s="65">
        <v>17.899999999999999</v>
      </c>
      <c r="T60" s="65">
        <v>17.899999999999999</v>
      </c>
      <c r="U60" s="65">
        <v>14</v>
      </c>
      <c r="V60" s="65">
        <v>14</v>
      </c>
      <c r="W60" s="65">
        <v>4</v>
      </c>
      <c r="X60" s="65">
        <v>0</v>
      </c>
      <c r="Y60" s="65">
        <v>0</v>
      </c>
      <c r="Z60" s="65">
        <v>0</v>
      </c>
      <c r="AA60" s="45">
        <v>0</v>
      </c>
      <c r="AB60" s="45">
        <v>0</v>
      </c>
      <c r="AC60" s="45">
        <v>0</v>
      </c>
      <c r="AD60" s="65">
        <v>0</v>
      </c>
      <c r="AE60" s="65">
        <v>0</v>
      </c>
      <c r="AF60" s="65">
        <v>0</v>
      </c>
      <c r="AG60" s="54">
        <v>25</v>
      </c>
      <c r="AH60" s="47">
        <f t="shared" si="2"/>
        <v>17.899999999999999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17</v>
      </c>
      <c r="N61" s="65">
        <v>17</v>
      </c>
      <c r="O61" s="65">
        <v>17</v>
      </c>
      <c r="P61" s="65">
        <v>14</v>
      </c>
      <c r="Q61" s="65">
        <v>17</v>
      </c>
      <c r="R61" s="65">
        <v>17</v>
      </c>
      <c r="S61" s="65">
        <v>17</v>
      </c>
      <c r="T61" s="65">
        <v>17</v>
      </c>
      <c r="U61" s="65">
        <v>17</v>
      </c>
      <c r="V61" s="65">
        <v>17</v>
      </c>
      <c r="W61" s="65">
        <v>17</v>
      </c>
      <c r="X61" s="65">
        <v>17</v>
      </c>
      <c r="Y61" s="65">
        <v>17</v>
      </c>
      <c r="Z61" s="65">
        <v>17</v>
      </c>
      <c r="AA61" s="65">
        <v>17</v>
      </c>
      <c r="AB61" s="65">
        <v>17</v>
      </c>
      <c r="AC61" s="65">
        <v>17</v>
      </c>
      <c r="AD61" s="65">
        <v>17</v>
      </c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14</v>
      </c>
      <c r="AK61" s="49"/>
    </row>
    <row r="62" spans="1:41" x14ac:dyDescent="0.25">
      <c r="A62" s="53" t="s">
        <v>68</v>
      </c>
      <c r="B62" s="65">
        <v>1</v>
      </c>
      <c r="C62" s="65">
        <v>1</v>
      </c>
      <c r="D62" s="65">
        <v>1</v>
      </c>
      <c r="E62" s="65">
        <v>1</v>
      </c>
      <c r="F62" s="65">
        <v>1</v>
      </c>
      <c r="G62" s="65">
        <v>1</v>
      </c>
      <c r="H62" s="65">
        <v>1</v>
      </c>
      <c r="I62" s="65">
        <v>1</v>
      </c>
      <c r="J62" s="65">
        <v>1</v>
      </c>
      <c r="K62" s="65">
        <v>1</v>
      </c>
      <c r="L62" s="65">
        <v>1</v>
      </c>
      <c r="M62" s="65">
        <v>2</v>
      </c>
      <c r="N62" s="65">
        <v>2</v>
      </c>
      <c r="O62" s="65">
        <v>2</v>
      </c>
      <c r="P62" s="65">
        <v>2</v>
      </c>
      <c r="Q62" s="65">
        <v>2</v>
      </c>
      <c r="R62" s="65">
        <v>2</v>
      </c>
      <c r="S62" s="65">
        <v>2</v>
      </c>
      <c r="T62" s="65">
        <v>2</v>
      </c>
      <c r="U62" s="65">
        <v>2</v>
      </c>
      <c r="V62" s="65">
        <v>2</v>
      </c>
      <c r="W62" s="65">
        <v>2</v>
      </c>
      <c r="X62" s="65">
        <v>2</v>
      </c>
      <c r="Y62" s="65">
        <v>2</v>
      </c>
      <c r="Z62" s="65">
        <v>2</v>
      </c>
      <c r="AA62" s="65">
        <v>2</v>
      </c>
      <c r="AB62" s="65">
        <v>2</v>
      </c>
      <c r="AC62" s="65">
        <v>2</v>
      </c>
      <c r="AD62" s="65">
        <v>2</v>
      </c>
      <c r="AE62" s="65">
        <v>2</v>
      </c>
      <c r="AF62" s="65">
        <v>2</v>
      </c>
      <c r="AG62" s="54">
        <v>15</v>
      </c>
      <c r="AH62" s="47">
        <f t="shared" si="2"/>
        <v>2</v>
      </c>
      <c r="AI62" s="48">
        <f t="shared" si="3"/>
        <v>1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12.4</v>
      </c>
      <c r="C63" s="65">
        <v>12.4</v>
      </c>
      <c r="D63" s="65">
        <v>12.4</v>
      </c>
      <c r="E63" s="65">
        <v>12.4</v>
      </c>
      <c r="F63" s="65">
        <v>12.4</v>
      </c>
      <c r="G63" s="65">
        <v>12.4</v>
      </c>
      <c r="H63" s="65">
        <v>12.4</v>
      </c>
      <c r="I63" s="65">
        <v>12.4</v>
      </c>
      <c r="J63" s="65">
        <v>12.4</v>
      </c>
      <c r="K63" s="65">
        <v>12.4</v>
      </c>
      <c r="L63" s="65">
        <v>12.4</v>
      </c>
      <c r="M63" s="65">
        <v>12.4</v>
      </c>
      <c r="N63" s="65">
        <v>12.4</v>
      </c>
      <c r="O63" s="65">
        <v>12.4</v>
      </c>
      <c r="P63" s="65">
        <v>10.1</v>
      </c>
      <c r="Q63" s="65">
        <v>10</v>
      </c>
      <c r="R63" s="65">
        <v>10</v>
      </c>
      <c r="S63" s="65">
        <v>10</v>
      </c>
      <c r="T63" s="65">
        <v>10</v>
      </c>
      <c r="U63" s="65">
        <v>10</v>
      </c>
      <c r="V63" s="65">
        <v>10</v>
      </c>
      <c r="W63" s="65">
        <v>10</v>
      </c>
      <c r="X63" s="65">
        <v>10</v>
      </c>
      <c r="Y63" s="65">
        <v>10</v>
      </c>
      <c r="Z63" s="65">
        <v>10</v>
      </c>
      <c r="AA63" s="65">
        <v>10</v>
      </c>
      <c r="AB63" s="65">
        <v>10</v>
      </c>
      <c r="AC63" s="65">
        <v>10</v>
      </c>
      <c r="AD63" s="65">
        <v>10</v>
      </c>
      <c r="AE63" s="65">
        <v>10</v>
      </c>
      <c r="AF63" s="65">
        <v>10</v>
      </c>
      <c r="AG63" s="54">
        <v>14.1</v>
      </c>
      <c r="AH63" s="47">
        <f t="shared" si="2"/>
        <v>12.4</v>
      </c>
      <c r="AI63" s="48">
        <f t="shared" si="3"/>
        <v>10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10</v>
      </c>
      <c r="C64" s="65">
        <v>10</v>
      </c>
      <c r="D64" s="65">
        <v>10</v>
      </c>
      <c r="E64" s="65">
        <v>10</v>
      </c>
      <c r="F64" s="65">
        <v>10</v>
      </c>
      <c r="G64" s="65">
        <v>11.5</v>
      </c>
      <c r="H64" s="65">
        <v>11.5</v>
      </c>
      <c r="I64" s="65">
        <v>11.5</v>
      </c>
      <c r="J64" s="65">
        <v>11.5</v>
      </c>
      <c r="K64" s="65">
        <v>11.5</v>
      </c>
      <c r="L64" s="65">
        <v>11.5</v>
      </c>
      <c r="M64" s="65">
        <v>11.5</v>
      </c>
      <c r="N64" s="65">
        <v>11.5</v>
      </c>
      <c r="O64" s="65">
        <v>11.5</v>
      </c>
      <c r="P64" s="65">
        <v>11.1</v>
      </c>
      <c r="Q64" s="65">
        <v>10.5</v>
      </c>
      <c r="R64" s="65">
        <v>10.5</v>
      </c>
      <c r="S64" s="65">
        <v>9.1</v>
      </c>
      <c r="T64" s="65">
        <v>9.1</v>
      </c>
      <c r="U64" s="65">
        <v>9.1</v>
      </c>
      <c r="V64" s="65">
        <v>9.1</v>
      </c>
      <c r="W64" s="65">
        <v>9.1</v>
      </c>
      <c r="X64" s="65">
        <v>9.1</v>
      </c>
      <c r="Y64" s="65">
        <v>9.1</v>
      </c>
      <c r="Z64" s="65">
        <v>9.1</v>
      </c>
      <c r="AA64" s="65">
        <v>8.6</v>
      </c>
      <c r="AB64" s="65">
        <v>8.6</v>
      </c>
      <c r="AC64" s="65">
        <v>8.6</v>
      </c>
      <c r="AD64" s="65">
        <v>8.6</v>
      </c>
      <c r="AE64" s="65">
        <v>8.6</v>
      </c>
      <c r="AF64" s="65">
        <v>8.6</v>
      </c>
      <c r="AG64" s="54">
        <v>14</v>
      </c>
      <c r="AH64" s="47">
        <f t="shared" si="2"/>
        <v>11.5</v>
      </c>
      <c r="AI64" s="48">
        <f t="shared" si="3"/>
        <v>8.6</v>
      </c>
      <c r="AK64" s="49"/>
    </row>
    <row r="65" spans="1:40" x14ac:dyDescent="0.25">
      <c r="A65" s="53" t="s">
        <v>71</v>
      </c>
      <c r="B65" s="65">
        <v>4.5</v>
      </c>
      <c r="C65" s="65">
        <v>4.5</v>
      </c>
      <c r="D65" s="65">
        <v>4.5</v>
      </c>
      <c r="E65" s="65">
        <v>4.5</v>
      </c>
      <c r="F65" s="65">
        <v>4.5</v>
      </c>
      <c r="G65" s="65">
        <v>4.5</v>
      </c>
      <c r="H65" s="65">
        <v>4.5</v>
      </c>
      <c r="I65" s="65">
        <v>4.5</v>
      </c>
      <c r="J65" s="65">
        <v>4.5</v>
      </c>
      <c r="K65" s="65">
        <v>4.5</v>
      </c>
      <c r="L65" s="65">
        <v>4.5</v>
      </c>
      <c r="M65" s="65">
        <v>1.8</v>
      </c>
      <c r="N65" s="65">
        <v>1.8</v>
      </c>
      <c r="O65" s="65">
        <v>1.8</v>
      </c>
      <c r="P65" s="65">
        <v>1.8</v>
      </c>
      <c r="Q65" s="65">
        <v>4.9000000000000004</v>
      </c>
      <c r="R65" s="65">
        <v>4.9000000000000004</v>
      </c>
      <c r="S65" s="65">
        <v>4.9000000000000004</v>
      </c>
      <c r="T65" s="65">
        <v>4.9000000000000004</v>
      </c>
      <c r="U65" s="65">
        <v>4.9000000000000004</v>
      </c>
      <c r="V65" s="65">
        <v>4.9000000000000004</v>
      </c>
      <c r="W65" s="65">
        <v>4.9000000000000004</v>
      </c>
      <c r="X65" s="65">
        <v>4.9000000000000004</v>
      </c>
      <c r="Y65" s="65">
        <v>4.9000000000000004</v>
      </c>
      <c r="Z65" s="65">
        <v>4.9000000000000004</v>
      </c>
      <c r="AA65" s="65">
        <v>4.9000000000000004</v>
      </c>
      <c r="AB65" s="65">
        <v>4.9000000000000004</v>
      </c>
      <c r="AC65" s="65">
        <v>4.9000000000000004</v>
      </c>
      <c r="AD65" s="65">
        <v>4.9000000000000004</v>
      </c>
      <c r="AE65" s="65">
        <v>4.9000000000000004</v>
      </c>
      <c r="AF65" s="65">
        <v>4.9000000000000004</v>
      </c>
      <c r="AG65" s="54">
        <v>10.050000000000001</v>
      </c>
      <c r="AH65" s="47">
        <f t="shared" si="2"/>
        <v>4.9000000000000004</v>
      </c>
      <c r="AI65" s="48">
        <f t="shared" si="3"/>
        <v>1.8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6">SUM(B55:B67)</f>
        <v>318.44</v>
      </c>
      <c r="C68" s="60">
        <f t="shared" si="6"/>
        <v>339.64</v>
      </c>
      <c r="D68" s="60">
        <f t="shared" si="6"/>
        <v>315.14</v>
      </c>
      <c r="E68" s="60">
        <f t="shared" si="6"/>
        <v>333.53999999999996</v>
      </c>
      <c r="F68" s="60">
        <f t="shared" si="6"/>
        <v>346.44</v>
      </c>
      <c r="G68" s="60">
        <f t="shared" si="6"/>
        <v>313.24</v>
      </c>
      <c r="H68" s="60">
        <f t="shared" si="6"/>
        <v>323.24</v>
      </c>
      <c r="I68" s="60">
        <f t="shared" si="6"/>
        <v>323.24</v>
      </c>
      <c r="J68" s="60">
        <f t="shared" si="6"/>
        <v>343.84</v>
      </c>
      <c r="K68" s="60">
        <f t="shared" si="6"/>
        <v>333.74</v>
      </c>
      <c r="L68" s="60">
        <f t="shared" si="6"/>
        <v>335.74</v>
      </c>
      <c r="M68" s="60">
        <f t="shared" si="6"/>
        <v>347.84000000000003</v>
      </c>
      <c r="N68" s="60">
        <f t="shared" si="6"/>
        <v>373.34</v>
      </c>
      <c r="O68" s="60">
        <f t="shared" si="6"/>
        <v>401.34000000000003</v>
      </c>
      <c r="P68" s="60">
        <f t="shared" si="6"/>
        <v>380.94000000000005</v>
      </c>
      <c r="Q68" s="60">
        <f t="shared" si="6"/>
        <v>403.73999999999995</v>
      </c>
      <c r="R68" s="60">
        <f t="shared" si="6"/>
        <v>412.93999999999994</v>
      </c>
      <c r="S68" s="60">
        <f t="shared" si="6"/>
        <v>426.64</v>
      </c>
      <c r="T68" s="60">
        <f t="shared" si="6"/>
        <v>416.54</v>
      </c>
      <c r="U68" s="60">
        <f t="shared" si="6"/>
        <v>420.74</v>
      </c>
      <c r="V68" s="60">
        <f t="shared" si="6"/>
        <v>418.34</v>
      </c>
      <c r="W68" s="60">
        <f t="shared" si="6"/>
        <v>415.34</v>
      </c>
      <c r="X68" s="60">
        <f t="shared" si="6"/>
        <v>403.34</v>
      </c>
      <c r="Y68" s="60">
        <f t="shared" si="6"/>
        <v>410.94</v>
      </c>
      <c r="Z68" s="60">
        <f t="shared" si="6"/>
        <v>410.94</v>
      </c>
      <c r="AA68" s="60">
        <f t="shared" si="6"/>
        <v>418.44</v>
      </c>
      <c r="AB68" s="60">
        <f t="shared" si="6"/>
        <v>418.44</v>
      </c>
      <c r="AC68" s="60">
        <f t="shared" si="6"/>
        <v>418.44</v>
      </c>
      <c r="AD68" s="60">
        <f t="shared" si="6"/>
        <v>404.94</v>
      </c>
      <c r="AE68" s="60">
        <f t="shared" si="6"/>
        <v>388.94</v>
      </c>
      <c r="AF68" s="60">
        <f t="shared" si="6"/>
        <v>371.94</v>
      </c>
      <c r="AG68" s="61">
        <f t="shared" si="6"/>
        <v>489.91</v>
      </c>
      <c r="AH68" s="47">
        <f t="shared" si="2"/>
        <v>426.64</v>
      </c>
      <c r="AI68" s="48">
        <f t="shared" si="3"/>
        <v>313.24</v>
      </c>
      <c r="AK68" s="49"/>
    </row>
    <row r="69" spans="1:40" x14ac:dyDescent="0.25">
      <c r="A69" s="44" t="s">
        <v>75</v>
      </c>
      <c r="B69" s="45">
        <v>14</v>
      </c>
      <c r="C69" s="45">
        <v>10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60</v>
      </c>
      <c r="AB69" s="45">
        <v>60</v>
      </c>
      <c r="AC69" s="45">
        <v>60</v>
      </c>
      <c r="AD69" s="45">
        <v>60</v>
      </c>
      <c r="AE69" s="45">
        <v>60</v>
      </c>
      <c r="AF69" s="45">
        <v>60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5.4</v>
      </c>
      <c r="C70" s="45">
        <v>3.9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28.2</v>
      </c>
      <c r="AB70" s="65">
        <v>29</v>
      </c>
      <c r="AC70" s="65">
        <v>29</v>
      </c>
      <c r="AD70" s="65">
        <v>29</v>
      </c>
      <c r="AE70" s="65">
        <v>29</v>
      </c>
      <c r="AF70" s="65">
        <v>29</v>
      </c>
      <c r="AG70" s="54">
        <v>32</v>
      </c>
      <c r="AH70" s="47">
        <f t="shared" si="2"/>
        <v>29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2</v>
      </c>
      <c r="C71" s="45">
        <v>1.4</v>
      </c>
      <c r="D71" s="67">
        <v>0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0</v>
      </c>
      <c r="M71" s="67">
        <v>0</v>
      </c>
      <c r="N71" s="67">
        <v>0</v>
      </c>
      <c r="O71" s="67">
        <v>0</v>
      </c>
      <c r="P71" s="67">
        <v>0</v>
      </c>
      <c r="Q71" s="67">
        <v>0</v>
      </c>
      <c r="R71" s="67">
        <v>0</v>
      </c>
      <c r="S71" s="67">
        <v>0</v>
      </c>
      <c r="T71" s="67">
        <v>0</v>
      </c>
      <c r="U71" s="67">
        <v>0</v>
      </c>
      <c r="V71" s="67">
        <v>0</v>
      </c>
      <c r="W71" s="67">
        <v>0</v>
      </c>
      <c r="X71" s="67">
        <v>0</v>
      </c>
      <c r="Y71" s="67">
        <v>0</v>
      </c>
      <c r="Z71" s="67">
        <v>0</v>
      </c>
      <c r="AA71" s="67">
        <v>10.3</v>
      </c>
      <c r="AB71" s="67">
        <v>10.7</v>
      </c>
      <c r="AC71" s="67">
        <v>10.7</v>
      </c>
      <c r="AD71" s="67">
        <v>10.7</v>
      </c>
      <c r="AE71" s="67">
        <v>10.7</v>
      </c>
      <c r="AF71" s="67">
        <v>10.7</v>
      </c>
      <c r="AG71" s="68">
        <v>14</v>
      </c>
      <c r="AH71" s="47">
        <f t="shared" si="2"/>
        <v>10.7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21.4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7">M69+M70+M71</f>
        <v>0</v>
      </c>
      <c r="N72" s="60">
        <f t="shared" si="7"/>
        <v>0</v>
      </c>
      <c r="O72" s="60">
        <f t="shared" si="7"/>
        <v>0</v>
      </c>
      <c r="P72" s="60">
        <f t="shared" si="7"/>
        <v>0</v>
      </c>
      <c r="Q72" s="60">
        <f t="shared" si="7"/>
        <v>0</v>
      </c>
      <c r="R72" s="60">
        <f t="shared" si="7"/>
        <v>0</v>
      </c>
      <c r="S72" s="60">
        <f t="shared" si="7"/>
        <v>0</v>
      </c>
      <c r="T72" s="60">
        <f t="shared" si="7"/>
        <v>0</v>
      </c>
      <c r="U72" s="60">
        <f t="shared" si="7"/>
        <v>0</v>
      </c>
      <c r="V72" s="60">
        <f t="shared" si="7"/>
        <v>0</v>
      </c>
      <c r="W72" s="60">
        <f t="shared" si="7"/>
        <v>0</v>
      </c>
      <c r="X72" s="60">
        <f t="shared" si="7"/>
        <v>0</v>
      </c>
      <c r="Y72" s="60">
        <f t="shared" si="7"/>
        <v>0</v>
      </c>
      <c r="Z72" s="60">
        <f t="shared" si="7"/>
        <v>0</v>
      </c>
      <c r="AA72" s="60">
        <f t="shared" si="7"/>
        <v>98.5</v>
      </c>
      <c r="AB72" s="60">
        <f t="shared" si="7"/>
        <v>99.7</v>
      </c>
      <c r="AC72" s="60">
        <f t="shared" si="7"/>
        <v>99.7</v>
      </c>
      <c r="AD72" s="60">
        <f t="shared" si="7"/>
        <v>99.7</v>
      </c>
      <c r="AE72" s="60">
        <f t="shared" si="7"/>
        <v>99.7</v>
      </c>
      <c r="AF72" s="60">
        <f t="shared" si="7"/>
        <v>99.7</v>
      </c>
      <c r="AG72" s="61">
        <f>SUM(AG69:AG71)</f>
        <v>106</v>
      </c>
      <c r="AH72" s="47">
        <f t="shared" si="2"/>
        <v>99.7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66.400000000000006</v>
      </c>
      <c r="C73" s="45">
        <v>63</v>
      </c>
      <c r="D73" s="45">
        <v>84</v>
      </c>
      <c r="E73" s="45">
        <v>55.2</v>
      </c>
      <c r="F73" s="45">
        <v>68</v>
      </c>
      <c r="G73" s="45">
        <v>56</v>
      </c>
      <c r="H73" s="45">
        <v>49.908000000000001</v>
      </c>
      <c r="I73" s="45">
        <v>52</v>
      </c>
      <c r="J73" s="45">
        <v>45.6</v>
      </c>
      <c r="K73" s="45">
        <v>44</v>
      </c>
      <c r="L73" s="45">
        <v>43</v>
      </c>
      <c r="M73" s="45">
        <v>46.8</v>
      </c>
      <c r="N73" s="45">
        <v>42.6</v>
      </c>
      <c r="O73" s="45">
        <v>42.9</v>
      </c>
      <c r="P73" s="45">
        <v>57.5</v>
      </c>
      <c r="Q73" s="45">
        <v>54.6</v>
      </c>
      <c r="R73" s="45">
        <v>62.5</v>
      </c>
      <c r="S73" s="45">
        <v>58</v>
      </c>
      <c r="T73" s="45">
        <v>58.6</v>
      </c>
      <c r="U73" s="45">
        <v>58.6</v>
      </c>
      <c r="V73" s="45">
        <v>66.400000000000006</v>
      </c>
      <c r="W73" s="45">
        <v>66.400000000000006</v>
      </c>
      <c r="X73" s="45">
        <v>66.400000000000006</v>
      </c>
      <c r="Y73" s="45">
        <v>66.400000000000006</v>
      </c>
      <c r="Z73" s="45">
        <v>61</v>
      </c>
      <c r="AA73" s="45">
        <v>60</v>
      </c>
      <c r="AB73" s="45">
        <v>60</v>
      </c>
      <c r="AC73" s="45">
        <v>60</v>
      </c>
      <c r="AD73" s="45">
        <v>65</v>
      </c>
      <c r="AE73" s="45">
        <v>71</v>
      </c>
      <c r="AF73" s="45">
        <v>68</v>
      </c>
      <c r="AG73" s="51"/>
      <c r="AH73" s="47">
        <f t="shared" si="2"/>
        <v>84</v>
      </c>
      <c r="AI73" s="48">
        <f t="shared" si="3"/>
        <v>42.6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6</v>
      </c>
      <c r="C75" s="65">
        <v>9.4</v>
      </c>
      <c r="D75" s="65">
        <v>89</v>
      </c>
      <c r="E75" s="65">
        <v>189</v>
      </c>
      <c r="F75" s="65">
        <v>212</v>
      </c>
      <c r="G75" s="65">
        <v>259</v>
      </c>
      <c r="H75" s="65">
        <v>251</v>
      </c>
      <c r="I75" s="65">
        <v>274</v>
      </c>
      <c r="J75" s="65">
        <v>260</v>
      </c>
      <c r="K75" s="65">
        <v>265</v>
      </c>
      <c r="L75" s="65">
        <v>343</v>
      </c>
      <c r="M75" s="65">
        <v>325</v>
      </c>
      <c r="N75" s="65">
        <v>319</v>
      </c>
      <c r="O75" s="65">
        <v>190.9</v>
      </c>
      <c r="P75" s="65">
        <v>227.3</v>
      </c>
      <c r="Q75" s="65">
        <v>215</v>
      </c>
      <c r="R75" s="65">
        <v>248.4</v>
      </c>
      <c r="S75" s="65">
        <v>325</v>
      </c>
      <c r="T75" s="65">
        <v>274.3</v>
      </c>
      <c r="U75" s="65">
        <v>265</v>
      </c>
      <c r="V75" s="65">
        <v>269</v>
      </c>
      <c r="W75" s="65">
        <v>271</v>
      </c>
      <c r="X75" s="65">
        <v>236</v>
      </c>
      <c r="Y75" s="65">
        <v>200</v>
      </c>
      <c r="Z75" s="65">
        <v>208</v>
      </c>
      <c r="AA75" s="65">
        <v>6.4</v>
      </c>
      <c r="AB75" s="65">
        <v>6.4</v>
      </c>
      <c r="AC75" s="65">
        <v>6.4</v>
      </c>
      <c r="AD75" s="65">
        <v>42</v>
      </c>
      <c r="AE75" s="65">
        <v>90</v>
      </c>
      <c r="AF75" s="65">
        <v>20</v>
      </c>
      <c r="AG75" s="75"/>
      <c r="AH75" s="47">
        <f t="shared" si="2"/>
        <v>343</v>
      </c>
      <c r="AI75" s="48">
        <f t="shared" si="3"/>
        <v>6</v>
      </c>
      <c r="AK75" s="49"/>
    </row>
    <row r="76" spans="1:40" x14ac:dyDescent="0.25">
      <c r="A76" s="53" t="s">
        <v>82</v>
      </c>
      <c r="B76" s="65">
        <v>31.8</v>
      </c>
      <c r="C76" s="65">
        <v>34.5</v>
      </c>
      <c r="D76" s="65">
        <v>32</v>
      </c>
      <c r="E76" s="76">
        <v>33</v>
      </c>
      <c r="F76" s="76">
        <v>40</v>
      </c>
      <c r="G76" s="76">
        <v>45.9</v>
      </c>
      <c r="H76" s="76">
        <v>49</v>
      </c>
      <c r="I76" s="76">
        <v>41.2</v>
      </c>
      <c r="J76" s="76">
        <v>48.2</v>
      </c>
      <c r="K76" s="76">
        <v>50.5</v>
      </c>
      <c r="L76" s="76">
        <v>52.2</v>
      </c>
      <c r="M76" s="76">
        <v>43.5</v>
      </c>
      <c r="N76" s="76">
        <v>50.2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52.2</v>
      </c>
      <c r="AI76" s="48">
        <f t="shared" si="3"/>
        <v>0</v>
      </c>
      <c r="AK76" s="49"/>
    </row>
    <row r="77" spans="1:40" x14ac:dyDescent="0.25">
      <c r="A77" s="53" t="s">
        <v>83</v>
      </c>
      <c r="B77" s="45">
        <v>29.7</v>
      </c>
      <c r="C77" s="45">
        <v>29.5</v>
      </c>
      <c r="D77" s="45">
        <v>29</v>
      </c>
      <c r="E77" s="45">
        <v>28.6</v>
      </c>
      <c r="F77" s="45">
        <v>28.4</v>
      </c>
      <c r="G77" s="45">
        <v>25.7</v>
      </c>
      <c r="H77" s="45">
        <v>23.9</v>
      </c>
      <c r="I77" s="45">
        <v>23.9</v>
      </c>
      <c r="J77" s="45">
        <v>25.6</v>
      </c>
      <c r="K77" s="45">
        <v>24.3</v>
      </c>
      <c r="L77" s="45">
        <v>24.3</v>
      </c>
      <c r="M77" s="45">
        <v>20</v>
      </c>
      <c r="N77" s="45">
        <v>20.3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8">MAX(B77:AF77)</f>
        <v>29.7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45">
        <v>5</v>
      </c>
      <c r="C78" s="45">
        <v>5</v>
      </c>
      <c r="D78" s="45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8</v>
      </c>
      <c r="AC78" s="77">
        <v>8</v>
      </c>
      <c r="AD78" s="77">
        <v>8</v>
      </c>
      <c r="AE78" s="77">
        <v>8</v>
      </c>
      <c r="AF78" s="77">
        <v>8</v>
      </c>
      <c r="AG78" s="75"/>
      <c r="AH78" s="47">
        <f t="shared" si="8"/>
        <v>8</v>
      </c>
      <c r="AI78" s="48">
        <f t="shared" si="9"/>
        <v>0</v>
      </c>
      <c r="AK78" s="49"/>
    </row>
    <row r="79" spans="1:40" ht="15.75" thickBot="1" x14ac:dyDescent="0.3">
      <c r="A79" s="53" t="s">
        <v>85</v>
      </c>
      <c r="B79" s="77">
        <v>6</v>
      </c>
      <c r="C79" s="77">
        <v>6</v>
      </c>
      <c r="D79" s="77">
        <v>6</v>
      </c>
      <c r="E79" s="77">
        <v>6</v>
      </c>
      <c r="F79" s="77">
        <v>6</v>
      </c>
      <c r="G79" s="77">
        <v>6</v>
      </c>
      <c r="H79" s="77">
        <v>6</v>
      </c>
      <c r="I79" s="77">
        <v>6</v>
      </c>
      <c r="J79" s="77">
        <v>6</v>
      </c>
      <c r="K79" s="77">
        <v>6</v>
      </c>
      <c r="L79" s="77">
        <v>6</v>
      </c>
      <c r="M79" s="77">
        <v>6</v>
      </c>
      <c r="N79" s="77">
        <v>6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7</v>
      </c>
      <c r="AC79" s="77">
        <v>7</v>
      </c>
      <c r="AD79" s="77">
        <v>7</v>
      </c>
      <c r="AE79" s="77">
        <v>7</v>
      </c>
      <c r="AF79" s="77">
        <v>7</v>
      </c>
      <c r="AG79" s="75"/>
      <c r="AH79" s="47">
        <f t="shared" si="8"/>
        <v>7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0</v>
      </c>
      <c r="C80" s="45">
        <v>0</v>
      </c>
      <c r="D80" s="45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3</v>
      </c>
      <c r="AG80" s="75"/>
      <c r="AH80" s="47">
        <f t="shared" si="8"/>
        <v>3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0</v>
      </c>
      <c r="C81" s="45">
        <v>0</v>
      </c>
      <c r="D81" s="45">
        <v>0</v>
      </c>
      <c r="E81" s="77">
        <v>0</v>
      </c>
      <c r="F81" s="77">
        <v>0</v>
      </c>
      <c r="G81" s="77">
        <v>0</v>
      </c>
      <c r="H81" s="77">
        <v>6</v>
      </c>
      <c r="I81" s="77">
        <v>6</v>
      </c>
      <c r="J81" s="77">
        <v>6</v>
      </c>
      <c r="K81" s="77">
        <v>6</v>
      </c>
      <c r="L81" s="77">
        <v>6</v>
      </c>
      <c r="M81" s="77">
        <v>6</v>
      </c>
      <c r="N81" s="77">
        <v>6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6</v>
      </c>
      <c r="AE81" s="77">
        <v>6</v>
      </c>
      <c r="AF81" s="77">
        <v>6</v>
      </c>
      <c r="AG81" s="75"/>
      <c r="AH81" s="47">
        <f t="shared" si="8"/>
        <v>6</v>
      </c>
      <c r="AI81" s="48">
        <f t="shared" si="9"/>
        <v>0</v>
      </c>
      <c r="AK81" s="82" t="s">
        <v>89</v>
      </c>
      <c r="AL81" s="65">
        <v>706045.53</v>
      </c>
      <c r="AM81" s="76">
        <v>705682.26</v>
      </c>
      <c r="AN81" s="83">
        <f>AL81-AM81</f>
        <v>363.27000000001863</v>
      </c>
    </row>
    <row r="82" spans="1:40" x14ac:dyDescent="0.25">
      <c r="A82" s="84" t="s">
        <v>90</v>
      </c>
      <c r="B82" s="45">
        <v>0</v>
      </c>
      <c r="C82" s="45">
        <v>0</v>
      </c>
      <c r="D82" s="45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541312.09</v>
      </c>
      <c r="AM82" s="76">
        <v>540947.61</v>
      </c>
      <c r="AN82" s="83">
        <f>AL82-AM82</f>
        <v>364.47999999998137</v>
      </c>
    </row>
    <row r="83" spans="1:40" ht="15.75" thickBot="1" x14ac:dyDescent="0.3">
      <c r="A83" s="84" t="s">
        <v>92</v>
      </c>
      <c r="B83" s="45">
        <v>0</v>
      </c>
      <c r="C83" s="45">
        <v>0</v>
      </c>
      <c r="D83" s="45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727.75</v>
      </c>
    </row>
    <row r="84" spans="1:40" ht="15.75" thickBot="1" x14ac:dyDescent="0.3">
      <c r="A84" s="74" t="s">
        <v>93</v>
      </c>
      <c r="B84" s="60">
        <f t="shared" ref="B84:AF84" si="10">SUMIF(B73:B83,"&gt;0")</f>
        <v>144.9</v>
      </c>
      <c r="C84" s="60">
        <f t="shared" si="10"/>
        <v>147.4</v>
      </c>
      <c r="D84" s="60">
        <f t="shared" si="10"/>
        <v>245</v>
      </c>
      <c r="E84" s="60">
        <f t="shared" si="10"/>
        <v>316.8</v>
      </c>
      <c r="F84" s="60">
        <f t="shared" si="10"/>
        <v>359.4</v>
      </c>
      <c r="G84" s="60">
        <f t="shared" si="10"/>
        <v>397.59999999999997</v>
      </c>
      <c r="H84" s="60">
        <f t="shared" si="10"/>
        <v>390.80799999999999</v>
      </c>
      <c r="I84" s="60">
        <f t="shared" si="10"/>
        <v>408.09999999999997</v>
      </c>
      <c r="J84" s="60">
        <f t="shared" si="10"/>
        <v>396.40000000000003</v>
      </c>
      <c r="K84" s="60">
        <f t="shared" si="10"/>
        <v>400.8</v>
      </c>
      <c r="L84" s="60">
        <f t="shared" si="10"/>
        <v>479.5</v>
      </c>
      <c r="M84" s="60">
        <f t="shared" si="10"/>
        <v>452.3</v>
      </c>
      <c r="N84" s="60">
        <f t="shared" si="10"/>
        <v>444.1</v>
      </c>
      <c r="O84" s="60">
        <f t="shared" si="10"/>
        <v>233.8</v>
      </c>
      <c r="P84" s="60">
        <f t="shared" si="10"/>
        <v>284.8</v>
      </c>
      <c r="Q84" s="60">
        <f t="shared" si="10"/>
        <v>269.60000000000002</v>
      </c>
      <c r="R84" s="60">
        <f t="shared" si="10"/>
        <v>310.89999999999998</v>
      </c>
      <c r="S84" s="60">
        <f t="shared" si="10"/>
        <v>383</v>
      </c>
      <c r="T84" s="60">
        <f t="shared" si="10"/>
        <v>332.90000000000003</v>
      </c>
      <c r="U84" s="60">
        <f t="shared" si="10"/>
        <v>323.60000000000002</v>
      </c>
      <c r="V84" s="60">
        <f t="shared" si="10"/>
        <v>335.4</v>
      </c>
      <c r="W84" s="60">
        <f t="shared" si="10"/>
        <v>337.4</v>
      </c>
      <c r="X84" s="60">
        <f t="shared" si="10"/>
        <v>302.39999999999998</v>
      </c>
      <c r="Y84" s="60">
        <f t="shared" si="10"/>
        <v>266.39999999999998</v>
      </c>
      <c r="Z84" s="60">
        <f t="shared" si="10"/>
        <v>269</v>
      </c>
      <c r="AA84" s="60">
        <f t="shared" si="10"/>
        <v>66.400000000000006</v>
      </c>
      <c r="AB84" s="60">
        <f t="shared" si="10"/>
        <v>81.400000000000006</v>
      </c>
      <c r="AC84" s="60">
        <f t="shared" si="10"/>
        <v>81.400000000000006</v>
      </c>
      <c r="AD84" s="60">
        <f t="shared" si="10"/>
        <v>128</v>
      </c>
      <c r="AE84" s="60">
        <f t="shared" si="10"/>
        <v>182</v>
      </c>
      <c r="AF84" s="60">
        <f t="shared" si="10"/>
        <v>112</v>
      </c>
      <c r="AG84" s="88">
        <f>SUM(AG73:AG83)</f>
        <v>0</v>
      </c>
      <c r="AH84" s="47">
        <f t="shared" si="8"/>
        <v>479.5</v>
      </c>
      <c r="AI84" s="48">
        <f t="shared" si="9"/>
        <v>66.400000000000006</v>
      </c>
      <c r="AK84" s="86"/>
      <c r="AL84" s="77"/>
      <c r="AM84" s="89"/>
      <c r="AN84" s="176">
        <f>727.8/4</f>
        <v>181.95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 t="shared" ref="B89:AG89" si="11">B50+B54+B72+B68+B84+B88</f>
        <v>1674.0400000000004</v>
      </c>
      <c r="C89" s="95">
        <f t="shared" si="11"/>
        <v>1642.3400000000001</v>
      </c>
      <c r="D89" s="95">
        <f t="shared" si="11"/>
        <v>1653.44</v>
      </c>
      <c r="E89" s="95">
        <f t="shared" si="11"/>
        <v>1586.4399999999998</v>
      </c>
      <c r="F89" s="95">
        <f t="shared" si="11"/>
        <v>1632.8400000000001</v>
      </c>
      <c r="G89" s="95">
        <f t="shared" si="11"/>
        <v>1553.94</v>
      </c>
      <c r="H89" s="95">
        <f t="shared" si="11"/>
        <v>1533.048</v>
      </c>
      <c r="I89" s="95">
        <f t="shared" si="11"/>
        <v>1570.34</v>
      </c>
      <c r="J89" s="95">
        <f t="shared" si="11"/>
        <v>1560.8400000000001</v>
      </c>
      <c r="K89" s="95">
        <f t="shared" si="11"/>
        <v>1533.14</v>
      </c>
      <c r="L89" s="95">
        <f t="shared" si="11"/>
        <v>1613.8400000000001</v>
      </c>
      <c r="M89" s="95">
        <f t="shared" si="11"/>
        <v>1680.14</v>
      </c>
      <c r="N89" s="95">
        <f t="shared" si="11"/>
        <v>1674.3400000000001</v>
      </c>
      <c r="O89" s="95">
        <f t="shared" si="11"/>
        <v>1602.04</v>
      </c>
      <c r="P89" s="95">
        <f t="shared" si="11"/>
        <v>1622.74</v>
      </c>
      <c r="Q89" s="95">
        <f t="shared" si="11"/>
        <v>1620.1399999999999</v>
      </c>
      <c r="R89" s="95">
        <f t="shared" si="11"/>
        <v>1630.6399999999999</v>
      </c>
      <c r="S89" s="95">
        <f t="shared" si="11"/>
        <v>1669.44</v>
      </c>
      <c r="T89" s="95">
        <f t="shared" si="11"/>
        <v>1623.2400000000002</v>
      </c>
      <c r="U89" s="95">
        <f t="shared" si="11"/>
        <v>1630.94</v>
      </c>
      <c r="V89" s="95">
        <f t="shared" si="11"/>
        <v>1620.3400000000001</v>
      </c>
      <c r="W89" s="95">
        <f t="shared" si="11"/>
        <v>1569.3400000000001</v>
      </c>
      <c r="X89" s="95">
        <f t="shared" si="11"/>
        <v>1562.3400000000001</v>
      </c>
      <c r="Y89" s="95">
        <f t="shared" si="11"/>
        <v>1583.94</v>
      </c>
      <c r="Z89" s="95">
        <f t="shared" si="11"/>
        <v>1666.54</v>
      </c>
      <c r="AA89" s="95">
        <f t="shared" si="11"/>
        <v>1785.94</v>
      </c>
      <c r="AB89" s="95">
        <f t="shared" si="11"/>
        <v>1802.14</v>
      </c>
      <c r="AC89" s="95">
        <f t="shared" si="11"/>
        <v>1746.3400000000004</v>
      </c>
      <c r="AD89" s="95">
        <f t="shared" si="11"/>
        <v>1689.4400000000003</v>
      </c>
      <c r="AE89" s="95">
        <f t="shared" si="11"/>
        <v>1672.24</v>
      </c>
      <c r="AF89" s="95">
        <f t="shared" si="11"/>
        <v>1665.24</v>
      </c>
      <c r="AG89" s="61">
        <f t="shared" si="11"/>
        <v>2111.5500000000002</v>
      </c>
      <c r="AH89" s="47">
        <f t="shared" si="8"/>
        <v>1802.14</v>
      </c>
      <c r="AI89" s="48">
        <f t="shared" si="9"/>
        <v>1533.048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>
        <v>150</v>
      </c>
      <c r="AB90" s="97">
        <v>150</v>
      </c>
      <c r="AC90" s="97">
        <v>150</v>
      </c>
      <c r="AD90" s="97">
        <v>150</v>
      </c>
      <c r="AE90" s="97">
        <v>120</v>
      </c>
      <c r="AF90" s="97"/>
      <c r="AG90" s="88"/>
      <c r="AH90" s="47">
        <f t="shared" si="8"/>
        <v>150</v>
      </c>
      <c r="AI90" s="48">
        <f t="shared" si="9"/>
        <v>120</v>
      </c>
    </row>
    <row r="91" spans="1:40" ht="15.75" thickBot="1" x14ac:dyDescent="0.3">
      <c r="A91" s="74" t="s">
        <v>100</v>
      </c>
      <c r="B91" s="95">
        <f t="shared" ref="B91:AF91" si="12">B89+B90</f>
        <v>1674.0400000000004</v>
      </c>
      <c r="C91" s="95">
        <f t="shared" si="12"/>
        <v>1642.3400000000001</v>
      </c>
      <c r="D91" s="95">
        <f t="shared" si="12"/>
        <v>1653.44</v>
      </c>
      <c r="E91" s="95">
        <f t="shared" si="12"/>
        <v>1586.4399999999998</v>
      </c>
      <c r="F91" s="95">
        <f t="shared" si="12"/>
        <v>1632.8400000000001</v>
      </c>
      <c r="G91" s="95">
        <f t="shared" si="12"/>
        <v>1553.94</v>
      </c>
      <c r="H91" s="95">
        <f t="shared" si="12"/>
        <v>1533.048</v>
      </c>
      <c r="I91" s="95">
        <f t="shared" si="12"/>
        <v>1570.34</v>
      </c>
      <c r="J91" s="95">
        <f t="shared" si="12"/>
        <v>1560.8400000000001</v>
      </c>
      <c r="K91" s="95">
        <f t="shared" si="12"/>
        <v>1533.14</v>
      </c>
      <c r="L91" s="95">
        <f t="shared" si="12"/>
        <v>1613.8400000000001</v>
      </c>
      <c r="M91" s="95">
        <f t="shared" si="12"/>
        <v>1680.14</v>
      </c>
      <c r="N91" s="95">
        <f t="shared" si="12"/>
        <v>1674.3400000000001</v>
      </c>
      <c r="O91" s="95">
        <f t="shared" si="12"/>
        <v>1602.04</v>
      </c>
      <c r="P91" s="95">
        <f t="shared" si="12"/>
        <v>1622.74</v>
      </c>
      <c r="Q91" s="95">
        <f t="shared" si="12"/>
        <v>1620.1399999999999</v>
      </c>
      <c r="R91" s="95">
        <f t="shared" si="12"/>
        <v>1630.6399999999999</v>
      </c>
      <c r="S91" s="95">
        <f t="shared" si="12"/>
        <v>1669.44</v>
      </c>
      <c r="T91" s="95">
        <f t="shared" si="12"/>
        <v>1623.2400000000002</v>
      </c>
      <c r="U91" s="95">
        <f t="shared" si="12"/>
        <v>1630.94</v>
      </c>
      <c r="V91" s="95">
        <f t="shared" si="12"/>
        <v>1620.3400000000001</v>
      </c>
      <c r="W91" s="95">
        <f t="shared" si="12"/>
        <v>1569.3400000000001</v>
      </c>
      <c r="X91" s="95">
        <f t="shared" si="12"/>
        <v>1562.3400000000001</v>
      </c>
      <c r="Y91" s="95">
        <f t="shared" si="12"/>
        <v>1583.94</v>
      </c>
      <c r="Z91" s="95">
        <f t="shared" si="12"/>
        <v>1666.54</v>
      </c>
      <c r="AA91" s="95">
        <f t="shared" si="12"/>
        <v>1935.94</v>
      </c>
      <c r="AB91" s="95">
        <f t="shared" si="12"/>
        <v>1952.14</v>
      </c>
      <c r="AC91" s="95">
        <f t="shared" si="12"/>
        <v>1896.3400000000004</v>
      </c>
      <c r="AD91" s="95">
        <f t="shared" si="12"/>
        <v>1839.4400000000003</v>
      </c>
      <c r="AE91" s="95">
        <f t="shared" si="12"/>
        <v>1792.24</v>
      </c>
      <c r="AF91" s="95">
        <f t="shared" si="12"/>
        <v>1665.24</v>
      </c>
      <c r="AG91" s="88">
        <f>AG88+AG84+AG72+AG68+AG50+AG90</f>
        <v>1573.45</v>
      </c>
      <c r="AH91" s="47">
        <f t="shared" si="8"/>
        <v>1952.14</v>
      </c>
      <c r="AI91" s="48">
        <f t="shared" si="9"/>
        <v>1533.048</v>
      </c>
    </row>
    <row r="92" spans="1:40" ht="15.75" thickBot="1" x14ac:dyDescent="0.3">
      <c r="A92" s="74" t="s">
        <v>101</v>
      </c>
      <c r="B92" s="95">
        <f t="shared" ref="B92:AF92" si="13">B91-B99</f>
        <v>1674.0400000000004</v>
      </c>
      <c r="C92" s="95">
        <f t="shared" si="13"/>
        <v>1642.3400000000001</v>
      </c>
      <c r="D92" s="95">
        <f t="shared" si="13"/>
        <v>1653.44</v>
      </c>
      <c r="E92" s="95">
        <f t="shared" si="13"/>
        <v>1586.4399999999998</v>
      </c>
      <c r="F92" s="95">
        <f t="shared" si="13"/>
        <v>1632.8400000000001</v>
      </c>
      <c r="G92" s="95">
        <f t="shared" si="13"/>
        <v>1553.94</v>
      </c>
      <c r="H92" s="95">
        <f t="shared" si="13"/>
        <v>1533.048</v>
      </c>
      <c r="I92" s="95">
        <f t="shared" si="13"/>
        <v>1570.34</v>
      </c>
      <c r="J92" s="95">
        <f t="shared" si="13"/>
        <v>1560.8400000000001</v>
      </c>
      <c r="K92" s="95">
        <f t="shared" si="13"/>
        <v>1533.14</v>
      </c>
      <c r="L92" s="95">
        <f t="shared" si="13"/>
        <v>1613.8400000000001</v>
      </c>
      <c r="M92" s="95">
        <f t="shared" si="13"/>
        <v>1680.14</v>
      </c>
      <c r="N92" s="95">
        <f t="shared" si="13"/>
        <v>1674.3400000000001</v>
      </c>
      <c r="O92" s="95">
        <f t="shared" si="13"/>
        <v>1602.04</v>
      </c>
      <c r="P92" s="95">
        <f t="shared" si="13"/>
        <v>1622.74</v>
      </c>
      <c r="Q92" s="95">
        <f t="shared" si="13"/>
        <v>1620.1399999999999</v>
      </c>
      <c r="R92" s="95">
        <f t="shared" si="13"/>
        <v>1630.6399999999999</v>
      </c>
      <c r="S92" s="95">
        <f t="shared" si="13"/>
        <v>1669.44</v>
      </c>
      <c r="T92" s="95">
        <f t="shared" si="13"/>
        <v>1623.2400000000002</v>
      </c>
      <c r="U92" s="95">
        <f t="shared" si="13"/>
        <v>1630.94</v>
      </c>
      <c r="V92" s="95">
        <f t="shared" si="13"/>
        <v>1620.3400000000001</v>
      </c>
      <c r="W92" s="95">
        <f t="shared" si="13"/>
        <v>1569.3400000000001</v>
      </c>
      <c r="X92" s="95">
        <f t="shared" si="13"/>
        <v>1562.3400000000001</v>
      </c>
      <c r="Y92" s="95">
        <f t="shared" si="13"/>
        <v>1583.94</v>
      </c>
      <c r="Z92" s="95">
        <f t="shared" si="13"/>
        <v>1666.54</v>
      </c>
      <c r="AA92" s="95">
        <f t="shared" si="13"/>
        <v>1935.94</v>
      </c>
      <c r="AB92" s="95">
        <f t="shared" si="13"/>
        <v>1952.14</v>
      </c>
      <c r="AC92" s="95">
        <f t="shared" si="13"/>
        <v>1896.3400000000004</v>
      </c>
      <c r="AD92" s="95">
        <f t="shared" si="13"/>
        <v>1839.4400000000003</v>
      </c>
      <c r="AE92" s="95">
        <f t="shared" si="13"/>
        <v>1792.24</v>
      </c>
      <c r="AF92" s="95">
        <f t="shared" si="13"/>
        <v>1665.24</v>
      </c>
      <c r="AG92" s="88"/>
      <c r="AH92" s="47">
        <f t="shared" si="8"/>
        <v>1952.14</v>
      </c>
      <c r="AI92" s="48">
        <f t="shared" si="9"/>
        <v>1533.048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 t="shared" ref="B100:AF100" si="14">B84-B99</f>
        <v>144.9</v>
      </c>
      <c r="C100" s="60">
        <f t="shared" si="14"/>
        <v>147.4</v>
      </c>
      <c r="D100" s="60">
        <f t="shared" si="14"/>
        <v>245</v>
      </c>
      <c r="E100" s="60">
        <f t="shared" si="14"/>
        <v>316.8</v>
      </c>
      <c r="F100" s="60">
        <f t="shared" si="14"/>
        <v>359.4</v>
      </c>
      <c r="G100" s="60">
        <f t="shared" si="14"/>
        <v>397.59999999999997</v>
      </c>
      <c r="H100" s="60">
        <f t="shared" si="14"/>
        <v>390.80799999999999</v>
      </c>
      <c r="I100" s="60">
        <f t="shared" si="14"/>
        <v>408.09999999999997</v>
      </c>
      <c r="J100" s="60">
        <f t="shared" si="14"/>
        <v>396.40000000000003</v>
      </c>
      <c r="K100" s="60">
        <f t="shared" si="14"/>
        <v>400.8</v>
      </c>
      <c r="L100" s="60">
        <f t="shared" si="14"/>
        <v>479.5</v>
      </c>
      <c r="M100" s="60">
        <f t="shared" si="14"/>
        <v>452.3</v>
      </c>
      <c r="N100" s="60">
        <f t="shared" si="14"/>
        <v>444.1</v>
      </c>
      <c r="O100" s="60">
        <f t="shared" si="14"/>
        <v>233.8</v>
      </c>
      <c r="P100" s="60">
        <f t="shared" si="14"/>
        <v>284.8</v>
      </c>
      <c r="Q100" s="60">
        <f t="shared" si="14"/>
        <v>269.60000000000002</v>
      </c>
      <c r="R100" s="60">
        <f t="shared" si="14"/>
        <v>310.89999999999998</v>
      </c>
      <c r="S100" s="60">
        <f t="shared" si="14"/>
        <v>383</v>
      </c>
      <c r="T100" s="60">
        <f t="shared" si="14"/>
        <v>332.90000000000003</v>
      </c>
      <c r="U100" s="60">
        <f t="shared" si="14"/>
        <v>323.60000000000002</v>
      </c>
      <c r="V100" s="60">
        <f t="shared" si="14"/>
        <v>335.4</v>
      </c>
      <c r="W100" s="60">
        <f t="shared" si="14"/>
        <v>337.4</v>
      </c>
      <c r="X100" s="60">
        <f t="shared" si="14"/>
        <v>302.39999999999998</v>
      </c>
      <c r="Y100" s="60">
        <f t="shared" si="14"/>
        <v>266.39999999999998</v>
      </c>
      <c r="Z100" s="60">
        <f t="shared" si="14"/>
        <v>269</v>
      </c>
      <c r="AA100" s="60">
        <f t="shared" si="14"/>
        <v>66.400000000000006</v>
      </c>
      <c r="AB100" s="60">
        <f t="shared" si="14"/>
        <v>81.400000000000006</v>
      </c>
      <c r="AC100" s="60">
        <f t="shared" si="14"/>
        <v>81.400000000000006</v>
      </c>
      <c r="AD100" s="60">
        <f t="shared" si="14"/>
        <v>128</v>
      </c>
      <c r="AE100" s="60">
        <f t="shared" si="14"/>
        <v>182</v>
      </c>
      <c r="AF100" s="60">
        <f t="shared" si="14"/>
        <v>112</v>
      </c>
      <c r="AG100" s="88"/>
      <c r="AH100" s="47">
        <f t="shared" si="8"/>
        <v>479.5</v>
      </c>
      <c r="AI100" s="48">
        <f t="shared" si="9"/>
        <v>66.400000000000006</v>
      </c>
    </row>
    <row r="101" spans="1:37" x14ac:dyDescent="0.25">
      <c r="A101" s="100" t="s">
        <v>107</v>
      </c>
      <c r="B101" s="101">
        <v>50.015999999999998</v>
      </c>
      <c r="C101" s="101">
        <v>50.046999999999997</v>
      </c>
      <c r="D101" s="101">
        <v>50.061</v>
      </c>
      <c r="E101" s="101">
        <v>50.024999999999999</v>
      </c>
      <c r="F101" s="101">
        <v>49.923000000000002</v>
      </c>
      <c r="G101" s="101">
        <v>49.936999999999998</v>
      </c>
      <c r="H101" s="101">
        <v>49.915999999999997</v>
      </c>
      <c r="I101" s="101">
        <v>49.924999999999997</v>
      </c>
      <c r="J101" s="101">
        <v>50.027999999999999</v>
      </c>
      <c r="K101" s="101">
        <v>49.963000000000001</v>
      </c>
      <c r="L101" s="101">
        <v>49.94</v>
      </c>
      <c r="M101" s="101">
        <v>49.94</v>
      </c>
      <c r="N101" s="101">
        <v>50.054000000000002</v>
      </c>
      <c r="O101" s="101">
        <v>49.997999999999998</v>
      </c>
      <c r="P101" s="101">
        <v>50.02</v>
      </c>
      <c r="Q101" s="101">
        <v>49.98</v>
      </c>
      <c r="R101" s="101">
        <v>49.948</v>
      </c>
      <c r="S101" s="101">
        <v>49.906999999999996</v>
      </c>
      <c r="T101" s="101">
        <v>49.875999999999998</v>
      </c>
      <c r="U101" s="101">
        <v>50.034999999999997</v>
      </c>
      <c r="V101" s="101">
        <v>50.05</v>
      </c>
      <c r="W101" s="101">
        <v>50.081000000000003</v>
      </c>
      <c r="X101" s="101">
        <v>50.042000000000002</v>
      </c>
      <c r="Y101" s="101">
        <v>50.081000000000003</v>
      </c>
      <c r="Z101" s="101">
        <v>50.091999999999999</v>
      </c>
      <c r="AA101" s="101">
        <v>50.06</v>
      </c>
      <c r="AB101" s="101">
        <v>50.05</v>
      </c>
      <c r="AC101" s="101">
        <v>50.02</v>
      </c>
      <c r="AD101" s="101">
        <v>50.06</v>
      </c>
      <c r="AE101" s="101">
        <v>50.1</v>
      </c>
      <c r="AF101" s="101">
        <v>50</v>
      </c>
      <c r="AG101" s="102"/>
      <c r="AH101" s="47">
        <f t="shared" si="8"/>
        <v>50.1</v>
      </c>
      <c r="AI101" s="48">
        <f t="shared" si="9"/>
        <v>49.875999999999998</v>
      </c>
    </row>
    <row r="102" spans="1:37" x14ac:dyDescent="0.25">
      <c r="A102" s="103" t="s">
        <v>108</v>
      </c>
      <c r="B102" s="65">
        <v>124.8</v>
      </c>
      <c r="C102" s="65">
        <v>125.6</v>
      </c>
      <c r="D102" s="65">
        <v>124.6</v>
      </c>
      <c r="E102" s="65">
        <v>123.8</v>
      </c>
      <c r="F102" s="65">
        <v>125.8</v>
      </c>
      <c r="G102" s="65">
        <v>123.2</v>
      </c>
      <c r="H102" s="65">
        <v>125.1</v>
      </c>
      <c r="I102" s="65">
        <v>124</v>
      </c>
      <c r="J102" s="65">
        <v>121.4</v>
      </c>
      <c r="K102" s="65">
        <v>125.4</v>
      </c>
      <c r="L102" s="65">
        <v>122</v>
      </c>
      <c r="M102" s="65">
        <v>122</v>
      </c>
      <c r="N102" s="65">
        <v>123.3</v>
      </c>
      <c r="O102" s="65">
        <v>121.3</v>
      </c>
      <c r="P102" s="65">
        <v>122.2</v>
      </c>
      <c r="Q102" s="65">
        <v>123.6</v>
      </c>
      <c r="R102" s="65">
        <v>121.8</v>
      </c>
      <c r="S102" s="65">
        <v>121.9</v>
      </c>
      <c r="T102" s="65">
        <v>121.7</v>
      </c>
      <c r="U102" s="65">
        <v>122.4</v>
      </c>
      <c r="V102" s="65">
        <v>122.9</v>
      </c>
      <c r="W102" s="65">
        <v>125.6</v>
      </c>
      <c r="X102" s="65">
        <v>124.7</v>
      </c>
      <c r="Y102" s="65">
        <v>124.9</v>
      </c>
      <c r="Z102" s="65">
        <v>124</v>
      </c>
      <c r="AA102" s="65">
        <v>127.1</v>
      </c>
      <c r="AB102" s="65">
        <v>126.1</v>
      </c>
      <c r="AC102" s="65">
        <v>126</v>
      </c>
      <c r="AD102" s="65">
        <v>126</v>
      </c>
      <c r="AE102" s="65">
        <v>126</v>
      </c>
      <c r="AF102" s="65">
        <v>126</v>
      </c>
      <c r="AG102" s="104"/>
      <c r="AH102" s="47">
        <f t="shared" si="8"/>
        <v>127.1</v>
      </c>
      <c r="AI102" s="48">
        <f t="shared" si="9"/>
        <v>121.3</v>
      </c>
    </row>
    <row r="103" spans="1:37" x14ac:dyDescent="0.25">
      <c r="A103" s="103" t="s">
        <v>109</v>
      </c>
      <c r="B103" s="65">
        <v>130.19999999999999</v>
      </c>
      <c r="C103" s="65">
        <v>130.6</v>
      </c>
      <c r="D103" s="65">
        <v>129.9</v>
      </c>
      <c r="E103" s="65">
        <v>129.69999999999999</v>
      </c>
      <c r="F103" s="65">
        <v>130.4</v>
      </c>
      <c r="G103" s="65">
        <v>129</v>
      </c>
      <c r="H103" s="65">
        <v>129.19999999999999</v>
      </c>
      <c r="I103" s="65">
        <v>128.6</v>
      </c>
      <c r="J103" s="65">
        <v>127.1</v>
      </c>
      <c r="K103" s="65">
        <v>128.4</v>
      </c>
      <c r="L103" s="65">
        <v>126.1</v>
      </c>
      <c r="M103" s="65">
        <v>126.1</v>
      </c>
      <c r="N103" s="65">
        <v>127.5</v>
      </c>
      <c r="O103" s="65">
        <v>127</v>
      </c>
      <c r="P103" s="65">
        <v>127.7</v>
      </c>
      <c r="Q103" s="65">
        <v>1238</v>
      </c>
      <c r="R103" s="65">
        <v>126.7</v>
      </c>
      <c r="S103" s="65">
        <v>126.9</v>
      </c>
      <c r="T103" s="65">
        <v>126.8</v>
      </c>
      <c r="U103" s="65">
        <v>127.4</v>
      </c>
      <c r="V103" s="65">
        <v>127.6</v>
      </c>
      <c r="W103" s="65">
        <v>129.6</v>
      </c>
      <c r="X103" s="65">
        <v>129</v>
      </c>
      <c r="Y103" s="65">
        <v>128.69999999999999</v>
      </c>
      <c r="Z103" s="65">
        <v>128.4</v>
      </c>
      <c r="AA103" s="65">
        <v>130</v>
      </c>
      <c r="AB103" s="65">
        <v>129.9</v>
      </c>
      <c r="AC103" s="65">
        <v>130</v>
      </c>
      <c r="AD103" s="65">
        <v>130</v>
      </c>
      <c r="AE103" s="65">
        <v>130</v>
      </c>
      <c r="AF103" s="65">
        <v>130</v>
      </c>
      <c r="AG103" s="104"/>
      <c r="AH103" s="47">
        <f t="shared" si="8"/>
        <v>1238</v>
      </c>
      <c r="AI103" s="48">
        <f t="shared" si="9"/>
        <v>126.1</v>
      </c>
    </row>
    <row r="104" spans="1:37" x14ac:dyDescent="0.25">
      <c r="A104" s="103" t="s">
        <v>110</v>
      </c>
      <c r="B104" s="65">
        <v>128</v>
      </c>
      <c r="C104" s="65">
        <v>128.9</v>
      </c>
      <c r="D104" s="65">
        <v>128.80000000000001</v>
      </c>
      <c r="E104" s="65">
        <v>126</v>
      </c>
      <c r="F104" s="65">
        <v>128.9</v>
      </c>
      <c r="G104" s="65">
        <v>126.5</v>
      </c>
      <c r="H104" s="65">
        <v>129.19999999999999</v>
      </c>
      <c r="I104" s="65">
        <v>128.1</v>
      </c>
      <c r="J104" s="65">
        <v>125.1</v>
      </c>
      <c r="K104" s="65">
        <v>130.1</v>
      </c>
      <c r="L104" s="65">
        <v>124.8</v>
      </c>
      <c r="M104" s="65">
        <v>124.8</v>
      </c>
      <c r="N104" s="65">
        <v>127.3</v>
      </c>
      <c r="O104" s="65">
        <v>126.6</v>
      </c>
      <c r="P104" s="65">
        <v>128</v>
      </c>
      <c r="Q104" s="65">
        <v>129.69999999999999</v>
      </c>
      <c r="R104" s="65">
        <v>127.7</v>
      </c>
      <c r="S104" s="65">
        <v>129.5</v>
      </c>
      <c r="T104" s="65">
        <v>127.6</v>
      </c>
      <c r="U104" s="65">
        <v>127</v>
      </c>
      <c r="V104" s="65">
        <v>127.2</v>
      </c>
      <c r="W104" s="65">
        <v>128.69999999999999</v>
      </c>
      <c r="X104" s="65">
        <v>127.1</v>
      </c>
      <c r="Y104" s="65">
        <v>128.9</v>
      </c>
      <c r="Z104" s="65">
        <v>126.6</v>
      </c>
      <c r="AA104" s="65">
        <v>127.1</v>
      </c>
      <c r="AB104" s="65">
        <v>127.3</v>
      </c>
      <c r="AC104" s="65">
        <v>128.9</v>
      </c>
      <c r="AD104" s="65">
        <v>128.9</v>
      </c>
      <c r="AE104" s="65">
        <v>128.9</v>
      </c>
      <c r="AF104" s="65">
        <v>128.9</v>
      </c>
      <c r="AG104" s="104"/>
      <c r="AH104" s="47">
        <f t="shared" si="8"/>
        <v>130.1</v>
      </c>
      <c r="AI104" s="48">
        <f t="shared" si="9"/>
        <v>124.8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131.1</v>
      </c>
      <c r="C106" s="106">
        <v>134.30000000000001</v>
      </c>
      <c r="D106" s="106">
        <v>126.5</v>
      </c>
      <c r="E106" s="106">
        <v>131.80000000000001</v>
      </c>
      <c r="F106" s="106">
        <v>128.5</v>
      </c>
      <c r="G106" s="106">
        <v>130.1</v>
      </c>
      <c r="H106" s="106">
        <v>130.80000000000001</v>
      </c>
      <c r="I106" s="106">
        <v>135.5</v>
      </c>
      <c r="J106" s="106">
        <v>134.69999999999999</v>
      </c>
      <c r="K106" s="106">
        <v>132.30000000000001</v>
      </c>
      <c r="L106" s="106">
        <v>129.9</v>
      </c>
      <c r="M106" s="106">
        <v>129.9</v>
      </c>
      <c r="N106" s="106">
        <v>133.9</v>
      </c>
      <c r="O106" s="106">
        <v>133.30000000000001</v>
      </c>
      <c r="P106" s="106">
        <v>132.9</v>
      </c>
      <c r="Q106" s="106">
        <v>134.6</v>
      </c>
      <c r="R106" s="106">
        <v>133.30000000000001</v>
      </c>
      <c r="S106" s="106">
        <v>136.1</v>
      </c>
      <c r="T106" s="106">
        <v>133.80000000000001</v>
      </c>
      <c r="U106" s="106">
        <v>132.30000000000001</v>
      </c>
      <c r="V106" s="106">
        <v>133.5</v>
      </c>
      <c r="W106" s="106">
        <v>135.1</v>
      </c>
      <c r="X106" s="106">
        <v>134.1</v>
      </c>
      <c r="Y106" s="106">
        <v>132.9</v>
      </c>
      <c r="Z106" s="106">
        <v>131.6</v>
      </c>
      <c r="AA106" s="106">
        <v>136</v>
      </c>
      <c r="AB106" s="106">
        <v>133.5</v>
      </c>
      <c r="AC106" s="106">
        <v>135.4</v>
      </c>
      <c r="AD106" s="106">
        <v>135.4</v>
      </c>
      <c r="AE106" s="106">
        <v>135.4</v>
      </c>
      <c r="AF106" s="106">
        <v>135.4</v>
      </c>
      <c r="AG106" s="107"/>
      <c r="AH106" s="47">
        <f t="shared" si="8"/>
        <v>136.1</v>
      </c>
      <c r="AI106" s="48">
        <f t="shared" si="9"/>
        <v>126.5</v>
      </c>
    </row>
    <row r="107" spans="1:37" x14ac:dyDescent="0.25">
      <c r="A107" s="103" t="s">
        <v>113</v>
      </c>
      <c r="B107" s="65">
        <v>130.9</v>
      </c>
      <c r="C107" s="65">
        <v>131.5</v>
      </c>
      <c r="D107" s="65">
        <v>123</v>
      </c>
      <c r="E107" s="65">
        <v>129.4</v>
      </c>
      <c r="F107" s="65">
        <v>126.3</v>
      </c>
      <c r="G107" s="65">
        <v>130.6</v>
      </c>
      <c r="H107" s="65">
        <v>129.6</v>
      </c>
      <c r="I107" s="65">
        <v>138</v>
      </c>
      <c r="J107" s="65">
        <v>135.4</v>
      </c>
      <c r="K107" s="65">
        <v>131.30000000000001</v>
      </c>
      <c r="L107" s="65">
        <v>127.7</v>
      </c>
      <c r="M107" s="65">
        <v>127.7</v>
      </c>
      <c r="N107" s="65">
        <v>132.30000000000001</v>
      </c>
      <c r="O107" s="65">
        <v>133.1</v>
      </c>
      <c r="P107" s="65">
        <v>132.30000000000001</v>
      </c>
      <c r="Q107" s="65">
        <v>132.5</v>
      </c>
      <c r="R107" s="65">
        <v>130.1</v>
      </c>
      <c r="S107" s="65">
        <v>130.80000000000001</v>
      </c>
      <c r="T107" s="65">
        <v>133.1</v>
      </c>
      <c r="U107" s="65">
        <v>131.69999999999999</v>
      </c>
      <c r="V107" s="65">
        <v>128.4</v>
      </c>
      <c r="W107" s="65">
        <v>132.6</v>
      </c>
      <c r="X107" s="65">
        <v>133.30000000000001</v>
      </c>
      <c r="Y107" s="65">
        <v>132.1</v>
      </c>
      <c r="Z107" s="65">
        <v>132.19999999999999</v>
      </c>
      <c r="AA107" s="65">
        <v>128.69999999999999</v>
      </c>
      <c r="AB107" s="65">
        <v>130.1</v>
      </c>
      <c r="AC107" s="65">
        <v>132.5</v>
      </c>
      <c r="AD107" s="65">
        <v>132.5</v>
      </c>
      <c r="AE107" s="65">
        <v>132.5</v>
      </c>
      <c r="AF107" s="65">
        <v>132.5</v>
      </c>
      <c r="AG107" s="104"/>
      <c r="AH107" s="47">
        <f t="shared" si="8"/>
        <v>138</v>
      </c>
      <c r="AI107" s="48">
        <f t="shared" si="9"/>
        <v>123</v>
      </c>
    </row>
    <row r="108" spans="1:37" ht="15.75" thickBot="1" x14ac:dyDescent="0.3">
      <c r="A108" s="103" t="s">
        <v>114</v>
      </c>
      <c r="B108" s="92">
        <v>65.5</v>
      </c>
      <c r="C108" s="92">
        <v>65.7</v>
      </c>
      <c r="D108" s="92">
        <v>65.5</v>
      </c>
      <c r="E108" s="92">
        <v>65.2</v>
      </c>
      <c r="F108" s="92">
        <v>65.599999999999994</v>
      </c>
      <c r="G108" s="92">
        <v>64.599999999999994</v>
      </c>
      <c r="H108" s="92">
        <v>64.900000000000006</v>
      </c>
      <c r="I108" s="92">
        <v>64.5</v>
      </c>
      <c r="J108" s="92">
        <v>63.3</v>
      </c>
      <c r="K108" s="92">
        <v>64.2</v>
      </c>
      <c r="L108" s="92">
        <v>62.3</v>
      </c>
      <c r="M108" s="92">
        <v>62.3</v>
      </c>
      <c r="N108" s="92">
        <v>64.099999999999994</v>
      </c>
      <c r="O108" s="92">
        <v>63.4</v>
      </c>
      <c r="P108" s="92">
        <v>63.9</v>
      </c>
      <c r="Q108" s="92">
        <v>63.8</v>
      </c>
      <c r="R108" s="92">
        <v>63.2</v>
      </c>
      <c r="S108" s="92">
        <v>63.7</v>
      </c>
      <c r="T108" s="92">
        <v>63.1</v>
      </c>
      <c r="U108" s="92">
        <v>63.5</v>
      </c>
      <c r="V108" s="92">
        <v>63.8</v>
      </c>
      <c r="W108" s="92">
        <v>64.599999999999994</v>
      </c>
      <c r="X108" s="92">
        <v>64.8</v>
      </c>
      <c r="Y108" s="92">
        <v>64.400000000000006</v>
      </c>
      <c r="Z108" s="92">
        <v>64.400000000000006</v>
      </c>
      <c r="AA108" s="92">
        <v>65</v>
      </c>
      <c r="AB108" s="92">
        <v>65.099999999999994</v>
      </c>
      <c r="AC108" s="92">
        <v>64.900000000000006</v>
      </c>
      <c r="AD108" s="92">
        <v>64.900000000000006</v>
      </c>
      <c r="AE108" s="92">
        <v>64.900000000000006</v>
      </c>
      <c r="AF108" s="92">
        <v>64.900000000000006</v>
      </c>
      <c r="AG108" s="108"/>
      <c r="AH108" s="47">
        <f t="shared" si="8"/>
        <v>65.7</v>
      </c>
      <c r="AI108" s="48">
        <f t="shared" si="9"/>
        <v>62.3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 t="shared" ref="B110:O110" si="15">SUM(B20,B26,B29:B30,B58,B60:B61,B63,B65,B111:B115,B138,B144,B150,B159,B161,B173,B180,B183:B184,B191,B193,B195,B199:B201,B203:B205,B210,B216:B217,B219:B221,B229,B234)</f>
        <v>136.39999999999998</v>
      </c>
      <c r="C110" s="111">
        <f t="shared" si="15"/>
        <v>112.33999999999999</v>
      </c>
      <c r="D110" s="111">
        <f t="shared" si="15"/>
        <v>101.33999999999997</v>
      </c>
      <c r="E110" s="111">
        <f t="shared" si="15"/>
        <v>132.13999999999999</v>
      </c>
      <c r="F110" s="111">
        <f t="shared" si="15"/>
        <v>104.74000000000001</v>
      </c>
      <c r="G110" s="111">
        <f t="shared" si="15"/>
        <v>111.54000000000002</v>
      </c>
      <c r="H110" s="111">
        <f t="shared" si="15"/>
        <v>132.84</v>
      </c>
      <c r="I110" s="111">
        <f t="shared" si="15"/>
        <v>158.04000000000002</v>
      </c>
      <c r="J110" s="111">
        <f t="shared" si="15"/>
        <v>188.14</v>
      </c>
      <c r="K110" s="111">
        <f t="shared" si="15"/>
        <v>205.34</v>
      </c>
      <c r="L110" s="111">
        <f t="shared" si="15"/>
        <v>222.54000000000002</v>
      </c>
      <c r="M110" s="111">
        <f t="shared" si="15"/>
        <v>236.74</v>
      </c>
      <c r="N110" s="111">
        <f t="shared" si="15"/>
        <v>245.94000000000003</v>
      </c>
      <c r="O110" s="111">
        <f t="shared" si="15"/>
        <v>225.24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216</v>
      </c>
      <c r="R110" s="111">
        <f t="shared" si="16"/>
        <v>225.40000000000003</v>
      </c>
      <c r="S110" s="111">
        <f t="shared" si="16"/>
        <v>213.4</v>
      </c>
      <c r="T110" s="111">
        <f t="shared" si="16"/>
        <v>208.20000000000002</v>
      </c>
      <c r="U110" s="111">
        <f t="shared" si="16"/>
        <v>207.40000000000003</v>
      </c>
      <c r="V110" s="111">
        <f t="shared" si="16"/>
        <v>216.50000000000003</v>
      </c>
      <c r="W110" s="111">
        <f t="shared" si="16"/>
        <v>206.5</v>
      </c>
      <c r="X110" s="111">
        <f t="shared" si="16"/>
        <v>214.39999999999998</v>
      </c>
      <c r="Y110" s="111">
        <f t="shared" si="16"/>
        <v>226</v>
      </c>
      <c r="Z110" s="111">
        <f t="shared" si="16"/>
        <v>259</v>
      </c>
      <c r="AA110" s="111">
        <f t="shared" si="16"/>
        <v>306.5</v>
      </c>
      <c r="AB110" s="111">
        <f t="shared" si="16"/>
        <v>238.8</v>
      </c>
      <c r="AC110" s="111">
        <f t="shared" si="16"/>
        <v>219.8</v>
      </c>
      <c r="AD110" s="111"/>
      <c r="AE110" s="111">
        <f t="shared" si="16"/>
        <v>176.9</v>
      </c>
      <c r="AF110" s="111">
        <f t="shared" si="16"/>
        <v>125.9</v>
      </c>
      <c r="AG110" s="112"/>
      <c r="AH110" s="47">
        <f t="shared" si="8"/>
        <v>306.5</v>
      </c>
      <c r="AI110" s="48">
        <f t="shared" si="9"/>
        <v>42</v>
      </c>
    </row>
    <row r="111" spans="1:37" x14ac:dyDescent="0.25">
      <c r="A111" s="100" t="s">
        <v>117</v>
      </c>
      <c r="B111" s="113">
        <v>13.3</v>
      </c>
      <c r="C111" s="113">
        <v>16.8</v>
      </c>
      <c r="D111" s="113">
        <v>12.5</v>
      </c>
      <c r="E111" s="113">
        <v>15.4</v>
      </c>
      <c r="F111" s="113">
        <v>26.5</v>
      </c>
      <c r="G111" s="113">
        <v>31.6</v>
      </c>
      <c r="H111" s="113">
        <v>29.9</v>
      </c>
      <c r="I111" s="113">
        <v>34.299999999999997</v>
      </c>
      <c r="J111" s="113">
        <v>49.2</v>
      </c>
      <c r="K111" s="113">
        <v>35.5</v>
      </c>
      <c r="L111" s="113">
        <v>35.9</v>
      </c>
      <c r="M111" s="113">
        <v>39.6</v>
      </c>
      <c r="N111" s="113">
        <v>49.4</v>
      </c>
      <c r="O111" s="113">
        <v>41.4</v>
      </c>
      <c r="P111" s="113">
        <v>36.299999999999997</v>
      </c>
      <c r="Q111" s="113">
        <v>38.9</v>
      </c>
      <c r="R111" s="113">
        <v>43</v>
      </c>
      <c r="S111" s="113">
        <v>38</v>
      </c>
      <c r="T111" s="113">
        <v>46.2</v>
      </c>
      <c r="U111" s="113">
        <v>42.2</v>
      </c>
      <c r="V111" s="113">
        <v>44.2</v>
      </c>
      <c r="W111" s="113">
        <v>53.1</v>
      </c>
      <c r="X111" s="113">
        <v>51.8</v>
      </c>
      <c r="Y111" s="113">
        <v>52.6</v>
      </c>
      <c r="Z111" s="113">
        <v>52.7</v>
      </c>
      <c r="AA111" s="113">
        <v>31.6</v>
      </c>
      <c r="AB111" s="113">
        <v>39</v>
      </c>
      <c r="AC111" s="113">
        <v>40.200000000000003</v>
      </c>
      <c r="AD111" s="113">
        <v>40.200000000000003</v>
      </c>
      <c r="AE111" s="113">
        <v>55</v>
      </c>
      <c r="AF111" s="113">
        <v>32</v>
      </c>
      <c r="AG111" s="114">
        <v>75</v>
      </c>
      <c r="AH111" s="47">
        <f t="shared" si="8"/>
        <v>55</v>
      </c>
      <c r="AI111" s="48">
        <f t="shared" si="9"/>
        <v>12.5</v>
      </c>
    </row>
    <row r="112" spans="1:37" x14ac:dyDescent="0.25">
      <c r="A112" s="103" t="s">
        <v>118</v>
      </c>
      <c r="B112" s="115">
        <v>29</v>
      </c>
      <c r="C112" s="115">
        <v>34.700000000000003</v>
      </c>
      <c r="D112" s="115">
        <v>36.200000000000003</v>
      </c>
      <c r="E112" s="115">
        <v>32.299999999999997</v>
      </c>
      <c r="F112" s="115">
        <v>51</v>
      </c>
      <c r="G112" s="115">
        <v>52.7</v>
      </c>
      <c r="H112" s="115">
        <v>50.9</v>
      </c>
      <c r="I112" s="115">
        <v>55.7</v>
      </c>
      <c r="J112" s="115">
        <v>78.3</v>
      </c>
      <c r="K112" s="115">
        <v>58.5</v>
      </c>
      <c r="L112" s="115">
        <v>58.5</v>
      </c>
      <c r="M112" s="115">
        <v>60.9</v>
      </c>
      <c r="N112" s="115">
        <v>74.599999999999994</v>
      </c>
      <c r="O112" s="115">
        <v>65.099999999999994</v>
      </c>
      <c r="P112" s="115">
        <v>58.1</v>
      </c>
      <c r="Q112" s="115">
        <v>63</v>
      </c>
      <c r="R112" s="115">
        <v>70.3</v>
      </c>
      <c r="S112" s="115">
        <v>61.6</v>
      </c>
      <c r="T112" s="115">
        <v>72.099999999999994</v>
      </c>
      <c r="U112" s="115">
        <v>70.900000000000006</v>
      </c>
      <c r="V112" s="115">
        <v>71.8</v>
      </c>
      <c r="W112" s="115">
        <v>84.5</v>
      </c>
      <c r="X112" s="115">
        <v>80</v>
      </c>
      <c r="Y112" s="115">
        <v>76.099999999999994</v>
      </c>
      <c r="Z112" s="115">
        <v>76</v>
      </c>
      <c r="AA112" s="115">
        <v>42.8</v>
      </c>
      <c r="AB112" s="115">
        <v>55</v>
      </c>
      <c r="AC112" s="115">
        <v>60.9</v>
      </c>
      <c r="AD112" s="115">
        <v>60.9</v>
      </c>
      <c r="AE112" s="115">
        <v>35</v>
      </c>
      <c r="AF112" s="115">
        <v>16</v>
      </c>
      <c r="AG112" s="114">
        <v>240</v>
      </c>
      <c r="AH112" s="47">
        <f t="shared" si="8"/>
        <v>84.5</v>
      </c>
      <c r="AI112" s="48">
        <f t="shared" si="9"/>
        <v>16</v>
      </c>
    </row>
    <row r="113" spans="1:37" x14ac:dyDescent="0.25">
      <c r="A113" s="103" t="s">
        <v>119</v>
      </c>
      <c r="B113" s="115">
        <v>-104</v>
      </c>
      <c r="C113" s="115">
        <v>-120</v>
      </c>
      <c r="D113" s="115">
        <v>-120</v>
      </c>
      <c r="E113" s="115">
        <v>-120.9</v>
      </c>
      <c r="F113" s="115">
        <v>-90</v>
      </c>
      <c r="G113" s="115">
        <v>-88.6</v>
      </c>
      <c r="H113" s="115">
        <v>-67</v>
      </c>
      <c r="I113" s="115">
        <v>-54</v>
      </c>
      <c r="J113" s="115">
        <v>-109</v>
      </c>
      <c r="K113" s="115">
        <v>-78</v>
      </c>
      <c r="L113" s="115">
        <v>-78.8</v>
      </c>
      <c r="M113" s="115">
        <v>-72.8</v>
      </c>
      <c r="N113" s="115">
        <v>-87</v>
      </c>
      <c r="O113" s="115">
        <v>-95</v>
      </c>
      <c r="P113" s="115">
        <v>-93</v>
      </c>
      <c r="Q113" s="115">
        <f>-43.6-46.6</f>
        <v>-90.2</v>
      </c>
      <c r="R113" s="115">
        <v>-94</v>
      </c>
      <c r="S113" s="115">
        <v>-92</v>
      </c>
      <c r="T113" s="115">
        <f>-48.8-53.6</f>
        <v>-102.4</v>
      </c>
      <c r="U113" s="115">
        <v>-98</v>
      </c>
      <c r="V113" s="115">
        <v>-97</v>
      </c>
      <c r="W113" s="115">
        <v>-98</v>
      </c>
      <c r="X113" s="115">
        <v>-84</v>
      </c>
      <c r="Y113" s="115">
        <v>-82</v>
      </c>
      <c r="Z113" s="115">
        <v>-78</v>
      </c>
      <c r="AA113" s="115">
        <v>-23</v>
      </c>
      <c r="AB113" s="115">
        <f>-59.6-31</f>
        <v>-90.6</v>
      </c>
      <c r="AC113" s="115">
        <f>-65.2-32.6</f>
        <v>-97.800000000000011</v>
      </c>
      <c r="AD113" s="115">
        <f>-65.2-32.6</f>
        <v>-97.800000000000011</v>
      </c>
      <c r="AE113" s="115">
        <v>-60</v>
      </c>
      <c r="AF113" s="115">
        <v>-70</v>
      </c>
      <c r="AG113" s="114">
        <v>240</v>
      </c>
      <c r="AH113" s="47">
        <f t="shared" si="8"/>
        <v>-23</v>
      </c>
      <c r="AI113" s="48">
        <f t="shared" si="9"/>
        <v>-120.9</v>
      </c>
    </row>
    <row r="114" spans="1:37" x14ac:dyDescent="0.25">
      <c r="A114" s="103" t="s">
        <v>120</v>
      </c>
      <c r="B114" s="115">
        <v>3.1</v>
      </c>
      <c r="C114" s="115">
        <v>-6.9</v>
      </c>
      <c r="D114" s="115">
        <v>-15</v>
      </c>
      <c r="E114" s="115">
        <v>15.5</v>
      </c>
      <c r="F114" s="115">
        <v>-9.5</v>
      </c>
      <c r="G114" s="115">
        <v>-10.6</v>
      </c>
      <c r="H114" s="115">
        <v>-7.8</v>
      </c>
      <c r="I114" s="115">
        <v>-5.2</v>
      </c>
      <c r="J114" s="115">
        <v>-11.8</v>
      </c>
      <c r="K114" s="115">
        <v>-5.9</v>
      </c>
      <c r="L114" s="115">
        <v>-5.3</v>
      </c>
      <c r="M114" s="115">
        <v>-2</v>
      </c>
      <c r="N114" s="115">
        <v>-4</v>
      </c>
      <c r="O114" s="115">
        <v>-4.9000000000000004</v>
      </c>
      <c r="P114" s="115">
        <v>-6</v>
      </c>
      <c r="Q114" s="115">
        <v>-6.7</v>
      </c>
      <c r="R114" s="115">
        <v>-7.2</v>
      </c>
      <c r="S114" s="115">
        <v>-8</v>
      </c>
      <c r="T114" s="115">
        <v>-8.1</v>
      </c>
      <c r="U114" s="115">
        <v>-9</v>
      </c>
      <c r="V114" s="115">
        <v>-2.4</v>
      </c>
      <c r="W114" s="115">
        <v>-4</v>
      </c>
      <c r="X114" s="115">
        <v>0.7</v>
      </c>
      <c r="Y114" s="115">
        <v>0.4</v>
      </c>
      <c r="Z114" s="115">
        <v>11</v>
      </c>
      <c r="AA114" s="115">
        <v>45.2</v>
      </c>
      <c r="AB114" s="115">
        <v>42.6</v>
      </c>
      <c r="AC114" s="115">
        <v>40.799999999999997</v>
      </c>
      <c r="AD114" s="115">
        <v>40.799999999999997</v>
      </c>
      <c r="AE114" s="115">
        <v>26</v>
      </c>
      <c r="AF114" s="115">
        <v>27</v>
      </c>
      <c r="AG114" s="114">
        <v>60</v>
      </c>
      <c r="AH114" s="47">
        <f t="shared" si="8"/>
        <v>45.2</v>
      </c>
      <c r="AI114" s="48">
        <f t="shared" si="9"/>
        <v>-15</v>
      </c>
    </row>
    <row r="115" spans="1:37" x14ac:dyDescent="0.25">
      <c r="A115" s="116" t="s">
        <v>121</v>
      </c>
      <c r="B115" s="117">
        <v>65.3</v>
      </c>
      <c r="C115" s="117">
        <v>57.1</v>
      </c>
      <c r="D115" s="117">
        <v>57</v>
      </c>
      <c r="E115" s="117">
        <v>59.2</v>
      </c>
      <c r="F115" s="117">
        <v>0</v>
      </c>
      <c r="G115" s="117">
        <v>0</v>
      </c>
      <c r="H115" s="117">
        <v>0</v>
      </c>
      <c r="I115" s="117">
        <v>0</v>
      </c>
      <c r="J115" s="117">
        <v>54.2</v>
      </c>
      <c r="K115" s="117">
        <v>66.5</v>
      </c>
      <c r="L115" s="117">
        <v>83</v>
      </c>
      <c r="M115" s="117">
        <v>80.5</v>
      </c>
      <c r="N115" s="117">
        <v>74.400000000000006</v>
      </c>
      <c r="O115" s="117">
        <v>77.8</v>
      </c>
      <c r="P115" s="117">
        <v>81.400000000000006</v>
      </c>
      <c r="Q115" s="117">
        <v>70.2</v>
      </c>
      <c r="R115" s="117">
        <v>72.5</v>
      </c>
      <c r="S115" s="117">
        <v>73</v>
      </c>
      <c r="T115" s="117">
        <v>61.6</v>
      </c>
      <c r="U115" s="117">
        <v>66.400000000000006</v>
      </c>
      <c r="V115" s="117">
        <v>65</v>
      </c>
      <c r="W115" s="117">
        <v>46</v>
      </c>
      <c r="X115" s="117">
        <v>45</v>
      </c>
      <c r="Y115" s="117">
        <v>58</v>
      </c>
      <c r="Z115" s="117">
        <v>76.400000000000006</v>
      </c>
      <c r="AA115" s="117">
        <v>89</v>
      </c>
      <c r="AB115" s="117">
        <v>71.900000000000006</v>
      </c>
      <c r="AC115" s="117">
        <v>54.8</v>
      </c>
      <c r="AD115" s="117">
        <v>54.8</v>
      </c>
      <c r="AE115" s="117">
        <v>0</v>
      </c>
      <c r="AF115" s="117">
        <v>0</v>
      </c>
      <c r="AG115" s="118">
        <v>120</v>
      </c>
      <c r="AH115" s="47">
        <f t="shared" si="8"/>
        <v>89</v>
      </c>
      <c r="AI115" s="48">
        <f t="shared" si="9"/>
        <v>0</v>
      </c>
    </row>
    <row r="116" spans="1:37" x14ac:dyDescent="0.25">
      <c r="A116" s="116" t="s">
        <v>122</v>
      </c>
      <c r="B116" s="117">
        <v>74.3</v>
      </c>
      <c r="C116" s="117">
        <v>71.599999999999994</v>
      </c>
      <c r="D116" s="117">
        <v>71</v>
      </c>
      <c r="E116" s="117">
        <v>81.5</v>
      </c>
      <c r="F116" s="117">
        <v>81.3</v>
      </c>
      <c r="G116" s="117">
        <v>86.2</v>
      </c>
      <c r="H116" s="117">
        <v>85</v>
      </c>
      <c r="I116" s="117">
        <v>89.5</v>
      </c>
      <c r="J116" s="117">
        <v>82</v>
      </c>
      <c r="K116" s="117">
        <v>76.099999999999994</v>
      </c>
      <c r="L116" s="117">
        <v>94.1</v>
      </c>
      <c r="M116" s="117">
        <v>81.599999999999994</v>
      </c>
      <c r="N116" s="117">
        <v>85.1</v>
      </c>
      <c r="O116" s="117">
        <v>85.1</v>
      </c>
      <c r="P116" s="117">
        <v>93.8</v>
      </c>
      <c r="Q116" s="117">
        <v>92.1</v>
      </c>
      <c r="R116" s="117">
        <v>98.2</v>
      </c>
      <c r="S116" s="117">
        <v>95</v>
      </c>
      <c r="T116" s="117">
        <v>88.8</v>
      </c>
      <c r="U116" s="117">
        <v>90</v>
      </c>
      <c r="V116" s="117">
        <v>93</v>
      </c>
      <c r="W116" s="117">
        <v>73</v>
      </c>
      <c r="X116" s="117">
        <v>62</v>
      </c>
      <c r="Y116" s="117">
        <v>71</v>
      </c>
      <c r="Z116" s="117">
        <v>80</v>
      </c>
      <c r="AA116" s="117">
        <v>60</v>
      </c>
      <c r="AB116" s="117">
        <v>57</v>
      </c>
      <c r="AC116" s="117">
        <v>49</v>
      </c>
      <c r="AD116" s="117">
        <v>49</v>
      </c>
      <c r="AE116" s="117">
        <v>70</v>
      </c>
      <c r="AF116" s="117">
        <v>74</v>
      </c>
      <c r="AG116" s="118"/>
      <c r="AH116" s="47">
        <f t="shared" si="8"/>
        <v>98.2</v>
      </c>
      <c r="AI116" s="48">
        <f t="shared" si="9"/>
        <v>49</v>
      </c>
    </row>
    <row r="117" spans="1:37" x14ac:dyDescent="0.25">
      <c r="A117" s="116" t="s">
        <v>123</v>
      </c>
      <c r="B117" s="117">
        <v>58</v>
      </c>
      <c r="C117" s="117">
        <v>54.3</v>
      </c>
      <c r="D117" s="117">
        <v>56</v>
      </c>
      <c r="E117" s="117">
        <v>58</v>
      </c>
      <c r="F117" s="117">
        <v>59</v>
      </c>
      <c r="G117" s="117">
        <v>57.8</v>
      </c>
      <c r="H117" s="117">
        <v>57.6</v>
      </c>
      <c r="I117" s="117">
        <v>52</v>
      </c>
      <c r="J117" s="117">
        <v>29.2</v>
      </c>
      <c r="K117" s="117">
        <v>47.5</v>
      </c>
      <c r="L117" s="117">
        <v>46</v>
      </c>
      <c r="M117" s="117">
        <v>46.8</v>
      </c>
      <c r="N117" s="117">
        <v>38</v>
      </c>
      <c r="O117" s="117">
        <v>37.299999999999997</v>
      </c>
      <c r="P117" s="117">
        <v>47.9</v>
      </c>
      <c r="Q117" s="117">
        <v>37.299999999999997</v>
      </c>
      <c r="R117" s="117">
        <v>37.299999999999997</v>
      </c>
      <c r="S117" s="117">
        <v>46.1</v>
      </c>
      <c r="T117" s="117">
        <v>27.9</v>
      </c>
      <c r="U117" s="117">
        <v>30</v>
      </c>
      <c r="V117" s="117">
        <v>32</v>
      </c>
      <c r="W117" s="117">
        <v>18</v>
      </c>
      <c r="X117" s="117">
        <v>21</v>
      </c>
      <c r="Y117" s="117">
        <v>26</v>
      </c>
      <c r="Z117" s="117">
        <v>31</v>
      </c>
      <c r="AA117" s="117">
        <v>49</v>
      </c>
      <c r="AB117" s="117">
        <v>42.1</v>
      </c>
      <c r="AC117" s="117">
        <v>40.4</v>
      </c>
      <c r="AD117" s="117">
        <v>40.4</v>
      </c>
      <c r="AE117" s="117">
        <v>58</v>
      </c>
      <c r="AF117" s="117">
        <v>75</v>
      </c>
      <c r="AG117" s="119"/>
      <c r="AH117" s="47">
        <f t="shared" si="8"/>
        <v>75</v>
      </c>
      <c r="AI117" s="48">
        <f t="shared" si="9"/>
        <v>18</v>
      </c>
    </row>
    <row r="118" spans="1:37" x14ac:dyDescent="0.25">
      <c r="A118" s="120" t="s">
        <v>124</v>
      </c>
      <c r="B118" s="106">
        <v>-27.6</v>
      </c>
      <c r="C118" s="106">
        <v>-25.7</v>
      </c>
      <c r="D118" s="106">
        <v>-25</v>
      </c>
      <c r="E118" s="106">
        <v>-17</v>
      </c>
      <c r="F118" s="106">
        <v>-18.600000000000001</v>
      </c>
      <c r="G118" s="106">
        <v>-10.6</v>
      </c>
      <c r="H118" s="106">
        <v>-14.77</v>
      </c>
      <c r="I118" s="106">
        <v>-10.7</v>
      </c>
      <c r="J118" s="106">
        <v>-15.5</v>
      </c>
      <c r="K118" s="106">
        <v>-20.9</v>
      </c>
      <c r="L118" s="106">
        <v>-21</v>
      </c>
      <c r="M118" s="106">
        <v>-25</v>
      </c>
      <c r="N118" s="106">
        <v>-25.5</v>
      </c>
      <c r="O118" s="106">
        <v>-24.7</v>
      </c>
      <c r="P118" s="106">
        <v>-34.200000000000003</v>
      </c>
      <c r="Q118" s="106">
        <v>-26.7</v>
      </c>
      <c r="R118" s="106">
        <v>-30.4</v>
      </c>
      <c r="S118" s="106">
        <v>-26</v>
      </c>
      <c r="T118" s="106">
        <v>-33.9</v>
      </c>
      <c r="U118" s="106">
        <v>-27</v>
      </c>
      <c r="V118" s="106">
        <v>-27</v>
      </c>
      <c r="W118" s="106">
        <v>-30</v>
      </c>
      <c r="X118" s="106">
        <v>-33</v>
      </c>
      <c r="Y118" s="106">
        <v>-33</v>
      </c>
      <c r="Z118" s="106">
        <v>-46</v>
      </c>
      <c r="AA118" s="106">
        <v>-52</v>
      </c>
      <c r="AB118" s="106">
        <v>-46.1</v>
      </c>
      <c r="AC118" s="106">
        <v>-48.9</v>
      </c>
      <c r="AD118" s="106">
        <v>-48.9</v>
      </c>
      <c r="AE118" s="106">
        <v>-40</v>
      </c>
      <c r="AF118" s="106">
        <v>-39</v>
      </c>
      <c r="AG118" s="119"/>
      <c r="AH118" s="47">
        <f t="shared" si="8"/>
        <v>-10.6</v>
      </c>
      <c r="AI118" s="48">
        <f t="shared" si="9"/>
        <v>-52</v>
      </c>
    </row>
    <row r="119" spans="1:37" x14ac:dyDescent="0.25">
      <c r="A119" s="175" t="s">
        <v>265</v>
      </c>
      <c r="B119" s="106">
        <v>95</v>
      </c>
      <c r="C119" s="106">
        <v>97.1</v>
      </c>
      <c r="D119" s="106">
        <v>90</v>
      </c>
      <c r="E119" s="106">
        <v>90</v>
      </c>
      <c r="F119" s="106">
        <v>60</v>
      </c>
      <c r="G119" s="106">
        <v>55.2</v>
      </c>
      <c r="H119" s="106">
        <v>28.2</v>
      </c>
      <c r="I119" s="106">
        <v>20.41</v>
      </c>
      <c r="J119" s="106">
        <v>76.8</v>
      </c>
      <c r="K119" s="106">
        <v>43</v>
      </c>
      <c r="L119" s="106">
        <v>37.700000000000003</v>
      </c>
      <c r="M119" s="106">
        <v>32.5</v>
      </c>
      <c r="N119" s="106">
        <v>45.4</v>
      </c>
      <c r="O119" s="106">
        <v>48.6</v>
      </c>
      <c r="P119" s="106">
        <v>48.1</v>
      </c>
      <c r="Q119" s="106">
        <v>50.7</v>
      </c>
      <c r="R119" s="106">
        <v>52.9</v>
      </c>
      <c r="S119" s="106">
        <v>48.4</v>
      </c>
      <c r="T119" s="106">
        <v>62.5</v>
      </c>
      <c r="U119" s="106">
        <v>57</v>
      </c>
      <c r="V119" s="106">
        <v>56</v>
      </c>
      <c r="W119" s="106">
        <v>57</v>
      </c>
      <c r="X119" s="106">
        <v>46</v>
      </c>
      <c r="Y119" s="106">
        <v>42</v>
      </c>
      <c r="Z119" s="106">
        <v>38</v>
      </c>
      <c r="AA119" s="106">
        <v>38</v>
      </c>
      <c r="AB119" s="106">
        <v>64.7</v>
      </c>
      <c r="AC119" s="106">
        <v>70.099999999999994</v>
      </c>
      <c r="AD119" s="106">
        <v>70.099999999999994</v>
      </c>
      <c r="AE119" s="106">
        <v>90</v>
      </c>
      <c r="AF119" s="106">
        <v>100</v>
      </c>
      <c r="AG119" s="119"/>
      <c r="AH119" s="47">
        <f t="shared" si="8"/>
        <v>100</v>
      </c>
      <c r="AI119" s="48">
        <f t="shared" si="9"/>
        <v>20.41</v>
      </c>
    </row>
    <row r="120" spans="1:37" ht="15.75" thickBot="1" x14ac:dyDescent="0.3">
      <c r="A120" s="120" t="s">
        <v>125</v>
      </c>
      <c r="B120" s="106">
        <v>116</v>
      </c>
      <c r="C120" s="106">
        <v>113</v>
      </c>
      <c r="D120" s="106">
        <v>109</v>
      </c>
      <c r="E120" s="106">
        <v>109</v>
      </c>
      <c r="F120" s="106">
        <v>96</v>
      </c>
      <c r="G120" s="106">
        <v>98</v>
      </c>
      <c r="H120" s="106">
        <v>100</v>
      </c>
      <c r="I120" s="106">
        <v>105</v>
      </c>
      <c r="J120" s="106">
        <v>110</v>
      </c>
      <c r="K120" s="106">
        <v>111.3</v>
      </c>
      <c r="L120" s="106">
        <v>116</v>
      </c>
      <c r="M120" s="106">
        <v>115</v>
      </c>
      <c r="N120" s="106">
        <v>114</v>
      </c>
      <c r="O120" s="106">
        <v>97.8</v>
      </c>
      <c r="P120" s="106">
        <v>97.2</v>
      </c>
      <c r="Q120" s="106">
        <v>74.8</v>
      </c>
      <c r="R120" s="106">
        <v>84.3</v>
      </c>
      <c r="S120" s="106">
        <v>89</v>
      </c>
      <c r="T120" s="106">
        <v>92.4</v>
      </c>
      <c r="U120" s="106">
        <v>97</v>
      </c>
      <c r="V120" s="106">
        <v>87</v>
      </c>
      <c r="W120" s="106"/>
      <c r="X120" s="106">
        <v>89</v>
      </c>
      <c r="Y120" s="106">
        <v>89</v>
      </c>
      <c r="Z120" s="106">
        <v>112</v>
      </c>
      <c r="AA120" s="106">
        <v>113</v>
      </c>
      <c r="AB120" s="106">
        <v>112</v>
      </c>
      <c r="AC120" s="106">
        <v>107</v>
      </c>
      <c r="AD120" s="106">
        <v>107</v>
      </c>
      <c r="AE120" s="106">
        <v>117</v>
      </c>
      <c r="AF120" s="106">
        <v>113</v>
      </c>
      <c r="AG120" s="119"/>
      <c r="AH120" s="47">
        <f t="shared" si="8"/>
        <v>117</v>
      </c>
      <c r="AI120" s="48">
        <f t="shared" si="9"/>
        <v>74.8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123.21900000000009</v>
      </c>
      <c r="N231" s="128">
        <f t="shared" ca="1" si="19"/>
        <v>123.21900000000009</v>
      </c>
      <c r="O231" s="128">
        <f t="shared" ca="1" si="19"/>
        <v>119.19900000000008</v>
      </c>
      <c r="P231" s="128">
        <f t="shared" ca="1" si="19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121.23900000000009</v>
      </c>
      <c r="M235" s="136">
        <f t="shared" ca="1" si="20"/>
        <v>121.23900000000009</v>
      </c>
      <c r="N235" s="136">
        <f t="shared" ca="1" si="20"/>
        <v>125.2590000000001</v>
      </c>
      <c r="O235" s="136">
        <f t="shared" ca="1" si="20"/>
        <v>121.23900000000009</v>
      </c>
      <c r="P235" s="136">
        <f t="shared" ca="1" si="20"/>
        <v>121.23900000000009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1680.14</v>
      </c>
      <c r="C244" s="161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20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2080/02/20)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2080/02/20)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1674.0400000000004</v>
      </c>
      <c r="U249" s="170">
        <f t="shared" si="21"/>
        <v>1642.3400000000001</v>
      </c>
      <c r="V249" s="170">
        <f t="shared" si="21"/>
        <v>1653.44</v>
      </c>
      <c r="W249" s="170">
        <f t="shared" si="21"/>
        <v>1586.4399999999998</v>
      </c>
      <c r="X249" s="170">
        <f t="shared" si="21"/>
        <v>1632.8400000000001</v>
      </c>
      <c r="Y249" s="170">
        <f t="shared" si="21"/>
        <v>1553.94</v>
      </c>
      <c r="Z249" s="170">
        <f t="shared" si="21"/>
        <v>1533.048</v>
      </c>
      <c r="AA249" s="170">
        <f t="shared" si="21"/>
        <v>1570.34</v>
      </c>
      <c r="AB249" s="170">
        <f t="shared" si="21"/>
        <v>1560.8400000000001</v>
      </c>
      <c r="AC249" s="170">
        <f t="shared" si="21"/>
        <v>1533.14</v>
      </c>
      <c r="AD249" s="170">
        <f t="shared" si="21"/>
        <v>1613.8400000000001</v>
      </c>
      <c r="AE249" s="170">
        <f t="shared" si="21"/>
        <v>1680.14</v>
      </c>
      <c r="AF249" s="170">
        <f t="shared" si="21"/>
        <v>1674.3400000000001</v>
      </c>
      <c r="AG249" s="170">
        <f t="shared" si="21"/>
        <v>1602.04</v>
      </c>
      <c r="AH249" s="170">
        <f t="shared" si="21"/>
        <v>1622.74</v>
      </c>
      <c r="AI249" s="170">
        <f t="shared" si="21"/>
        <v>1620.1399999999999</v>
      </c>
      <c r="AJ249" s="170">
        <f t="shared" si="21"/>
        <v>1630.6399999999999</v>
      </c>
      <c r="AK249" s="170">
        <f t="shared" si="21"/>
        <v>1669.44</v>
      </c>
      <c r="AL249" s="170">
        <f t="shared" si="21"/>
        <v>1623.2400000000002</v>
      </c>
      <c r="AM249" s="170">
        <f t="shared" si="21"/>
        <v>1630.94</v>
      </c>
      <c r="AN249" s="170">
        <f t="shared" si="21"/>
        <v>1620.3400000000001</v>
      </c>
      <c r="AO249" s="170">
        <f t="shared" si="21"/>
        <v>1569.3400000000001</v>
      </c>
      <c r="AP249" s="170">
        <f t="shared" si="21"/>
        <v>1562.3400000000001</v>
      </c>
      <c r="AQ249" s="170">
        <f t="shared" si="21"/>
        <v>1583.94</v>
      </c>
      <c r="AR249" s="170">
        <f t="shared" si="21"/>
        <v>1666.54</v>
      </c>
      <c r="AS249" s="170">
        <f t="shared" si="21"/>
        <v>1935.94</v>
      </c>
      <c r="AT249" s="170">
        <f t="shared" si="21"/>
        <v>1952.14</v>
      </c>
      <c r="AU249" s="170">
        <f t="shared" si="21"/>
        <v>1896.3400000000004</v>
      </c>
      <c r="AV249" s="170">
        <f t="shared" si="21"/>
        <v>1839.4400000000003</v>
      </c>
      <c r="AW249" s="170">
        <f t="shared" si="21"/>
        <v>1792.24</v>
      </c>
      <c r="AX249" s="170">
        <f t="shared" si="21"/>
        <v>1665.24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2:AF12 B14:AF17">
    <cfRule type="expression" dxfId="6167" priority="409">
      <formula>B$9&gt;=20/24</formula>
    </cfRule>
    <cfRule type="expression" dxfId="6166" priority="410">
      <formula>AND(B$9&gt;=14/24,B$9&lt;20/24)</formula>
    </cfRule>
    <cfRule type="expression" dxfId="6165" priority="411">
      <formula>AND(B$9&gt;=8/24,B$9&lt;14/24)</formula>
    </cfRule>
    <cfRule type="expression" dxfId="6164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G67 B12:AF12 B14:AF17">
    <cfRule type="expression" dxfId="6163" priority="407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6162" priority="406">
      <formula>$AH12=0</formula>
    </cfRule>
  </conditionalFormatting>
  <conditionalFormatting sqref="A116">
    <cfRule type="expression" dxfId="6161" priority="405">
      <formula>$AH116=0</formula>
    </cfRule>
  </conditionalFormatting>
  <conditionalFormatting sqref="AL44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6160" priority="403">
      <formula>$AH47=0</formula>
    </cfRule>
  </conditionalFormatting>
  <conditionalFormatting sqref="A100">
    <cfRule type="expression" dxfId="6159" priority="402">
      <formula>$AH100=0</formula>
    </cfRule>
  </conditionalFormatting>
  <conditionalFormatting sqref="A20">
    <cfRule type="expression" dxfId="6158" priority="401">
      <formula>$AH20=0</formula>
    </cfRule>
  </conditionalFormatting>
  <conditionalFormatting sqref="A199:A204">
    <cfRule type="expression" dxfId="6157" priority="400">
      <formula>$AH199=0</formula>
    </cfRule>
  </conditionalFormatting>
  <conditionalFormatting sqref="A193:A198">
    <cfRule type="expression" dxfId="6156" priority="399">
      <formula>$AH193=0</formula>
    </cfRule>
  </conditionalFormatting>
  <conditionalFormatting sqref="A60">
    <cfRule type="expression" dxfId="6155" priority="398">
      <formula>$AH60=0</formula>
    </cfRule>
  </conditionalFormatting>
  <conditionalFormatting sqref="A96">
    <cfRule type="expression" dxfId="6154" priority="397">
      <formula>$AH96=0</formula>
    </cfRule>
  </conditionalFormatting>
  <conditionalFormatting sqref="AD101:AF101 E101:Y101">
    <cfRule type="expression" dxfId="6153" priority="393">
      <formula>E$9&gt;=20/24</formula>
    </cfRule>
    <cfRule type="expression" dxfId="6152" priority="394">
      <formula>AND(E$9&gt;=14/24,E$9&lt;20/24)</formula>
    </cfRule>
    <cfRule type="expression" dxfId="6151" priority="395">
      <formula>AND(E$9&gt;=8/24,E$9&lt;14/24)</formula>
    </cfRule>
    <cfRule type="expression" dxfId="6150" priority="396">
      <formula>E$9&lt;8/24</formula>
    </cfRule>
  </conditionalFormatting>
  <conditionalFormatting sqref="AL45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149" priority="415">
      <formula>C$9&gt;=20/24</formula>
    </cfRule>
    <cfRule type="expression" dxfId="6148" priority="416">
      <formula>AND(C$9&gt;=14/24,C$9&lt;20/24)</formula>
    </cfRule>
    <cfRule type="expression" dxfId="6147" priority="417">
      <formula>AND(C$9&gt;=8/24,C$9&lt;14/24)</formula>
    </cfRule>
    <cfRule type="expression" dxfId="6146" priority="418">
      <formula>C$9&lt;8/24</formula>
    </cfRule>
  </conditionalFormatting>
  <conditionalFormatting sqref="A236">
    <cfRule type="expression" dxfId="6145" priority="419">
      <formula>$AH236=0</formula>
    </cfRule>
  </conditionalFormatting>
  <conditionalFormatting sqref="AG248">
    <cfRule type="expression" dxfId="6144" priority="420">
      <formula>B$9&gt;=20/24</formula>
    </cfRule>
    <cfRule type="expression" dxfId="6143" priority="421">
      <formula>AND(B$9&gt;=14/24,B$9&lt;20/24)</formula>
    </cfRule>
    <cfRule type="expression" dxfId="6142" priority="422">
      <formula>AND(B$9&gt;=8/24,B$9&lt;14/24)</formula>
    </cfRule>
    <cfRule type="expression" dxfId="6141" priority="423">
      <formula>B$9&lt;8/24</formula>
    </cfRule>
  </conditionalFormatting>
  <conditionalFormatting sqref="S8">
    <cfRule type="expression" dxfId="6140" priority="388">
      <formula>U$9&gt;=20/24</formula>
    </cfRule>
    <cfRule type="expression" dxfId="6139" priority="389">
      <formula>AND(U$9&gt;=14/24,U$9&lt;20/24)</formula>
    </cfRule>
    <cfRule type="expression" dxfId="6138" priority="390">
      <formula>AND(U$9&gt;=8/24,U$9&lt;14/24)</formula>
    </cfRule>
    <cfRule type="expression" dxfId="6137" priority="391">
      <formula>U$9&lt;8/24</formula>
    </cfRule>
  </conditionalFormatting>
  <conditionalFormatting sqref="AB8">
    <cfRule type="expression" dxfId="6136" priority="384">
      <formula>AD$9&gt;=20/24</formula>
    </cfRule>
    <cfRule type="expression" dxfId="6135" priority="385">
      <formula>AND(AD$9&gt;=14/24,AD$9&lt;20/24)</formula>
    </cfRule>
    <cfRule type="expression" dxfId="6134" priority="386">
      <formula>AND(AD$9&gt;=8/24,AD$9&lt;14/24)</formula>
    </cfRule>
    <cfRule type="expression" dxfId="6133" priority="387">
      <formula>AD$9&lt;8/24</formula>
    </cfRule>
  </conditionalFormatting>
  <conditionalFormatting sqref="AH248:AX248">
    <cfRule type="expression" dxfId="6132" priority="424">
      <formula>AG$9&gt;=20/24</formula>
    </cfRule>
    <cfRule type="expression" dxfId="6131" priority="425">
      <formula>AND(AG$9&gt;=14/24,AG$9&lt;20/24)</formula>
    </cfRule>
    <cfRule type="expression" dxfId="6130" priority="426">
      <formula>AND(AG$9&gt;=8/24,AG$9&lt;14/24)</formula>
    </cfRule>
    <cfRule type="expression" dxfId="6129" priority="427">
      <formula>AG$9&lt;8/24</formula>
    </cfRule>
  </conditionalFormatting>
  <conditionalFormatting sqref="T248">
    <cfRule type="expression" dxfId="6128" priority="428">
      <formula>AX$9&gt;=20/24</formula>
    </cfRule>
    <cfRule type="expression" dxfId="6127" priority="429">
      <formula>AND(AX$9&gt;=14/24,AX$9&lt;20/24)</formula>
    </cfRule>
    <cfRule type="expression" dxfId="6126" priority="430">
      <formula>AND(AX$9&gt;=8/24,AX$9&lt;14/24)</formula>
    </cfRule>
    <cfRule type="expression" dxfId="6125" priority="431">
      <formula>AX$9&lt;8/24</formula>
    </cfRule>
  </conditionalFormatting>
  <conditionalFormatting sqref="A117:A119">
    <cfRule type="expression" dxfId="6124" priority="383">
      <formula>$AH117=0</formula>
    </cfRule>
  </conditionalFormatting>
  <conditionalFormatting sqref="AF73 N56:Q57 P58:Q59 R56:S59 E73:AD73 AD56:AF59">
    <cfRule type="expression" dxfId="6123" priority="379">
      <formula>E$9&gt;=20/24</formula>
    </cfRule>
    <cfRule type="expression" dxfId="6122" priority="380">
      <formula>AND(E$9&gt;=14/24,E$9&lt;20/24)</formula>
    </cfRule>
    <cfRule type="expression" dxfId="6121" priority="381">
      <formula>AND(E$9&gt;=8/24,E$9&lt;14/24)</formula>
    </cfRule>
    <cfRule type="expression" dxfId="6120" priority="382">
      <formula>E$9&lt;8/24</formula>
    </cfRule>
  </conditionalFormatting>
  <conditionalFormatting sqref="AD55 M55:S55">
    <cfRule type="expression" dxfId="6119" priority="375">
      <formula>M$9&gt;=20/24</formula>
    </cfRule>
    <cfRule type="expression" dxfId="6118" priority="376">
      <formula>AND(M$9&gt;=14/24,M$9&lt;20/24)</formula>
    </cfRule>
    <cfRule type="expression" dxfId="6117" priority="377">
      <formula>AND(M$9&gt;=8/24,M$9&lt;14/24)</formula>
    </cfRule>
    <cfRule type="expression" dxfId="6116" priority="378">
      <formula>M$9&lt;8/24</formula>
    </cfRule>
  </conditionalFormatting>
  <conditionalFormatting sqref="AD55:AD59 M55:Q55 N56:Q57 P58:Q59 R55:S59 AE56:AF59">
    <cfRule type="expression" dxfId="6115" priority="374">
      <formula>M55&gt;$AG55</formula>
    </cfRule>
  </conditionalFormatting>
  <conditionalFormatting sqref="D88:AF88 X98:AF98 O102:Y108 X49:AF49 AF74:AF75 E74:AD75 AA69:AF71">
    <cfRule type="expression" dxfId="6114" priority="370">
      <formula>D$9&gt;=20/24</formula>
    </cfRule>
    <cfRule type="expression" dxfId="6113" priority="371">
      <formula>AND(D$9&gt;=14/24,D$9&lt;20/24)</formula>
    </cfRule>
    <cfRule type="expression" dxfId="6112" priority="372">
      <formula>AND(D$9&gt;=8/24,D$9&lt;14/24)</formula>
    </cfRule>
    <cfRule type="expression" dxfId="6111" priority="373">
      <formula>D$9&lt;8/24</formula>
    </cfRule>
  </conditionalFormatting>
  <conditionalFormatting sqref="X49:AF49 AA69:AF71">
    <cfRule type="expression" dxfId="6110" priority="369">
      <formula>X49&gt;$AG49</formula>
    </cfRule>
  </conditionalFormatting>
  <conditionalFormatting sqref="T55:Z59 AA55:AC60">
    <cfRule type="expression" dxfId="6109" priority="365">
      <formula>T$9&gt;=20/24</formula>
    </cfRule>
    <cfRule type="expression" dxfId="6108" priority="366">
      <formula>AND(T$9&gt;=14/24,T$9&lt;20/24)</formula>
    </cfRule>
    <cfRule type="expression" dxfId="6107" priority="367">
      <formula>AND(T$9&gt;=8/24,T$9&lt;14/24)</formula>
    </cfRule>
    <cfRule type="expression" dxfId="6106" priority="368">
      <formula>T$9&lt;8/24</formula>
    </cfRule>
  </conditionalFormatting>
  <conditionalFormatting sqref="T55:Z59 AA55:AC60">
    <cfRule type="expression" dxfId="6105" priority="364">
      <formula>T55&gt;$AG55</formula>
    </cfRule>
  </conditionalFormatting>
  <conditionalFormatting sqref="C99:AF99 D90:AF90">
    <cfRule type="expression" dxfId="6104" priority="360">
      <formula>C$9&gt;=20/24</formula>
    </cfRule>
    <cfRule type="expression" dxfId="6103" priority="361">
      <formula>AND(C$9&gt;=14/24,C$9&lt;20/24)</formula>
    </cfRule>
    <cfRule type="expression" dxfId="6102" priority="362">
      <formula>AND(C$9&gt;=8/24,C$9&lt;14/24)</formula>
    </cfRule>
    <cfRule type="expression" dxfId="6101" priority="363">
      <formula>C$9&lt;8/24</formula>
    </cfRule>
  </conditionalFormatting>
  <conditionalFormatting sqref="T49:W49">
    <cfRule type="expression" dxfId="6100" priority="356">
      <formula>T$9&gt;=20/24</formula>
    </cfRule>
    <cfRule type="expression" dxfId="6099" priority="357">
      <formula>AND(T$9&gt;=14/24,T$9&lt;20/24)</formula>
    </cfRule>
    <cfRule type="expression" dxfId="6098" priority="358">
      <formula>AND(T$9&gt;=8/24,T$9&lt;14/24)</formula>
    </cfRule>
    <cfRule type="expression" dxfId="6097" priority="359">
      <formula>T$9&lt;8/24</formula>
    </cfRule>
  </conditionalFormatting>
  <conditionalFormatting sqref="T49:W49">
    <cfRule type="expression" dxfId="6096" priority="355">
      <formula>T49&gt;$AG49</formula>
    </cfRule>
  </conditionalFormatting>
  <conditionalFormatting sqref="E56:M57">
    <cfRule type="expression" dxfId="6095" priority="351">
      <formula>E$9&gt;=20/24</formula>
    </cfRule>
    <cfRule type="expression" dxfId="6094" priority="352">
      <formula>AND(E$9&gt;=14/24,E$9&lt;20/24)</formula>
    </cfRule>
    <cfRule type="expression" dxfId="6093" priority="353">
      <formula>AND(E$9&gt;=8/24,E$9&lt;14/24)</formula>
    </cfRule>
    <cfRule type="expression" dxfId="6092" priority="354">
      <formula>E$9&lt;8/24</formula>
    </cfRule>
  </conditionalFormatting>
  <conditionalFormatting sqref="E55:L55">
    <cfRule type="expression" dxfId="6091" priority="347">
      <formula>E$9&gt;=20/24</formula>
    </cfRule>
    <cfRule type="expression" dxfId="6090" priority="348">
      <formula>AND(E$9&gt;=14/24,E$9&lt;20/24)</formula>
    </cfRule>
    <cfRule type="expression" dxfId="6089" priority="349">
      <formula>AND(E$9&gt;=8/24,E$9&lt;14/24)</formula>
    </cfRule>
    <cfRule type="expression" dxfId="6088" priority="350">
      <formula>E$9&lt;8/24</formula>
    </cfRule>
  </conditionalFormatting>
  <conditionalFormatting sqref="E55:L57 M56:M57">
    <cfRule type="expression" dxfId="6087" priority="346">
      <formula>E55&gt;$AG55</formula>
    </cfRule>
  </conditionalFormatting>
  <conditionalFormatting sqref="AG72 AG89 E102:N108">
    <cfRule type="expression" dxfId="6086" priority="342">
      <formula>E$9&gt;=20/24</formula>
    </cfRule>
    <cfRule type="expression" dxfId="6085" priority="343">
      <formula>AND(E$9&gt;=14/24,E$9&lt;20/24)</formula>
    </cfRule>
    <cfRule type="expression" dxfId="6084" priority="344">
      <formula>AND(E$9&gt;=8/24,E$9&lt;14/24)</formula>
    </cfRule>
    <cfRule type="expression" dxfId="6083" priority="345">
      <formula>E$9&lt;8/24</formula>
    </cfRule>
  </conditionalFormatting>
  <conditionalFormatting sqref="AG50 AG68 AG72">
    <cfRule type="expression" dxfId="6082" priority="341">
      <formula>AG50&gt;$AG50</formula>
    </cfRule>
  </conditionalFormatting>
  <conditionalFormatting sqref="AD60:AF60">
    <cfRule type="expression" dxfId="6081" priority="337">
      <formula>AD$9&gt;=20/24</formula>
    </cfRule>
    <cfRule type="expression" dxfId="6080" priority="338">
      <formula>AND(AD$9&gt;=14/24,AD$9&lt;20/24)</formula>
    </cfRule>
    <cfRule type="expression" dxfId="6079" priority="339">
      <formula>AND(AD$9&gt;=8/24,AD$9&lt;14/24)</formula>
    </cfRule>
    <cfRule type="expression" dxfId="6078" priority="340">
      <formula>AD$9&lt;8/24</formula>
    </cfRule>
  </conditionalFormatting>
  <conditionalFormatting sqref="AD60:AF60">
    <cfRule type="expression" dxfId="6077" priority="336">
      <formula>AD60&gt;$AG60</formula>
    </cfRule>
  </conditionalFormatting>
  <conditionalFormatting sqref="A45">
    <cfRule type="expression" dxfId="6076" priority="335">
      <formula>$AH45=0</formula>
    </cfRule>
  </conditionalFormatting>
  <conditionalFormatting sqref="X93:AF97">
    <cfRule type="expression" dxfId="6075" priority="331">
      <formula>X$9&gt;=20/24</formula>
    </cfRule>
    <cfRule type="expression" dxfId="6074" priority="332">
      <formula>AND(X$9&gt;=14/24,X$9&lt;20/24)</formula>
    </cfRule>
    <cfRule type="expression" dxfId="6073" priority="333">
      <formula>AND(X$9&gt;=8/24,X$9&lt;14/24)</formula>
    </cfRule>
    <cfRule type="expression" dxfId="6072" priority="334">
      <formula>X$9&lt;8/24</formula>
    </cfRule>
  </conditionalFormatting>
  <conditionalFormatting sqref="AL47 AL43 AL24:AL34 AL40:AL41 AL19:AL22 AL36:AL38 AL7:AL17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F51:AF53">
    <cfRule type="expression" dxfId="6071" priority="327">
      <formula>F$9&gt;=20/24</formula>
    </cfRule>
    <cfRule type="expression" dxfId="6070" priority="328">
      <formula>AND(F$9&gt;=14/24,F$9&lt;20/24)</formula>
    </cfRule>
    <cfRule type="expression" dxfId="6069" priority="329">
      <formula>AND(F$9&gt;=8/24,F$9&lt;14/24)</formula>
    </cfRule>
    <cfRule type="expression" dxfId="6068" priority="330">
      <formula>F$9&lt;8/24</formula>
    </cfRule>
  </conditionalFormatting>
  <conditionalFormatting sqref="F51:AF53">
    <cfRule type="expression" dxfId="6067" priority="326">
      <formula>F51&gt;$AG51</formula>
    </cfRule>
  </conditionalFormatting>
  <conditionalFormatting sqref="AG54">
    <cfRule type="expression" dxfId="6066" priority="322">
      <formula>AG$9&gt;=20/24</formula>
    </cfRule>
    <cfRule type="expression" dxfId="6065" priority="323">
      <formula>AND(AG$9&gt;=14/24,AG$9&lt;20/24)</formula>
    </cfRule>
    <cfRule type="expression" dxfId="6064" priority="324">
      <formula>AND(AG$9&gt;=8/24,AG$9&lt;14/24)</formula>
    </cfRule>
    <cfRule type="expression" dxfId="6063" priority="325">
      <formula>AG$9&lt;8/24</formula>
    </cfRule>
  </conditionalFormatting>
  <conditionalFormatting sqref="AG54">
    <cfRule type="expression" dxfId="6062" priority="321">
      <formula>AG54&gt;$AG54</formula>
    </cfRule>
  </conditionalFormatting>
  <conditionalFormatting sqref="C109:AF109">
    <cfRule type="expression" dxfId="6061" priority="317">
      <formula>C$9&gt;=20/24</formula>
    </cfRule>
    <cfRule type="expression" dxfId="6060" priority="318">
      <formula>AND(C$9&gt;=14/24,C$9&lt;20/24)</formula>
    </cfRule>
    <cfRule type="expression" dxfId="6059" priority="319">
      <formula>AND(C$9&gt;=8/24,C$9&lt;14/24)</formula>
    </cfRule>
    <cfRule type="expression" dxfId="6058" priority="320">
      <formula>C$9&lt;8/24</formula>
    </cfRule>
  </conditionalFormatting>
  <conditionalFormatting sqref="AL42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6057" priority="315">
      <formula>$AH42=0</formula>
    </cfRule>
  </conditionalFormatting>
  <conditionalFormatting sqref="A92">
    <cfRule type="expression" dxfId="6056" priority="313">
      <formula>$AH92=0</formula>
    </cfRule>
  </conditionalFormatting>
  <conditionalFormatting sqref="A89">
    <cfRule type="expression" dxfId="6055" priority="314">
      <formula>$AH89=0</formula>
    </cfRule>
  </conditionalFormatting>
  <conditionalFormatting sqref="D112:AF112">
    <cfRule type="expression" dxfId="6054" priority="309">
      <formula>D$9&gt;=20/24</formula>
    </cfRule>
    <cfRule type="expression" dxfId="6053" priority="310">
      <formula>AND(D$9&gt;=14/24,D$9&lt;20/24)</formula>
    </cfRule>
    <cfRule type="expression" dxfId="6052" priority="311">
      <formula>AND(D$9&gt;=8/24,D$9&lt;14/24)</formula>
    </cfRule>
    <cfRule type="expression" dxfId="6051" priority="312">
      <formula>D$9&lt;8/24</formula>
    </cfRule>
  </conditionalFormatting>
  <conditionalFormatting sqref="A112">
    <cfRule type="expression" dxfId="6050" priority="308">
      <formula>$AH112=0</formula>
    </cfRule>
  </conditionalFormatting>
  <conditionalFormatting sqref="A23">
    <cfRule type="expression" dxfId="6049" priority="306">
      <formula>$AH23=0</formula>
    </cfRule>
  </conditionalFormatting>
  <conditionalFormatting sqref="AL2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6048" priority="304">
      <formula>$AH39=0</formula>
    </cfRule>
  </conditionalFormatting>
  <conditionalFormatting sqref="AL39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6047" priority="300">
      <formula>Z$9&gt;=20/24</formula>
    </cfRule>
    <cfRule type="expression" dxfId="6046" priority="301">
      <formula>AND(Z$9&gt;=14/24,Z$9&lt;20/24)</formula>
    </cfRule>
    <cfRule type="expression" dxfId="6045" priority="302">
      <formula>AND(Z$9&gt;=8/24,Z$9&lt;14/24)</formula>
    </cfRule>
    <cfRule type="expression" dxfId="6044" priority="303">
      <formula>Z$9&lt;8/24</formula>
    </cfRule>
  </conditionalFormatting>
  <conditionalFormatting sqref="Z102:AF108">
    <cfRule type="expression" dxfId="6043" priority="296">
      <formula>Z$9&gt;=20/24</formula>
    </cfRule>
    <cfRule type="expression" dxfId="6042" priority="297">
      <formula>AND(Z$9&gt;=14/24,Z$9&lt;20/24)</formula>
    </cfRule>
    <cfRule type="expression" dxfId="6041" priority="298">
      <formula>AND(Z$9&gt;=8/24,Z$9&lt;14/24)</formula>
    </cfRule>
    <cfRule type="expression" dxfId="6040" priority="299">
      <formula>Z$9&lt;8/24</formula>
    </cfRule>
  </conditionalFormatting>
  <conditionalFormatting sqref="C111 C113:C119">
    <cfRule type="expression" dxfId="6039" priority="292">
      <formula>C$9&gt;=20/24</formula>
    </cfRule>
    <cfRule type="expression" dxfId="6038" priority="293">
      <formula>AND(C$9&gt;=14/24,C$9&lt;20/24)</formula>
    </cfRule>
    <cfRule type="expression" dxfId="6037" priority="294">
      <formula>AND(C$9&gt;=8/24,C$9&lt;14/24)</formula>
    </cfRule>
    <cfRule type="expression" dxfId="6036" priority="295">
      <formula>C$9&lt;8/24</formula>
    </cfRule>
  </conditionalFormatting>
  <conditionalFormatting sqref="F49:S49">
    <cfRule type="expression" dxfId="6035" priority="288">
      <formula>F$9&gt;=20/24</formula>
    </cfRule>
    <cfRule type="expression" dxfId="6034" priority="289">
      <formula>AND(F$9&gt;=14/24,F$9&lt;20/24)</formula>
    </cfRule>
    <cfRule type="expression" dxfId="6033" priority="290">
      <formula>AND(F$9&gt;=8/24,F$9&lt;14/24)</formula>
    </cfRule>
    <cfRule type="expression" dxfId="6032" priority="291">
      <formula>F$9&lt;8/24</formula>
    </cfRule>
  </conditionalFormatting>
  <conditionalFormatting sqref="F49:S49">
    <cfRule type="expression" dxfId="6031" priority="287">
      <formula>F49&gt;$AG49</formula>
    </cfRule>
  </conditionalFormatting>
  <conditionalFormatting sqref="C101:D101">
    <cfRule type="expression" dxfId="6030" priority="283">
      <formula>C$9&gt;=20/24</formula>
    </cfRule>
    <cfRule type="expression" dxfId="6029" priority="284">
      <formula>AND(C$9&gt;=14/24,C$9&lt;20/24)</formula>
    </cfRule>
    <cfRule type="expression" dxfId="6028" priority="285">
      <formula>AND(C$9&gt;=8/24,C$9&lt;14/24)</formula>
    </cfRule>
    <cfRule type="expression" dxfId="6027" priority="286">
      <formula>C$9&lt;8/24</formula>
    </cfRule>
  </conditionalFormatting>
  <conditionalFormatting sqref="C88 C98:W98 C85:AF87 D102:D108 Q79:Q83 N69:Z71 E76:AF78">
    <cfRule type="expression" dxfId="6026" priority="279">
      <formula>C$9&gt;=20/24</formula>
    </cfRule>
    <cfRule type="expression" dxfId="6025" priority="280">
      <formula>AND(C$9&gt;=14/24,C$9&lt;20/24)</formula>
    </cfRule>
    <cfRule type="expression" dxfId="6024" priority="281">
      <formula>AND(C$9&gt;=8/24,C$9&lt;14/24)</formula>
    </cfRule>
    <cfRule type="expression" dxfId="6023" priority="282">
      <formula>C$9&lt;8/24</formula>
    </cfRule>
  </conditionalFormatting>
  <conditionalFormatting sqref="E58:I58 F59:I59 J58:O59 N69:Z71">
    <cfRule type="expression" dxfId="6022" priority="278">
      <formula>E58&gt;$AG58</formula>
    </cfRule>
  </conditionalFormatting>
  <conditionalFormatting sqref="C89:AF89 C91:AF91 C100:AF100 C72:AF72">
    <cfRule type="expression" dxfId="6021" priority="274">
      <formula>C$9&gt;=20/24</formula>
    </cfRule>
    <cfRule type="expression" dxfId="6020" priority="275">
      <formula>AND(C$9&gt;=14/24,C$9&lt;20/24)</formula>
    </cfRule>
    <cfRule type="expression" dxfId="6019" priority="276">
      <formula>AND(C$9&gt;=8/24,C$9&lt;14/24)</formula>
    </cfRule>
    <cfRule type="expression" dxfId="6018" priority="277">
      <formula>C$9&lt;8/24</formula>
    </cfRule>
  </conditionalFormatting>
  <conditionalFormatting sqref="C72:AF72 D67:AF68">
    <cfRule type="expression" dxfId="6017" priority="273">
      <formula>C67&gt;$AG67</formula>
    </cfRule>
  </conditionalFormatting>
  <conditionalFormatting sqref="C84:AF84">
    <cfRule type="expression" dxfId="6016" priority="269">
      <formula>C$9&gt;=20/24</formula>
    </cfRule>
    <cfRule type="expression" dxfId="6015" priority="270">
      <formula>AND(C$9&gt;=14/24,C$9&lt;20/24)</formula>
    </cfRule>
    <cfRule type="expression" dxfId="6014" priority="271">
      <formula>AND(C$9&gt;=8/24,C$9&lt;14/24)</formula>
    </cfRule>
    <cfRule type="expression" dxfId="6013" priority="272">
      <formula>C$9&lt;8/24</formula>
    </cfRule>
  </conditionalFormatting>
  <conditionalFormatting sqref="C93:W97">
    <cfRule type="expression" dxfId="6012" priority="265">
      <formula>C$9&gt;=20/24</formula>
    </cfRule>
    <cfRule type="expression" dxfId="6011" priority="266">
      <formula>AND(C$9&gt;=14/24,C$9&lt;20/24)</formula>
    </cfRule>
    <cfRule type="expression" dxfId="6010" priority="267">
      <formula>AND(C$9&gt;=8/24,C$9&lt;14/24)</formula>
    </cfRule>
    <cfRule type="expression" dxfId="6009" priority="268">
      <formula>C$9&lt;8/24</formula>
    </cfRule>
  </conditionalFormatting>
  <conditionalFormatting sqref="D54:AF54">
    <cfRule type="expression" dxfId="6008" priority="261">
      <formula>D$9&gt;=20/24</formula>
    </cfRule>
    <cfRule type="expression" dxfId="6007" priority="262">
      <formula>AND(D$9&gt;=14/24,D$9&lt;20/24)</formula>
    </cfRule>
    <cfRule type="expression" dxfId="6006" priority="263">
      <formula>AND(D$9&gt;=8/24,D$9&lt;14/24)</formula>
    </cfRule>
    <cfRule type="expression" dxfId="6005" priority="264">
      <formula>D$9&lt;8/24</formula>
    </cfRule>
  </conditionalFormatting>
  <conditionalFormatting sqref="D54:AF54">
    <cfRule type="expression" dxfId="6004" priority="260">
      <formula>D54&gt;$AG54</formula>
    </cfRule>
  </conditionalFormatting>
  <conditionalFormatting sqref="C112">
    <cfRule type="expression" dxfId="6003" priority="252">
      <formula>C$9&gt;=20/24</formula>
    </cfRule>
    <cfRule type="expression" dxfId="6002" priority="253">
      <formula>AND(C$9&gt;=14/24,C$9&lt;20/24)</formula>
    </cfRule>
    <cfRule type="expression" dxfId="6001" priority="254">
      <formula>AND(C$9&gt;=8/24,C$9&lt;14/24)</formula>
    </cfRule>
    <cfRule type="expression" dxfId="6000" priority="255">
      <formula>C$9&lt;8/24</formula>
    </cfRule>
  </conditionalFormatting>
  <conditionalFormatting sqref="AA61:AF66">
    <cfRule type="expression" dxfId="5999" priority="248">
      <formula>AA$9&gt;=20/24</formula>
    </cfRule>
    <cfRule type="expression" dxfId="5998" priority="249">
      <formula>AND(AA$9&gt;=14/24,AA$9&lt;20/24)</formula>
    </cfRule>
    <cfRule type="expression" dxfId="5997" priority="250">
      <formula>AND(AA$9&gt;=8/24,AA$9&lt;14/24)</formula>
    </cfRule>
    <cfRule type="expression" dxfId="5996" priority="251">
      <formula>AA$9&lt;8/24</formula>
    </cfRule>
  </conditionalFormatting>
  <conditionalFormatting sqref="AA61:AF66">
    <cfRule type="expression" dxfId="5995" priority="247">
      <formula>AA61&gt;$AG61</formula>
    </cfRule>
  </conditionalFormatting>
  <conditionalFormatting sqref="B79:P79 E80:P83 R79:AF83">
    <cfRule type="expression" dxfId="5994" priority="233">
      <formula>B$9&gt;=20/24</formula>
    </cfRule>
    <cfRule type="expression" dxfId="5993" priority="234">
      <formula>AND(B$9&gt;=14/24,B$9&lt;20/24)</formula>
    </cfRule>
    <cfRule type="expression" dxfId="5992" priority="235">
      <formula>AND(B$9&gt;=8/24,B$9&lt;14/24)</formula>
    </cfRule>
    <cfRule type="expression" dxfId="5991" priority="236">
      <formula>B$9&lt;8/24</formula>
    </cfRule>
  </conditionalFormatting>
  <conditionalFormatting sqref="AL80:AN80 AL86:AN86 AN81:AN82">
    <cfRule type="expression" dxfId="5990" priority="229">
      <formula>AL$9&gt;=20/24</formula>
    </cfRule>
    <cfRule type="expression" dxfId="5989" priority="230">
      <formula>AND(AL$9&gt;=14/24,AL$9&lt;20/24)</formula>
    </cfRule>
    <cfRule type="expression" dxfId="5988" priority="231">
      <formula>AND(AL$9&gt;=8/24,AL$9&lt;14/24)</formula>
    </cfRule>
    <cfRule type="expression" dxfId="5987" priority="232">
      <formula>AL$9&lt;8/24</formula>
    </cfRule>
  </conditionalFormatting>
  <conditionalFormatting sqref="AN83:AN84">
    <cfRule type="expression" dxfId="5986" priority="225">
      <formula>AN$9&gt;=20/24</formula>
    </cfRule>
    <cfRule type="expression" dxfId="5985" priority="226">
      <formula>AND(AN$9&gt;=14/24,AN$9&lt;20/24)</formula>
    </cfRule>
    <cfRule type="expression" dxfId="5984" priority="227">
      <formula>AND(AN$9&gt;=8/24,AN$9&lt;14/24)</formula>
    </cfRule>
    <cfRule type="expression" dxfId="5983" priority="228">
      <formula>AN$9&lt;8/24</formula>
    </cfRule>
  </conditionalFormatting>
  <conditionalFormatting sqref="AL81:AM85">
    <cfRule type="expression" dxfId="5982" priority="433">
      <formula>AJ$9&gt;=20/24</formula>
    </cfRule>
    <cfRule type="expression" dxfId="5981" priority="434">
      <formula>AND(AJ$9&gt;=14/24,AJ$9&lt;20/24)</formula>
    </cfRule>
    <cfRule type="expression" dxfId="5980" priority="435">
      <formula>AND(AJ$9&gt;=8/24,AJ$9&lt;14/24)</formula>
    </cfRule>
    <cfRule type="expression" dxfId="5979" priority="436">
      <formula>AJ$9&lt;8/24</formula>
    </cfRule>
  </conditionalFormatting>
  <conditionalFormatting sqref="A120">
    <cfRule type="expression" dxfId="5978" priority="224">
      <formula>$AH120=0</formula>
    </cfRule>
  </conditionalFormatting>
  <conditionalFormatting sqref="C102:C108 D69:M71">
    <cfRule type="expression" dxfId="5977" priority="211">
      <formula>C$9&gt;=20/24</formula>
    </cfRule>
    <cfRule type="expression" dxfId="5976" priority="212">
      <formula>AND(C$9&gt;=14/24,C$9&lt;20/24)</formula>
    </cfRule>
    <cfRule type="expression" dxfId="5975" priority="213">
      <formula>AND(C$9&gt;=8/24,C$9&lt;14/24)</formula>
    </cfRule>
    <cfRule type="expression" dxfId="5974" priority="214">
      <formula>C$9&lt;8/24</formula>
    </cfRule>
  </conditionalFormatting>
  <conditionalFormatting sqref="D69:M71">
    <cfRule type="expression" dxfId="5973" priority="210">
      <formula>D69&gt;$AG69</formula>
    </cfRule>
  </conditionalFormatting>
  <conditionalFormatting sqref="C90">
    <cfRule type="expression" dxfId="5972" priority="206">
      <formula>C$9&gt;=20/24</formula>
    </cfRule>
    <cfRule type="expression" dxfId="5971" priority="207">
      <formula>AND(C$9&gt;=14/24,C$9&lt;20/24)</formula>
    </cfRule>
    <cfRule type="expression" dxfId="5970" priority="208">
      <formula>AND(C$9&gt;=8/24,C$9&lt;14/24)</formula>
    </cfRule>
    <cfRule type="expression" dxfId="5969" priority="209">
      <formula>C$9&lt;8/24</formula>
    </cfRule>
  </conditionalFormatting>
  <conditionalFormatting sqref="P60:Z60">
    <cfRule type="expression" dxfId="5968" priority="197">
      <formula>P$9&gt;=20/24</formula>
    </cfRule>
    <cfRule type="expression" dxfId="5967" priority="198">
      <formula>AND(P$9&gt;=14/24,P$9&lt;20/24)</formula>
    </cfRule>
    <cfRule type="expression" dxfId="5966" priority="199">
      <formula>AND(P$9&gt;=8/24,P$9&lt;14/24)</formula>
    </cfRule>
    <cfRule type="expression" dxfId="5965" priority="200">
      <formula>P$9&lt;8/24</formula>
    </cfRule>
  </conditionalFormatting>
  <conditionalFormatting sqref="P60:Z60">
    <cfRule type="expression" dxfId="5964" priority="196">
      <formula>P60&gt;$AG60</formula>
    </cfRule>
  </conditionalFormatting>
  <conditionalFormatting sqref="B88 B98 B102:B108 B69:C71 B74:D76 B49:E49">
    <cfRule type="expression" dxfId="5963" priority="126">
      <formula>B$9&gt;=20/24</formula>
    </cfRule>
    <cfRule type="expression" dxfId="5962" priority="127">
      <formula>AND(B$9&gt;=14/24,B$9&lt;20/24)</formula>
    </cfRule>
    <cfRule type="expression" dxfId="5961" priority="128">
      <formula>AND(B$9&gt;=8/24,B$9&lt;14/24)</formula>
    </cfRule>
    <cfRule type="expression" dxfId="5960" priority="129">
      <formula>B$9&lt;8/24</formula>
    </cfRule>
  </conditionalFormatting>
  <conditionalFormatting sqref="B60:O60">
    <cfRule type="expression" dxfId="5959" priority="117">
      <formula>B$9&gt;=20/24</formula>
    </cfRule>
    <cfRule type="expression" dxfId="5958" priority="118">
      <formula>AND(B$9&gt;=14/24,B$9&lt;20/24)</formula>
    </cfRule>
    <cfRule type="expression" dxfId="5957" priority="119">
      <formula>AND(B$9&gt;=8/24,B$9&lt;14/24)</formula>
    </cfRule>
    <cfRule type="expression" dxfId="5956" priority="120">
      <formula>B$9&lt;8/24</formula>
    </cfRule>
  </conditionalFormatting>
  <conditionalFormatting sqref="E50:AF50">
    <cfRule type="expression" dxfId="5955" priority="191">
      <formula>E50&gt;$AG50</formula>
    </cfRule>
  </conditionalFormatting>
  <conditionalFormatting sqref="P61:Z66">
    <cfRule type="expression" dxfId="5954" priority="187">
      <formula>P$9&gt;=20/24</formula>
    </cfRule>
    <cfRule type="expression" dxfId="5953" priority="188">
      <formula>AND(P$9&gt;=14/24,P$9&lt;20/24)</formula>
    </cfRule>
    <cfRule type="expression" dxfId="5952" priority="189">
      <formula>AND(P$9&gt;=8/24,P$9&lt;14/24)</formula>
    </cfRule>
    <cfRule type="expression" dxfId="5951" priority="190">
      <formula>P$9&lt;8/24</formula>
    </cfRule>
  </conditionalFormatting>
  <conditionalFormatting sqref="P61:Z66">
    <cfRule type="expression" dxfId="5950" priority="186">
      <formula>P61&gt;$AG61</formula>
    </cfRule>
  </conditionalFormatting>
  <conditionalFormatting sqref="A11">
    <cfRule type="expression" dxfId="5949" priority="181">
      <formula>$AH11=0</formula>
    </cfRule>
  </conditionalFormatting>
  <conditionalFormatting sqref="A18">
    <cfRule type="expression" dxfId="5948" priority="174">
      <formula>$AH18=0</formula>
    </cfRule>
  </conditionalFormatting>
  <conditionalFormatting sqref="AL1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947" priority="167">
      <formula>$AH35=0</formula>
    </cfRule>
  </conditionalFormatting>
  <conditionalFormatting sqref="AL3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46">
    <cfRule type="expression" dxfId="5946" priority="160">
      <formula>$AH46=0</formula>
    </cfRule>
  </conditionalFormatting>
  <conditionalFormatting sqref="AL4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B120">
    <cfRule type="expression" dxfId="5945" priority="27">
      <formula>B$9&gt;=20/24</formula>
    </cfRule>
    <cfRule type="expression" dxfId="5944" priority="28">
      <formula>AND(B$9&gt;=14/24,B$9&lt;20/24)</formula>
    </cfRule>
    <cfRule type="expression" dxfId="5943" priority="29">
      <formula>AND(B$9&gt;=8/24,B$9&lt;14/24)</formula>
    </cfRule>
    <cfRule type="expression" dxfId="5942" priority="30">
      <formula>B$9&lt;8/24</formula>
    </cfRule>
  </conditionalFormatting>
  <conditionalFormatting sqref="D120:AF120">
    <cfRule type="expression" dxfId="5941" priority="151">
      <formula>D$9&gt;=20/24</formula>
    </cfRule>
    <cfRule type="expression" dxfId="5940" priority="152">
      <formula>AND(D$9&gt;=14/24,D$9&lt;20/24)</formula>
    </cfRule>
    <cfRule type="expression" dxfId="5939" priority="153">
      <formula>AND(D$9&gt;=8/24,D$9&lt;14/24)</formula>
    </cfRule>
    <cfRule type="expression" dxfId="5938" priority="154">
      <formula>D$9&lt;8/24</formula>
    </cfRule>
  </conditionalFormatting>
  <conditionalFormatting sqref="C120">
    <cfRule type="expression" dxfId="5937" priority="147">
      <formula>C$9&gt;=20/24</formula>
    </cfRule>
    <cfRule type="expression" dxfId="5936" priority="148">
      <formula>AND(C$9&gt;=14/24,C$9&lt;20/24)</formula>
    </cfRule>
    <cfRule type="expression" dxfId="5935" priority="149">
      <formula>AND(C$9&gt;=8/24,C$9&lt;14/24)</formula>
    </cfRule>
    <cfRule type="expression" dxfId="5934" priority="150">
      <formula>C$9&lt;8/24</formula>
    </cfRule>
  </conditionalFormatting>
  <conditionalFormatting sqref="B111 B113:B119">
    <cfRule type="expression" dxfId="5933" priority="143">
      <formula>B$9&gt;=20/24</formula>
    </cfRule>
    <cfRule type="expression" dxfId="5932" priority="144">
      <formula>AND(B$9&gt;=14/24,B$9&lt;20/24)</formula>
    </cfRule>
    <cfRule type="expression" dxfId="5931" priority="145">
      <formula>AND(B$9&gt;=8/24,B$9&lt;14/24)</formula>
    </cfRule>
    <cfRule type="expression" dxfId="5930" priority="146">
      <formula>B$9&lt;8/24</formula>
    </cfRule>
  </conditionalFormatting>
  <conditionalFormatting sqref="B101">
    <cfRule type="expression" dxfId="5929" priority="139">
      <formula>B$9&gt;=20/24</formula>
    </cfRule>
    <cfRule type="expression" dxfId="5928" priority="140">
      <formula>AND(B$9&gt;=14/24,B$9&lt;20/24)</formula>
    </cfRule>
    <cfRule type="expression" dxfId="5927" priority="141">
      <formula>AND(B$9&gt;=8/24,B$9&lt;14/24)</formula>
    </cfRule>
    <cfRule type="expression" dxfId="5926" priority="142">
      <formula>B$9&lt;8/24</formula>
    </cfRule>
  </conditionalFormatting>
  <conditionalFormatting sqref="B56:D59 B73:D73 E59">
    <cfRule type="expression" dxfId="5925" priority="135">
      <formula>B$9&gt;=20/24</formula>
    </cfRule>
    <cfRule type="expression" dxfId="5924" priority="136">
      <formula>AND(B$9&gt;=14/24,B$9&lt;20/24)</formula>
    </cfRule>
    <cfRule type="expression" dxfId="5923" priority="137">
      <formula>AND(B$9&gt;=8/24,B$9&lt;14/24)</formula>
    </cfRule>
    <cfRule type="expression" dxfId="5922" priority="138">
      <formula>B$9&lt;8/24</formula>
    </cfRule>
  </conditionalFormatting>
  <conditionalFormatting sqref="B55:D55">
    <cfRule type="expression" dxfId="5921" priority="131">
      <formula>B$9&gt;=20/24</formula>
    </cfRule>
    <cfRule type="expression" dxfId="5920" priority="132">
      <formula>AND(B$9&gt;=14/24,B$9&lt;20/24)</formula>
    </cfRule>
    <cfRule type="expression" dxfId="5919" priority="133">
      <formula>AND(B$9&gt;=8/24,B$9&lt;14/24)</formula>
    </cfRule>
    <cfRule type="expression" dxfId="5918" priority="134">
      <formula>B$9&lt;8/24</formula>
    </cfRule>
  </conditionalFormatting>
  <conditionalFormatting sqref="B55:D59 E59">
    <cfRule type="expression" dxfId="5917" priority="130">
      <formula>B55&gt;$AG55</formula>
    </cfRule>
  </conditionalFormatting>
  <conditionalFormatting sqref="B69:C71 B49:E49">
    <cfRule type="expression" dxfId="5916" priority="125">
      <formula>B49&gt;$AG49</formula>
    </cfRule>
  </conditionalFormatting>
  <conditionalFormatting sqref="B99 B90">
    <cfRule type="expression" dxfId="5915" priority="121">
      <formula>B$9&gt;=20/24</formula>
    </cfRule>
    <cfRule type="expression" dxfId="5914" priority="122">
      <formula>AND(B$9&gt;=14/24,B$9&lt;20/24)</formula>
    </cfRule>
    <cfRule type="expression" dxfId="5913" priority="123">
      <formula>AND(B$9&gt;=8/24,B$9&lt;14/24)</formula>
    </cfRule>
    <cfRule type="expression" dxfId="5912" priority="124">
      <formula>B$9&lt;8/24</formula>
    </cfRule>
  </conditionalFormatting>
  <conditionalFormatting sqref="B60:O60">
    <cfRule type="expression" dxfId="5911" priority="116">
      <formula>B60&gt;$AG60</formula>
    </cfRule>
  </conditionalFormatting>
  <conditionalFormatting sqref="B93:B97">
    <cfRule type="expression" dxfId="5910" priority="112">
      <formula>B$9&gt;=20/24</formula>
    </cfRule>
    <cfRule type="expression" dxfId="5909" priority="113">
      <formula>AND(B$9&gt;=14/24,B$9&lt;20/24)</formula>
    </cfRule>
    <cfRule type="expression" dxfId="5908" priority="114">
      <formula>AND(B$9&gt;=8/24,B$9&lt;14/24)</formula>
    </cfRule>
    <cfRule type="expression" dxfId="5907" priority="115">
      <formula>B$9&lt;8/24</formula>
    </cfRule>
  </conditionalFormatting>
  <conditionalFormatting sqref="B51:E53">
    <cfRule type="expression" dxfId="5906" priority="108">
      <formula>B$9&gt;=20/24</formula>
    </cfRule>
    <cfRule type="expression" dxfId="5905" priority="109">
      <formula>AND(B$9&gt;=14/24,B$9&lt;20/24)</formula>
    </cfRule>
    <cfRule type="expression" dxfId="5904" priority="110">
      <formula>AND(B$9&gt;=8/24,B$9&lt;14/24)</formula>
    </cfRule>
    <cfRule type="expression" dxfId="5903" priority="111">
      <formula>B$9&lt;8/24</formula>
    </cfRule>
  </conditionalFormatting>
  <conditionalFormatting sqref="B51:E53">
    <cfRule type="expression" dxfId="5902" priority="107">
      <formula>B51&gt;$AG51</formula>
    </cfRule>
  </conditionalFormatting>
  <conditionalFormatting sqref="B109">
    <cfRule type="expression" dxfId="5901" priority="103">
      <formula>B$9&gt;=20/24</formula>
    </cfRule>
    <cfRule type="expression" dxfId="5900" priority="104">
      <formula>AND(B$9&gt;=14/24,B$9&lt;20/24)</formula>
    </cfRule>
    <cfRule type="expression" dxfId="5899" priority="105">
      <formula>AND(B$9&gt;=8/24,B$9&lt;14/24)</formula>
    </cfRule>
    <cfRule type="expression" dxfId="5898" priority="106">
      <formula>B$9&lt;8/24</formula>
    </cfRule>
  </conditionalFormatting>
  <conditionalFormatting sqref="B112">
    <cfRule type="expression" dxfId="5897" priority="99">
      <formula>B$9&gt;=20/24</formula>
    </cfRule>
    <cfRule type="expression" dxfId="5896" priority="100">
      <formula>AND(B$9&gt;=14/24,B$9&lt;20/24)</formula>
    </cfRule>
    <cfRule type="expression" dxfId="5895" priority="101">
      <formula>AND(B$9&gt;=8/24,B$9&lt;14/24)</formula>
    </cfRule>
    <cfRule type="expression" dxfId="5894" priority="102">
      <formula>B$9&lt;8/24</formula>
    </cfRule>
  </conditionalFormatting>
  <conditionalFormatting sqref="B19:AF34 B36:AF45">
    <cfRule type="expression" dxfId="5893" priority="95">
      <formula>B$9&gt;=20/24</formula>
    </cfRule>
    <cfRule type="expression" dxfId="5892" priority="96">
      <formula>AND(B$9&gt;=14/24,B$9&lt;20/24)</formula>
    </cfRule>
    <cfRule type="expression" dxfId="5891" priority="97">
      <formula>AND(B$9&gt;=8/24,B$9&lt;14/24)</formula>
    </cfRule>
    <cfRule type="expression" dxfId="5890" priority="98">
      <formula>B$9&lt;8/24</formula>
    </cfRule>
  </conditionalFormatting>
  <conditionalFormatting sqref="B19:AF34 B36:AF45">
    <cfRule type="expression" dxfId="5889" priority="94">
      <formula>B19&gt;$AG19</formula>
    </cfRule>
  </conditionalFormatting>
  <conditionalFormatting sqref="B85:B87 B77:D78 B80:D83">
    <cfRule type="expression" dxfId="5888" priority="90">
      <formula>B$9&gt;=20/24</formula>
    </cfRule>
    <cfRule type="expression" dxfId="5887" priority="91">
      <formula>AND(B$9&gt;=14/24,B$9&lt;20/24)</formula>
    </cfRule>
    <cfRule type="expression" dxfId="5886" priority="92">
      <formula>AND(B$9&gt;=8/24,B$9&lt;14/24)</formula>
    </cfRule>
    <cfRule type="expression" dxfId="5885" priority="93">
      <formula>B$9&lt;8/24</formula>
    </cfRule>
  </conditionalFormatting>
  <conditionalFormatting sqref="B89 B91 B100 B72">
    <cfRule type="expression" dxfId="5884" priority="86">
      <formula>B$9&gt;=20/24</formula>
    </cfRule>
    <cfRule type="expression" dxfId="5883" priority="87">
      <formula>AND(B$9&gt;=14/24,B$9&lt;20/24)</formula>
    </cfRule>
    <cfRule type="expression" dxfId="5882" priority="88">
      <formula>AND(B$9&gt;=8/24,B$9&lt;14/24)</formula>
    </cfRule>
    <cfRule type="expression" dxfId="5881" priority="89">
      <formula>B$9&lt;8/24</formula>
    </cfRule>
  </conditionalFormatting>
  <conditionalFormatting sqref="B72 B67:C68">
    <cfRule type="expression" dxfId="5880" priority="85">
      <formula>B67&gt;$AG67</formula>
    </cfRule>
  </conditionalFormatting>
  <conditionalFormatting sqref="B84">
    <cfRule type="expression" dxfId="5879" priority="81">
      <formula>B$9&gt;=20/24</formula>
    </cfRule>
    <cfRule type="expression" dxfId="5878" priority="82">
      <formula>AND(B$9&gt;=14/24,B$9&lt;20/24)</formula>
    </cfRule>
    <cfRule type="expression" dxfId="5877" priority="83">
      <formula>AND(B$9&gt;=8/24,B$9&lt;14/24)</formula>
    </cfRule>
    <cfRule type="expression" dxfId="5876" priority="84">
      <formula>B$9&lt;8/24</formula>
    </cfRule>
  </conditionalFormatting>
  <conditionalFormatting sqref="B54:C54">
    <cfRule type="expression" dxfId="5875" priority="77">
      <formula>B$9&gt;=20/24</formula>
    </cfRule>
    <cfRule type="expression" dxfId="5874" priority="78">
      <formula>AND(B$9&gt;=14/24,B$9&lt;20/24)</formula>
    </cfRule>
    <cfRule type="expression" dxfId="5873" priority="79">
      <formula>AND(B$9&gt;=8/24,B$9&lt;14/24)</formula>
    </cfRule>
    <cfRule type="expression" dxfId="5872" priority="80">
      <formula>B$9&lt;8/24</formula>
    </cfRule>
  </conditionalFormatting>
  <conditionalFormatting sqref="B54:C54">
    <cfRule type="expression" dxfId="5871" priority="76">
      <formula>B54&gt;$AG54</formula>
    </cfRule>
  </conditionalFormatting>
  <conditionalFormatting sqref="B61:O66">
    <cfRule type="expression" dxfId="5870" priority="68">
      <formula>B$9&gt;=20/24</formula>
    </cfRule>
    <cfRule type="expression" dxfId="5869" priority="69">
      <formula>AND(B$9&gt;=14/24,B$9&lt;20/24)</formula>
    </cfRule>
    <cfRule type="expression" dxfId="5868" priority="70">
      <formula>AND(B$9&gt;=8/24,B$9&lt;14/24)</formula>
    </cfRule>
    <cfRule type="expression" dxfId="5867" priority="71">
      <formula>B$9&lt;8/24</formula>
    </cfRule>
  </conditionalFormatting>
  <conditionalFormatting sqref="B61:O66">
    <cfRule type="expression" dxfId="5866" priority="67">
      <formula>B61&gt;$AG61</formula>
    </cfRule>
  </conditionalFormatting>
  <conditionalFormatting sqref="B47:AF47">
    <cfRule type="expression" dxfId="5865" priority="66">
      <formula>B47&gt;$AG47</formula>
    </cfRule>
  </conditionalFormatting>
  <conditionalFormatting sqref="B13:AF13">
    <cfRule type="expression" dxfId="5864" priority="62">
      <formula>B$9&gt;=20/24</formula>
    </cfRule>
    <cfRule type="expression" dxfId="5863" priority="63">
      <formula>AND(B$9&gt;=14/24,B$9&lt;20/24)</formula>
    </cfRule>
    <cfRule type="expression" dxfId="5862" priority="64">
      <formula>AND(B$9&gt;=8/24,B$9&lt;14/24)</formula>
    </cfRule>
    <cfRule type="expression" dxfId="5861" priority="65">
      <formula>B$9&lt;8/24</formula>
    </cfRule>
  </conditionalFormatting>
  <conditionalFormatting sqref="B13:AF13">
    <cfRule type="expression" dxfId="5860" priority="61">
      <formula>B13&gt;$AG13</formula>
    </cfRule>
  </conditionalFormatting>
  <conditionalFormatting sqref="B47:AF47">
    <cfRule type="expression" dxfId="5859" priority="57">
      <formula>B$9&gt;=20/24</formula>
    </cfRule>
    <cfRule type="expression" dxfId="5858" priority="58">
      <formula>AND(B$9&gt;=14/24,B$9&lt;20/24)</formula>
    </cfRule>
    <cfRule type="expression" dxfId="5857" priority="59">
      <formula>AND(B$9&gt;=8/24,B$9&lt;14/24)</formula>
    </cfRule>
    <cfRule type="expression" dxfId="5856" priority="60">
      <formula>B$9&lt;8/24</formula>
    </cfRule>
  </conditionalFormatting>
  <conditionalFormatting sqref="B48:AF48">
    <cfRule type="expression" dxfId="5855" priority="53">
      <formula>B$9&gt;=20/24</formula>
    </cfRule>
    <cfRule type="expression" dxfId="5854" priority="54">
      <formula>AND(B$9&gt;=14/24,B$9&lt;20/24)</formula>
    </cfRule>
    <cfRule type="expression" dxfId="5853" priority="55">
      <formula>AND(B$9&gt;=8/24,B$9&lt;14/24)</formula>
    </cfRule>
    <cfRule type="expression" dxfId="5852" priority="56">
      <formula>B$9&lt;8/24</formula>
    </cfRule>
  </conditionalFormatting>
  <conditionalFormatting sqref="B48:AF48">
    <cfRule type="expression" dxfId="5851" priority="52">
      <formula>B48&gt;$AG48</formula>
    </cfRule>
  </conditionalFormatting>
  <conditionalFormatting sqref="B50:D50">
    <cfRule type="expression" dxfId="5850" priority="51">
      <formula>B50&gt;$AG50</formula>
    </cfRule>
  </conditionalFormatting>
  <conditionalFormatting sqref="B11:AF11">
    <cfRule type="expression" dxfId="5849" priority="47">
      <formula>B$9&gt;=20/24</formula>
    </cfRule>
    <cfRule type="expression" dxfId="5848" priority="48">
      <formula>AND(B$9&gt;=14/24,B$9&lt;20/24)</formula>
    </cfRule>
    <cfRule type="expression" dxfId="5847" priority="49">
      <formula>AND(B$9&gt;=8/24,B$9&lt;14/24)</formula>
    </cfRule>
    <cfRule type="expression" dxfId="5846" priority="50">
      <formula>B$9&lt;8/24</formula>
    </cfRule>
  </conditionalFormatting>
  <conditionalFormatting sqref="B11:AF11">
    <cfRule type="expression" dxfId="5845" priority="46">
      <formula>B11&gt;$AG11</formula>
    </cfRule>
  </conditionalFormatting>
  <conditionalFormatting sqref="B18:AF18">
    <cfRule type="expression" dxfId="5844" priority="42">
      <formula>B$9&gt;=20/24</formula>
    </cfRule>
    <cfRule type="expression" dxfId="5843" priority="43">
      <formula>AND(B$9&gt;=14/24,B$9&lt;20/24)</formula>
    </cfRule>
    <cfRule type="expression" dxfId="5842" priority="44">
      <formula>AND(B$9&gt;=8/24,B$9&lt;14/24)</formula>
    </cfRule>
    <cfRule type="expression" dxfId="5841" priority="45">
      <formula>B$9&lt;8/24</formula>
    </cfRule>
  </conditionalFormatting>
  <conditionalFormatting sqref="B18:AF18">
    <cfRule type="expression" dxfId="5840" priority="41">
      <formula>B18&gt;$AG18</formula>
    </cfRule>
  </conditionalFormatting>
  <conditionalFormatting sqref="B35:AF35">
    <cfRule type="expression" dxfId="5839" priority="37">
      <formula>B$9&gt;=20/24</formula>
    </cfRule>
    <cfRule type="expression" dxfId="5838" priority="38">
      <formula>AND(B$9&gt;=14/24,B$9&lt;20/24)</formula>
    </cfRule>
    <cfRule type="expression" dxfId="5837" priority="39">
      <formula>AND(B$9&gt;=8/24,B$9&lt;14/24)</formula>
    </cfRule>
    <cfRule type="expression" dxfId="5836" priority="40">
      <formula>B$9&lt;8/24</formula>
    </cfRule>
  </conditionalFormatting>
  <conditionalFormatting sqref="B35:AF35">
    <cfRule type="expression" dxfId="5835" priority="36">
      <formula>B35&gt;$AG35</formula>
    </cfRule>
  </conditionalFormatting>
  <conditionalFormatting sqref="B46:AF46">
    <cfRule type="expression" dxfId="5834" priority="35">
      <formula>B46&gt;$AG46</formula>
    </cfRule>
  </conditionalFormatting>
  <conditionalFormatting sqref="B46:AF46">
    <cfRule type="expression" dxfId="5833" priority="31">
      <formula>B$9&gt;=20/24</formula>
    </cfRule>
    <cfRule type="expression" dxfId="5832" priority="32">
      <formula>AND(B$9&gt;=14/24,B$9&lt;20/24)</formula>
    </cfRule>
    <cfRule type="expression" dxfId="5831" priority="33">
      <formula>AND(B$9&gt;=8/24,B$9&lt;14/24)</formula>
    </cfRule>
    <cfRule type="expression" dxfId="5830" priority="34">
      <formula>B$9&lt;8/24</formula>
    </cfRule>
  </conditionalFormatting>
  <conditionalFormatting sqref="AE55:AF55">
    <cfRule type="expression" dxfId="5829" priority="23">
      <formula>AE$9&gt;=20/24</formula>
    </cfRule>
    <cfRule type="expression" dxfId="5828" priority="24">
      <formula>AND(AE$9&gt;=14/24,AE$9&lt;20/24)</formula>
    </cfRule>
    <cfRule type="expression" dxfId="5827" priority="25">
      <formula>AND(AE$9&gt;=8/24,AE$9&lt;14/24)</formula>
    </cfRule>
    <cfRule type="expression" dxfId="5826" priority="26">
      <formula>AE$9&lt;8/24</formula>
    </cfRule>
  </conditionalFormatting>
  <conditionalFormatting sqref="AE55:AF55">
    <cfRule type="expression" dxfId="5825" priority="22">
      <formula>AE55&gt;$AG55</formula>
    </cfRule>
  </conditionalFormatting>
  <conditionalFormatting sqref="AE73">
    <cfRule type="expression" dxfId="5824" priority="13">
      <formula>AE$9&gt;=20/24</formula>
    </cfRule>
    <cfRule type="expression" dxfId="5823" priority="14">
      <formula>AND(AE$9&gt;=14/24,AE$9&lt;20/24)</formula>
    </cfRule>
    <cfRule type="expression" dxfId="5822" priority="15">
      <formula>AND(AE$9&gt;=8/24,AE$9&lt;14/24)</formula>
    </cfRule>
    <cfRule type="expression" dxfId="5821" priority="16">
      <formula>AE$9&lt;8/24</formula>
    </cfRule>
  </conditionalFormatting>
  <conditionalFormatting sqref="AE74:AE75">
    <cfRule type="expression" dxfId="5820" priority="9">
      <formula>AE$9&gt;=20/24</formula>
    </cfRule>
    <cfRule type="expression" dxfId="5819" priority="10">
      <formula>AND(AE$9&gt;=14/24,AE$9&lt;20/24)</formula>
    </cfRule>
    <cfRule type="expression" dxfId="5818" priority="11">
      <formula>AND(AE$9&gt;=8/24,AE$9&lt;14/24)</formula>
    </cfRule>
    <cfRule type="expression" dxfId="5817" priority="12">
      <formula>AE$9&lt;8/24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6" id="{B5529A6A-3CC0-41B4-8F99-E48D015FD6B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7" id="{42D6A461-5B92-4703-B307-894846955FB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8" id="{31037427-022F-4230-AB66-33D27BFE2AE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9" id="{2DBB1A5A-AF12-48DE-9C4E-622DF0B849D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2" id="{7C263D69-74C7-4855-82CA-4197562AA36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466C3FD9-6729-42EC-82FE-6D89572F964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CAF992F0-9CE6-4176-8E35-15ADA82B7DA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B89FE9B3-1561-4100-8AF0-024E6802440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/>
  <dimension ref="A1:CJ281"/>
  <sheetViews>
    <sheetView zoomScaleNormal="100" workbookViewId="0">
      <pane ySplit="10" topLeftCell="A107" activePane="bottomLeft" state="frozen"/>
      <selection activeCell="Z85" sqref="Z85"/>
      <selection pane="bottomLeft" activeCell="AF116" sqref="AF11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2080/02/21</v>
      </c>
      <c r="C4" s="191"/>
      <c r="D4" s="191"/>
      <c r="E4" s="192" t="str">
        <f ca="1">"2079/"&amp;"12/"&amp;INT(MID(CELL("filename",G6),FIND("]",CELL("filename",G6))+1,200))</f>
        <v>2079/12/21</v>
      </c>
      <c r="F4" s="192"/>
      <c r="G4" s="192"/>
      <c r="H4" s="192" t="str">
        <f ca="1">TEXT(E4,"dddd")</f>
        <v>Thursday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127</v>
      </c>
      <c r="C5" s="30">
        <f t="shared" si="0"/>
        <v>137</v>
      </c>
      <c r="D5" s="30">
        <f t="shared" si="0"/>
        <v>229</v>
      </c>
      <c r="E5" s="30">
        <f t="shared" si="0"/>
        <v>269</v>
      </c>
      <c r="F5" s="30">
        <f t="shared" si="0"/>
        <v>349</v>
      </c>
      <c r="G5" s="30">
        <f t="shared" si="0"/>
        <v>384</v>
      </c>
      <c r="H5" s="30">
        <f t="shared" si="0"/>
        <v>384</v>
      </c>
      <c r="I5" s="30">
        <f t="shared" si="0"/>
        <v>385.9</v>
      </c>
      <c r="J5" s="30">
        <f t="shared" si="0"/>
        <v>423.9</v>
      </c>
      <c r="K5" s="30">
        <f t="shared" si="0"/>
        <v>425.4</v>
      </c>
      <c r="L5" s="30">
        <f t="shared" si="0"/>
        <v>542.69999999999993</v>
      </c>
      <c r="M5" s="30">
        <f t="shared" si="0"/>
        <v>503.9</v>
      </c>
      <c r="N5" s="30">
        <f t="shared" si="0"/>
        <v>485.7</v>
      </c>
      <c r="O5" s="30">
        <f t="shared" si="0"/>
        <v>469.09999999999997</v>
      </c>
      <c r="P5" s="30">
        <f t="shared" si="0"/>
        <v>448.3</v>
      </c>
      <c r="Q5" s="30">
        <f t="shared" si="0"/>
        <v>485.5</v>
      </c>
      <c r="R5" s="30">
        <f t="shared" si="0"/>
        <v>470.29999999999995</v>
      </c>
      <c r="S5" s="30">
        <f t="shared" si="0"/>
        <v>456.5</v>
      </c>
      <c r="T5" s="30">
        <f t="shared" si="0"/>
        <v>542.79999999999995</v>
      </c>
      <c r="U5" s="30">
        <f t="shared" si="0"/>
        <v>524.70000000000005</v>
      </c>
      <c r="V5" s="30">
        <f t="shared" si="0"/>
        <v>520.4</v>
      </c>
      <c r="W5" s="30">
        <f t="shared" si="0"/>
        <v>472.4</v>
      </c>
      <c r="X5" s="30">
        <f t="shared" si="0"/>
        <v>420.1</v>
      </c>
      <c r="Y5" s="30">
        <f t="shared" si="0"/>
        <v>420</v>
      </c>
      <c r="Z5" s="30">
        <f t="shared" si="0"/>
        <v>215.9</v>
      </c>
      <c r="AA5" s="30">
        <f t="shared" si="0"/>
        <v>212.20000000000002</v>
      </c>
      <c r="AB5" s="30">
        <f t="shared" si="0"/>
        <v>211</v>
      </c>
      <c r="AC5" s="30">
        <f t="shared" si="0"/>
        <v>214.79999999999998</v>
      </c>
      <c r="AD5" s="30">
        <f t="shared" si="0"/>
        <v>213.20000000000002</v>
      </c>
      <c r="AE5" s="30">
        <f t="shared" si="0"/>
        <v>120</v>
      </c>
      <c r="AF5" s="30">
        <f>B84</f>
        <v>112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1809MW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Load=1504</v>
      </c>
      <c r="B7" s="35">
        <f t="shared" ref="B7:AF7" si="1">B91</f>
        <v>1671.4400000000003</v>
      </c>
      <c r="C7" s="35">
        <f t="shared" si="1"/>
        <v>1587.04</v>
      </c>
      <c r="D7" s="35">
        <f t="shared" si="1"/>
        <v>1561.04</v>
      </c>
      <c r="E7" s="35">
        <f t="shared" si="1"/>
        <v>1547.44</v>
      </c>
      <c r="F7" s="35">
        <f t="shared" si="1"/>
        <v>1572.44</v>
      </c>
      <c r="G7" s="35">
        <f t="shared" si="1"/>
        <v>1522.44</v>
      </c>
      <c r="H7" s="35">
        <f t="shared" si="1"/>
        <v>1504.04</v>
      </c>
      <c r="I7" s="35">
        <f t="shared" si="1"/>
        <v>1530.04</v>
      </c>
      <c r="J7" s="35">
        <f t="shared" si="1"/>
        <v>1551.94</v>
      </c>
      <c r="K7" s="35">
        <f t="shared" si="1"/>
        <v>1664.94</v>
      </c>
      <c r="L7" s="35">
        <f t="shared" si="1"/>
        <v>1751.94</v>
      </c>
      <c r="M7" s="35">
        <f t="shared" si="1"/>
        <v>1765.3399999999997</v>
      </c>
      <c r="N7" s="35">
        <f>N91</f>
        <v>1809.44</v>
      </c>
      <c r="O7" s="35">
        <f t="shared" si="1"/>
        <v>1832.64</v>
      </c>
      <c r="P7" s="35">
        <f t="shared" si="1"/>
        <v>1827.44</v>
      </c>
      <c r="Q7" s="35">
        <f t="shared" si="1"/>
        <v>1888.74</v>
      </c>
      <c r="R7" s="35">
        <f t="shared" si="1"/>
        <v>1858.78</v>
      </c>
      <c r="S7" s="35">
        <f t="shared" si="1"/>
        <v>1852.24</v>
      </c>
      <c r="T7" s="35">
        <f t="shared" si="1"/>
        <v>1834.04</v>
      </c>
      <c r="U7" s="35">
        <f t="shared" si="1"/>
        <v>1981.44</v>
      </c>
      <c r="V7" s="35">
        <f t="shared" si="1"/>
        <v>1902.0400000000002</v>
      </c>
      <c r="W7" s="35">
        <f t="shared" si="1"/>
        <v>1842.2400000000002</v>
      </c>
      <c r="X7" s="35">
        <f t="shared" si="1"/>
        <v>1749.6399999999999</v>
      </c>
      <c r="Y7" s="35">
        <f t="shared" si="1"/>
        <v>1780.2399999999998</v>
      </c>
      <c r="Z7" s="35">
        <f t="shared" si="1"/>
        <v>1875.04</v>
      </c>
      <c r="AA7" s="35">
        <f t="shared" si="1"/>
        <v>2030.3400000000001</v>
      </c>
      <c r="AB7" s="35">
        <f t="shared" si="1"/>
        <v>1937.2400000000002</v>
      </c>
      <c r="AC7" s="35">
        <f t="shared" si="1"/>
        <v>1912.4400000000003</v>
      </c>
      <c r="AD7" s="35">
        <f t="shared" si="1"/>
        <v>1869.24</v>
      </c>
      <c r="AE7" s="35">
        <f t="shared" si="1"/>
        <v>1785.14</v>
      </c>
      <c r="AF7" s="35">
        <f t="shared" si="1"/>
        <v>1580.94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38</v>
      </c>
      <c r="C11" s="45">
        <v>38</v>
      </c>
      <c r="D11" s="45">
        <v>38</v>
      </c>
      <c r="E11" s="45">
        <v>38</v>
      </c>
      <c r="F11" s="45">
        <v>38</v>
      </c>
      <c r="G11" s="45">
        <v>38</v>
      </c>
      <c r="H11" s="45">
        <v>38</v>
      </c>
      <c r="I11" s="45">
        <v>38</v>
      </c>
      <c r="J11" s="45">
        <v>38</v>
      </c>
      <c r="K11" s="45">
        <v>38</v>
      </c>
      <c r="L11" s="45">
        <v>38</v>
      </c>
      <c r="M11" s="45">
        <v>26</v>
      </c>
      <c r="N11" s="45">
        <v>26</v>
      </c>
      <c r="O11" s="45">
        <v>26</v>
      </c>
      <c r="P11" s="45">
        <v>26</v>
      </c>
      <c r="Q11" s="45">
        <v>26</v>
      </c>
      <c r="R11" s="45">
        <v>26</v>
      </c>
      <c r="S11" s="45">
        <v>26</v>
      </c>
      <c r="T11" s="45">
        <v>26</v>
      </c>
      <c r="U11" s="45">
        <v>26</v>
      </c>
      <c r="V11" s="45">
        <v>26</v>
      </c>
      <c r="W11" s="45">
        <v>26</v>
      </c>
      <c r="X11" s="45">
        <v>26</v>
      </c>
      <c r="Y11" s="45">
        <v>26</v>
      </c>
      <c r="Z11" s="45">
        <v>26</v>
      </c>
      <c r="AA11" s="45">
        <v>28</v>
      </c>
      <c r="AB11" s="45">
        <v>24.8</v>
      </c>
      <c r="AC11" s="45">
        <v>28</v>
      </c>
      <c r="AD11" s="45">
        <v>28</v>
      </c>
      <c r="AE11" s="45">
        <v>28</v>
      </c>
      <c r="AF11" s="45">
        <v>28</v>
      </c>
      <c r="AG11" s="46">
        <v>86</v>
      </c>
      <c r="AH11" s="47">
        <f t="shared" ref="AH11:AH76" si="2">MAX(B11:AF11)</f>
        <v>38</v>
      </c>
      <c r="AI11" s="48">
        <f t="shared" ref="AI11:AI76" si="3">MIN(B11:AF11)</f>
        <v>24.8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28</v>
      </c>
      <c r="C12" s="45">
        <v>28</v>
      </c>
      <c r="D12" s="45">
        <v>28</v>
      </c>
      <c r="E12" s="45">
        <v>28</v>
      </c>
      <c r="F12" s="45">
        <v>28</v>
      </c>
      <c r="G12" s="45">
        <v>28</v>
      </c>
      <c r="H12" s="45">
        <v>28</v>
      </c>
      <c r="I12" s="45">
        <v>28</v>
      </c>
      <c r="J12" s="45">
        <v>28</v>
      </c>
      <c r="K12" s="45">
        <v>28</v>
      </c>
      <c r="L12" s="45">
        <v>28</v>
      </c>
      <c r="M12" s="45">
        <v>28</v>
      </c>
      <c r="N12" s="45">
        <v>28</v>
      </c>
      <c r="O12" s="45">
        <v>28</v>
      </c>
      <c r="P12" s="45">
        <v>28</v>
      </c>
      <c r="Q12" s="45">
        <v>28</v>
      </c>
      <c r="R12" s="45">
        <v>28</v>
      </c>
      <c r="S12" s="45">
        <v>25.5</v>
      </c>
      <c r="T12" s="45">
        <v>25.5</v>
      </c>
      <c r="U12" s="45">
        <v>25.5</v>
      </c>
      <c r="V12" s="45">
        <v>25.5</v>
      </c>
      <c r="W12" s="45">
        <v>25.5</v>
      </c>
      <c r="X12" s="45">
        <v>25.5</v>
      </c>
      <c r="Y12" s="45">
        <v>25.5</v>
      </c>
      <c r="Z12" s="45">
        <v>25.5</v>
      </c>
      <c r="AA12" s="45">
        <v>32</v>
      </c>
      <c r="AB12" s="45">
        <v>25</v>
      </c>
      <c r="AC12" s="45">
        <v>25</v>
      </c>
      <c r="AD12" s="45">
        <v>25</v>
      </c>
      <c r="AE12" s="45">
        <v>25</v>
      </c>
      <c r="AF12" s="45">
        <v>25</v>
      </c>
      <c r="AG12" s="50">
        <v>54</v>
      </c>
      <c r="AH12" s="47">
        <f t="shared" si="2"/>
        <v>32</v>
      </c>
      <c r="AI12" s="48">
        <f t="shared" si="3"/>
        <v>25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24.8</v>
      </c>
      <c r="C13" s="45">
        <v>24.8</v>
      </c>
      <c r="D13" s="45">
        <v>24.8</v>
      </c>
      <c r="E13" s="45">
        <v>24.8</v>
      </c>
      <c r="F13" s="45">
        <v>24.8</v>
      </c>
      <c r="G13" s="45">
        <v>24.8</v>
      </c>
      <c r="H13" s="45">
        <v>24.8</v>
      </c>
      <c r="I13" s="45">
        <v>24.8</v>
      </c>
      <c r="J13" s="45">
        <v>24.8</v>
      </c>
      <c r="K13" s="45">
        <v>24.8</v>
      </c>
      <c r="L13" s="45">
        <v>24.8</v>
      </c>
      <c r="M13" s="45">
        <v>20.7</v>
      </c>
      <c r="N13" s="45">
        <v>20.7</v>
      </c>
      <c r="O13" s="45">
        <v>20.7</v>
      </c>
      <c r="P13" s="45">
        <v>20.7</v>
      </c>
      <c r="Q13" s="45">
        <v>20.7</v>
      </c>
      <c r="R13" s="45">
        <v>20.7</v>
      </c>
      <c r="S13" s="45">
        <v>20.7</v>
      </c>
      <c r="T13" s="45">
        <v>20.7</v>
      </c>
      <c r="U13" s="45">
        <v>20.7</v>
      </c>
      <c r="V13" s="45">
        <v>20.7</v>
      </c>
      <c r="W13" s="45">
        <v>20.7</v>
      </c>
      <c r="X13" s="45">
        <v>20.7</v>
      </c>
      <c r="Y13" s="45">
        <v>20.7</v>
      </c>
      <c r="Z13" s="45">
        <v>20.7</v>
      </c>
      <c r="AA13" s="45">
        <v>19</v>
      </c>
      <c r="AB13" s="45">
        <v>20.8</v>
      </c>
      <c r="AC13" s="45">
        <v>20.8</v>
      </c>
      <c r="AD13" s="45">
        <v>20.8</v>
      </c>
      <c r="AE13" s="45">
        <v>19.8</v>
      </c>
      <c r="AF13" s="45">
        <v>20.8</v>
      </c>
      <c r="AG13" s="46">
        <v>52.4</v>
      </c>
      <c r="AH13" s="47">
        <f t="shared" si="2"/>
        <v>24.8</v>
      </c>
      <c r="AI13" s="48">
        <f t="shared" si="3"/>
        <v>19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50.5</v>
      </c>
      <c r="C14" s="58">
        <v>50.5</v>
      </c>
      <c r="D14" s="58">
        <v>50.5</v>
      </c>
      <c r="E14" s="58">
        <v>50.5</v>
      </c>
      <c r="F14" s="58">
        <v>50.5</v>
      </c>
      <c r="G14" s="58">
        <v>50.5</v>
      </c>
      <c r="H14" s="58">
        <v>50.5</v>
      </c>
      <c r="I14" s="58">
        <v>50.5</v>
      </c>
      <c r="J14" s="58">
        <v>50.5</v>
      </c>
      <c r="K14" s="58">
        <v>50.5</v>
      </c>
      <c r="L14" s="58">
        <v>50.5</v>
      </c>
      <c r="M14" s="58">
        <v>50.3</v>
      </c>
      <c r="N14" s="58">
        <v>50.3</v>
      </c>
      <c r="O14" s="58">
        <v>50.3</v>
      </c>
      <c r="P14" s="58">
        <v>50.3</v>
      </c>
      <c r="Q14" s="58">
        <v>50.3</v>
      </c>
      <c r="R14" s="58">
        <v>50.3</v>
      </c>
      <c r="S14" s="58">
        <v>50.3</v>
      </c>
      <c r="T14" s="58">
        <v>50.3</v>
      </c>
      <c r="U14" s="58">
        <v>50.3</v>
      </c>
      <c r="V14" s="58">
        <v>50.3</v>
      </c>
      <c r="W14" s="58">
        <v>50.3</v>
      </c>
      <c r="X14" s="58">
        <v>50.3</v>
      </c>
      <c r="Y14" s="58">
        <v>50.3</v>
      </c>
      <c r="Z14" s="58">
        <v>50.3</v>
      </c>
      <c r="AA14" s="45">
        <v>50.3</v>
      </c>
      <c r="AB14" s="45">
        <v>50.5</v>
      </c>
      <c r="AC14" s="45">
        <v>50.6</v>
      </c>
      <c r="AD14" s="45">
        <v>50.6</v>
      </c>
      <c r="AE14" s="45">
        <v>50.5</v>
      </c>
      <c r="AF14" s="45">
        <v>50.6</v>
      </c>
      <c r="AG14" s="50">
        <v>50</v>
      </c>
      <c r="AH14" s="47">
        <f t="shared" si="2"/>
        <v>50.6</v>
      </c>
      <c r="AI14" s="48">
        <f t="shared" si="3"/>
        <v>50.3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26</v>
      </c>
      <c r="C15" s="45">
        <v>26</v>
      </c>
      <c r="D15" s="45">
        <v>26</v>
      </c>
      <c r="E15" s="45">
        <v>26</v>
      </c>
      <c r="F15" s="45">
        <v>26</v>
      </c>
      <c r="G15" s="45">
        <v>26</v>
      </c>
      <c r="H15" s="45">
        <v>26</v>
      </c>
      <c r="I15" s="45">
        <v>26</v>
      </c>
      <c r="J15" s="45">
        <v>26</v>
      </c>
      <c r="K15" s="45">
        <v>26</v>
      </c>
      <c r="L15" s="45">
        <v>26</v>
      </c>
      <c r="M15" s="45">
        <v>26.2</v>
      </c>
      <c r="N15" s="45">
        <v>25.3</v>
      </c>
      <c r="O15" s="45">
        <v>25.3</v>
      </c>
      <c r="P15" s="45">
        <v>25.3</v>
      </c>
      <c r="Q15" s="45">
        <v>25.3</v>
      </c>
      <c r="R15" s="45">
        <v>25.3</v>
      </c>
      <c r="S15" s="45">
        <v>24.6</v>
      </c>
      <c r="T15" s="45">
        <v>24.6</v>
      </c>
      <c r="U15" s="45">
        <v>24.6</v>
      </c>
      <c r="V15" s="45">
        <v>24.6</v>
      </c>
      <c r="W15" s="45">
        <v>24.6</v>
      </c>
      <c r="X15" s="45">
        <v>24.6</v>
      </c>
      <c r="Y15" s="45">
        <v>24.6</v>
      </c>
      <c r="Z15" s="45">
        <v>24.6</v>
      </c>
      <c r="AA15" s="45">
        <v>29.5</v>
      </c>
      <c r="AB15" s="45">
        <v>32.9</v>
      </c>
      <c r="AC15" s="45">
        <v>33.6</v>
      </c>
      <c r="AD15" s="45">
        <v>33.6</v>
      </c>
      <c r="AE15" s="45">
        <v>35.4</v>
      </c>
      <c r="AF15" s="45">
        <v>33.6</v>
      </c>
      <c r="AG15" s="50">
        <v>45</v>
      </c>
      <c r="AH15" s="47">
        <f t="shared" si="2"/>
        <v>35.4</v>
      </c>
      <c r="AI15" s="48">
        <f t="shared" si="3"/>
        <v>24.6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30</v>
      </c>
      <c r="C16" s="45">
        <v>30</v>
      </c>
      <c r="D16" s="45">
        <v>30</v>
      </c>
      <c r="E16" s="45">
        <v>30</v>
      </c>
      <c r="F16" s="45">
        <v>30</v>
      </c>
      <c r="G16" s="45">
        <v>30</v>
      </c>
      <c r="H16" s="45">
        <v>30</v>
      </c>
      <c r="I16" s="45">
        <v>30</v>
      </c>
      <c r="J16" s="45">
        <v>30</v>
      </c>
      <c r="K16" s="45">
        <v>30</v>
      </c>
      <c r="L16" s="45">
        <v>30</v>
      </c>
      <c r="M16" s="45">
        <v>30</v>
      </c>
      <c r="N16" s="45">
        <v>30</v>
      </c>
      <c r="O16" s="45">
        <v>30</v>
      </c>
      <c r="P16" s="45">
        <v>30</v>
      </c>
      <c r="Q16" s="45">
        <v>30</v>
      </c>
      <c r="R16" s="45">
        <v>30</v>
      </c>
      <c r="S16" s="45">
        <v>30</v>
      </c>
      <c r="T16" s="45">
        <v>30</v>
      </c>
      <c r="U16" s="45">
        <v>24</v>
      </c>
      <c r="V16" s="45">
        <v>27</v>
      </c>
      <c r="W16" s="45">
        <v>27</v>
      </c>
      <c r="X16" s="45">
        <v>27</v>
      </c>
      <c r="Y16" s="45">
        <v>27</v>
      </c>
      <c r="Z16" s="45">
        <v>27</v>
      </c>
      <c r="AA16" s="45">
        <v>30.5</v>
      </c>
      <c r="AB16" s="45">
        <v>30.5</v>
      </c>
      <c r="AC16" s="45">
        <v>30.5</v>
      </c>
      <c r="AD16" s="45">
        <v>30.5</v>
      </c>
      <c r="AE16" s="45">
        <v>30.5</v>
      </c>
      <c r="AF16" s="45">
        <v>30.5</v>
      </c>
      <c r="AG16" s="50">
        <v>44</v>
      </c>
      <c r="AH16" s="47">
        <f>MAX(B16:AG16)</f>
        <v>44</v>
      </c>
      <c r="AI16" s="48">
        <f>MIN(B16:AG16)</f>
        <v>24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24</v>
      </c>
      <c r="C17" s="45">
        <v>24</v>
      </c>
      <c r="D17" s="45">
        <v>24</v>
      </c>
      <c r="E17" s="45">
        <v>24</v>
      </c>
      <c r="F17" s="45">
        <v>24</v>
      </c>
      <c r="G17" s="45">
        <v>24</v>
      </c>
      <c r="H17" s="45">
        <v>24</v>
      </c>
      <c r="I17" s="45">
        <v>24</v>
      </c>
      <c r="J17" s="45">
        <v>24</v>
      </c>
      <c r="K17" s="45">
        <v>24</v>
      </c>
      <c r="L17" s="45">
        <v>24</v>
      </c>
      <c r="M17" s="45">
        <v>22</v>
      </c>
      <c r="N17" s="45">
        <v>22</v>
      </c>
      <c r="O17" s="45">
        <v>22</v>
      </c>
      <c r="P17" s="45">
        <v>22</v>
      </c>
      <c r="Q17" s="45">
        <v>22</v>
      </c>
      <c r="R17" s="45">
        <v>22</v>
      </c>
      <c r="S17" s="45">
        <v>19</v>
      </c>
      <c r="T17" s="45">
        <v>19</v>
      </c>
      <c r="U17" s="45">
        <v>19</v>
      </c>
      <c r="V17" s="45">
        <v>19</v>
      </c>
      <c r="W17" s="45">
        <v>19</v>
      </c>
      <c r="X17" s="45">
        <v>19</v>
      </c>
      <c r="Y17" s="45">
        <v>19</v>
      </c>
      <c r="Z17" s="45">
        <v>19</v>
      </c>
      <c r="AA17" s="45">
        <v>26.4</v>
      </c>
      <c r="AB17" s="45">
        <v>28</v>
      </c>
      <c r="AC17" s="45">
        <v>28</v>
      </c>
      <c r="AD17" s="45">
        <v>28</v>
      </c>
      <c r="AE17" s="45">
        <v>28</v>
      </c>
      <c r="AF17" s="45">
        <v>28</v>
      </c>
      <c r="AG17" s="50">
        <v>42</v>
      </c>
      <c r="AH17" s="47">
        <f t="shared" si="2"/>
        <v>28</v>
      </c>
      <c r="AI17" s="48">
        <f t="shared" si="3"/>
        <v>19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22</v>
      </c>
      <c r="C19" s="45">
        <v>22</v>
      </c>
      <c r="D19" s="45">
        <v>22</v>
      </c>
      <c r="E19" s="45">
        <v>22</v>
      </c>
      <c r="F19" s="45">
        <v>22</v>
      </c>
      <c r="G19" s="45">
        <v>22</v>
      </c>
      <c r="H19" s="45">
        <v>22</v>
      </c>
      <c r="I19" s="45">
        <v>22</v>
      </c>
      <c r="J19" s="45">
        <v>22</v>
      </c>
      <c r="K19" s="45">
        <v>22</v>
      </c>
      <c r="L19" s="45">
        <v>22</v>
      </c>
      <c r="M19" s="45">
        <v>22</v>
      </c>
      <c r="N19" s="45">
        <v>22</v>
      </c>
      <c r="O19" s="45">
        <v>22</v>
      </c>
      <c r="P19" s="45">
        <v>22</v>
      </c>
      <c r="Q19" s="45">
        <v>22</v>
      </c>
      <c r="R19" s="45">
        <v>22</v>
      </c>
      <c r="S19" s="45">
        <v>22</v>
      </c>
      <c r="T19" s="45">
        <v>22</v>
      </c>
      <c r="U19" s="45">
        <v>22</v>
      </c>
      <c r="V19" s="45">
        <v>22</v>
      </c>
      <c r="W19" s="45">
        <v>22</v>
      </c>
      <c r="X19" s="45">
        <v>22</v>
      </c>
      <c r="Y19" s="45">
        <v>22</v>
      </c>
      <c r="Z19" s="45">
        <v>22</v>
      </c>
      <c r="AA19" s="45">
        <v>22</v>
      </c>
      <c r="AB19" s="45">
        <v>22</v>
      </c>
      <c r="AC19" s="45">
        <v>22</v>
      </c>
      <c r="AD19" s="45">
        <v>22</v>
      </c>
      <c r="AE19" s="45">
        <v>22</v>
      </c>
      <c r="AF19" s="45">
        <v>22</v>
      </c>
      <c r="AG19" s="50">
        <v>36</v>
      </c>
      <c r="AH19" s="47">
        <f t="shared" si="2"/>
        <v>22</v>
      </c>
      <c r="AI19" s="48">
        <f t="shared" si="3"/>
        <v>22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12</v>
      </c>
      <c r="C20" s="45">
        <v>12</v>
      </c>
      <c r="D20" s="45">
        <v>12</v>
      </c>
      <c r="E20" s="45">
        <v>12</v>
      </c>
      <c r="F20" s="45">
        <v>12</v>
      </c>
      <c r="G20" s="45">
        <v>12</v>
      </c>
      <c r="H20" s="45">
        <v>12</v>
      </c>
      <c r="I20" s="45">
        <v>12</v>
      </c>
      <c r="J20" s="45">
        <v>12</v>
      </c>
      <c r="K20" s="45">
        <v>12</v>
      </c>
      <c r="L20" s="45">
        <v>12</v>
      </c>
      <c r="M20" s="45">
        <v>12</v>
      </c>
      <c r="N20" s="45">
        <v>12</v>
      </c>
      <c r="O20" s="45">
        <v>12</v>
      </c>
      <c r="P20" s="45">
        <v>12</v>
      </c>
      <c r="Q20" s="45">
        <v>12</v>
      </c>
      <c r="R20" s="45">
        <v>12</v>
      </c>
      <c r="S20" s="45">
        <v>13.2</v>
      </c>
      <c r="T20" s="45">
        <v>13.2</v>
      </c>
      <c r="U20" s="45">
        <v>13.2</v>
      </c>
      <c r="V20" s="45">
        <v>13.2</v>
      </c>
      <c r="W20" s="45">
        <v>13.2</v>
      </c>
      <c r="X20" s="45">
        <v>13.2</v>
      </c>
      <c r="Y20" s="45">
        <v>13.2</v>
      </c>
      <c r="Z20" s="45">
        <v>13.2</v>
      </c>
      <c r="AA20" s="45">
        <v>12</v>
      </c>
      <c r="AB20" s="45">
        <v>12</v>
      </c>
      <c r="AC20" s="45">
        <v>12</v>
      </c>
      <c r="AD20" s="45">
        <v>12</v>
      </c>
      <c r="AE20" s="45">
        <v>18.5</v>
      </c>
      <c r="AF20" s="45">
        <v>18.5</v>
      </c>
      <c r="AG20" s="51">
        <v>30</v>
      </c>
      <c r="AH20" s="47">
        <f t="shared" si="2"/>
        <v>18.5</v>
      </c>
      <c r="AI20" s="48">
        <f t="shared" si="3"/>
        <v>12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10.5</v>
      </c>
      <c r="N21" s="45">
        <v>10.4</v>
      </c>
      <c r="O21" s="45">
        <v>10.4</v>
      </c>
      <c r="P21" s="45">
        <v>10.4</v>
      </c>
      <c r="Q21" s="45">
        <v>10.4</v>
      </c>
      <c r="R21" s="45">
        <v>10.4</v>
      </c>
      <c r="S21" s="45">
        <v>10.4</v>
      </c>
      <c r="T21" s="45">
        <v>10.4</v>
      </c>
      <c r="U21" s="45">
        <v>10.4</v>
      </c>
      <c r="V21" s="45">
        <v>10.4</v>
      </c>
      <c r="W21" s="45">
        <v>10.4</v>
      </c>
      <c r="X21" s="45">
        <v>10.4</v>
      </c>
      <c r="Y21" s="45">
        <v>10.4</v>
      </c>
      <c r="Z21" s="45">
        <v>10.4</v>
      </c>
      <c r="AA21" s="45">
        <v>10.4</v>
      </c>
      <c r="AB21" s="45">
        <v>10.5</v>
      </c>
      <c r="AC21" s="45">
        <v>10.5</v>
      </c>
      <c r="AD21" s="45">
        <v>10.5</v>
      </c>
      <c r="AE21" s="45">
        <v>11.8</v>
      </c>
      <c r="AF21" s="45">
        <v>12.7</v>
      </c>
      <c r="AG21" s="50">
        <v>24.2</v>
      </c>
      <c r="AH21" s="47">
        <f t="shared" si="2"/>
        <v>12.7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10.9</v>
      </c>
      <c r="N22" s="45">
        <v>10.9</v>
      </c>
      <c r="O22" s="45">
        <v>10.9</v>
      </c>
      <c r="P22" s="45">
        <v>10.9</v>
      </c>
      <c r="Q22" s="45">
        <v>10.9</v>
      </c>
      <c r="R22" s="45">
        <v>10.9</v>
      </c>
      <c r="S22" s="45">
        <v>10.9</v>
      </c>
      <c r="T22" s="45">
        <v>10.9</v>
      </c>
      <c r="U22" s="45">
        <v>10.9</v>
      </c>
      <c r="V22" s="45">
        <v>10.9</v>
      </c>
      <c r="W22" s="45">
        <v>10.9</v>
      </c>
      <c r="X22" s="45">
        <v>10.9</v>
      </c>
      <c r="Y22" s="45">
        <v>10.9</v>
      </c>
      <c r="Z22" s="45">
        <v>10.9</v>
      </c>
      <c r="AA22" s="45">
        <v>10.9</v>
      </c>
      <c r="AB22" s="45">
        <v>10.9</v>
      </c>
      <c r="AC22" s="45">
        <v>10.9</v>
      </c>
      <c r="AD22" s="45">
        <v>10.9</v>
      </c>
      <c r="AE22" s="45">
        <v>10.9</v>
      </c>
      <c r="AF22" s="45">
        <v>10.9</v>
      </c>
      <c r="AG22" s="50">
        <v>28</v>
      </c>
      <c r="AH22" s="47">
        <f t="shared" si="2"/>
        <v>10.9</v>
      </c>
      <c r="AI22" s="48">
        <f t="shared" si="3"/>
        <v>0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14.1</v>
      </c>
      <c r="C23" s="45">
        <v>14.1</v>
      </c>
      <c r="D23" s="45">
        <v>14.1</v>
      </c>
      <c r="E23" s="45">
        <v>14.1</v>
      </c>
      <c r="F23" s="45">
        <v>14.1</v>
      </c>
      <c r="G23" s="45">
        <v>14.1</v>
      </c>
      <c r="H23" s="45">
        <v>14.1</v>
      </c>
      <c r="I23" s="45">
        <v>14.1</v>
      </c>
      <c r="J23" s="45">
        <v>14.1</v>
      </c>
      <c r="K23" s="45">
        <v>14.1</v>
      </c>
      <c r="L23" s="45">
        <v>14.1</v>
      </c>
      <c r="M23" s="45">
        <v>14.1</v>
      </c>
      <c r="N23" s="45">
        <v>14.1</v>
      </c>
      <c r="O23" s="45">
        <v>14.1</v>
      </c>
      <c r="P23" s="45">
        <v>14.1</v>
      </c>
      <c r="Q23" s="45">
        <v>14.1</v>
      </c>
      <c r="R23" s="45">
        <v>14.1</v>
      </c>
      <c r="S23" s="45">
        <v>14.1</v>
      </c>
      <c r="T23" s="45">
        <v>14.1</v>
      </c>
      <c r="U23" s="45">
        <v>14.1</v>
      </c>
      <c r="V23" s="45">
        <v>14.1</v>
      </c>
      <c r="W23" s="45">
        <v>14.1</v>
      </c>
      <c r="X23" s="45">
        <v>14.1</v>
      </c>
      <c r="Y23" s="45">
        <v>14.1</v>
      </c>
      <c r="Z23" s="45">
        <v>14.1</v>
      </c>
      <c r="AA23" s="45">
        <v>14.1</v>
      </c>
      <c r="AB23" s="45">
        <v>14.1</v>
      </c>
      <c r="AC23" s="45">
        <v>14.1</v>
      </c>
      <c r="AD23" s="45">
        <v>14.1</v>
      </c>
      <c r="AE23" s="45">
        <v>14.1</v>
      </c>
      <c r="AF23" s="45">
        <v>14.1</v>
      </c>
      <c r="AG23" s="51">
        <v>30</v>
      </c>
      <c r="AH23" s="47">
        <f t="shared" si="2"/>
        <v>14.1</v>
      </c>
      <c r="AI23" s="48">
        <f t="shared" si="3"/>
        <v>14.1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16.5</v>
      </c>
      <c r="C24" s="45">
        <v>16.5</v>
      </c>
      <c r="D24" s="45">
        <v>16.5</v>
      </c>
      <c r="E24" s="45">
        <v>16.5</v>
      </c>
      <c r="F24" s="45">
        <v>16.5</v>
      </c>
      <c r="G24" s="45">
        <v>16.5</v>
      </c>
      <c r="H24" s="45">
        <v>16.5</v>
      </c>
      <c r="I24" s="45">
        <v>16.5</v>
      </c>
      <c r="J24" s="45">
        <v>16.5</v>
      </c>
      <c r="K24" s="45">
        <v>16.5</v>
      </c>
      <c r="L24" s="45">
        <v>16.5</v>
      </c>
      <c r="M24" s="45">
        <v>16.5</v>
      </c>
      <c r="N24" s="45">
        <v>16.5</v>
      </c>
      <c r="O24" s="45">
        <v>16.5</v>
      </c>
      <c r="P24" s="45">
        <v>16.5</v>
      </c>
      <c r="Q24" s="45">
        <v>16.5</v>
      </c>
      <c r="R24" s="45">
        <v>16.5</v>
      </c>
      <c r="S24" s="45">
        <v>16.5</v>
      </c>
      <c r="T24" s="45">
        <v>16.5</v>
      </c>
      <c r="U24" s="45">
        <v>16.5</v>
      </c>
      <c r="V24" s="45">
        <v>16.5</v>
      </c>
      <c r="W24" s="45">
        <v>16.5</v>
      </c>
      <c r="X24" s="45">
        <v>16.5</v>
      </c>
      <c r="Y24" s="45">
        <v>16.5</v>
      </c>
      <c r="Z24" s="45">
        <v>16.5</v>
      </c>
      <c r="AA24" s="45">
        <v>16.5</v>
      </c>
      <c r="AB24" s="45">
        <v>13.2</v>
      </c>
      <c r="AC24" s="45">
        <v>13.2</v>
      </c>
      <c r="AD24" s="45">
        <v>13.2</v>
      </c>
      <c r="AE24" s="45">
        <v>13.2</v>
      </c>
      <c r="AF24" s="45">
        <v>13.2</v>
      </c>
      <c r="AG24" s="50">
        <v>25</v>
      </c>
      <c r="AH24" s="47">
        <f t="shared" si="2"/>
        <v>16.5</v>
      </c>
      <c r="AI24" s="48">
        <f t="shared" si="3"/>
        <v>13.2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14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7.5</v>
      </c>
      <c r="C26" s="45">
        <v>7.5</v>
      </c>
      <c r="D26" s="45">
        <v>7.5</v>
      </c>
      <c r="E26" s="45">
        <v>7.5</v>
      </c>
      <c r="F26" s="45">
        <v>7.5</v>
      </c>
      <c r="G26" s="45">
        <v>7.5</v>
      </c>
      <c r="H26" s="45">
        <v>7.5</v>
      </c>
      <c r="I26" s="45">
        <v>7.5</v>
      </c>
      <c r="J26" s="45">
        <v>7.5</v>
      </c>
      <c r="K26" s="45">
        <v>7.5</v>
      </c>
      <c r="L26" s="45">
        <v>7.5</v>
      </c>
      <c r="M26" s="45">
        <v>7.5</v>
      </c>
      <c r="N26" s="45">
        <v>7.5</v>
      </c>
      <c r="O26" s="45">
        <v>7.5</v>
      </c>
      <c r="P26" s="45">
        <v>7.5</v>
      </c>
      <c r="Q26" s="45">
        <v>7.5</v>
      </c>
      <c r="R26" s="45">
        <v>7.5</v>
      </c>
      <c r="S26" s="45">
        <v>6</v>
      </c>
      <c r="T26" s="45">
        <v>6</v>
      </c>
      <c r="U26" s="45">
        <v>6</v>
      </c>
      <c r="V26" s="45">
        <v>6</v>
      </c>
      <c r="W26" s="45">
        <v>6</v>
      </c>
      <c r="X26" s="45">
        <v>6</v>
      </c>
      <c r="Y26" s="45">
        <v>6</v>
      </c>
      <c r="Z26" s="45">
        <v>6</v>
      </c>
      <c r="AA26" s="45">
        <v>6</v>
      </c>
      <c r="AB26" s="45">
        <v>6</v>
      </c>
      <c r="AC26" s="45">
        <v>6</v>
      </c>
      <c r="AD26" s="45">
        <v>6</v>
      </c>
      <c r="AE26" s="45">
        <v>6</v>
      </c>
      <c r="AF26" s="45">
        <v>6</v>
      </c>
      <c r="AG26" s="50">
        <v>25</v>
      </c>
      <c r="AH26" s="47">
        <f t="shared" si="2"/>
        <v>7.5</v>
      </c>
      <c r="AI26" s="48">
        <f t="shared" si="3"/>
        <v>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16</v>
      </c>
      <c r="C27" s="45">
        <v>16</v>
      </c>
      <c r="D27" s="45">
        <v>16</v>
      </c>
      <c r="E27" s="45">
        <v>16</v>
      </c>
      <c r="F27" s="45">
        <v>16</v>
      </c>
      <c r="G27" s="45">
        <v>16</v>
      </c>
      <c r="H27" s="45">
        <v>16</v>
      </c>
      <c r="I27" s="45">
        <v>16</v>
      </c>
      <c r="J27" s="45">
        <v>16</v>
      </c>
      <c r="K27" s="45">
        <v>16</v>
      </c>
      <c r="L27" s="45">
        <v>16</v>
      </c>
      <c r="M27" s="45">
        <v>16</v>
      </c>
      <c r="N27" s="45">
        <v>16</v>
      </c>
      <c r="O27" s="45">
        <v>16</v>
      </c>
      <c r="P27" s="45">
        <v>16</v>
      </c>
      <c r="Q27" s="45">
        <v>16</v>
      </c>
      <c r="R27" s="45">
        <v>16</v>
      </c>
      <c r="S27" s="45">
        <v>16</v>
      </c>
      <c r="T27" s="45">
        <v>16</v>
      </c>
      <c r="U27" s="45">
        <v>16</v>
      </c>
      <c r="V27" s="45">
        <v>16</v>
      </c>
      <c r="W27" s="45">
        <v>16</v>
      </c>
      <c r="X27" s="45">
        <v>16</v>
      </c>
      <c r="Y27" s="45">
        <v>16</v>
      </c>
      <c r="Z27" s="45">
        <v>16</v>
      </c>
      <c r="AA27" s="45">
        <v>16</v>
      </c>
      <c r="AB27" s="45">
        <v>16</v>
      </c>
      <c r="AC27" s="45">
        <v>16</v>
      </c>
      <c r="AD27" s="45">
        <v>16</v>
      </c>
      <c r="AE27" s="45">
        <v>16</v>
      </c>
      <c r="AF27" s="45">
        <v>16</v>
      </c>
      <c r="AG27" s="50">
        <v>25</v>
      </c>
      <c r="AH27" s="47">
        <f t="shared" si="2"/>
        <v>16</v>
      </c>
      <c r="AI27" s="48">
        <f t="shared" si="3"/>
        <v>16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8.1</v>
      </c>
      <c r="C28" s="45">
        <v>8.1</v>
      </c>
      <c r="D28" s="45">
        <v>8.1</v>
      </c>
      <c r="E28" s="45">
        <v>8.1</v>
      </c>
      <c r="F28" s="45">
        <v>8.1</v>
      </c>
      <c r="G28" s="45">
        <v>8.1</v>
      </c>
      <c r="H28" s="45">
        <v>8.1</v>
      </c>
      <c r="I28" s="45">
        <v>8.1</v>
      </c>
      <c r="J28" s="45">
        <v>8.1</v>
      </c>
      <c r="K28" s="45">
        <v>8.1</v>
      </c>
      <c r="L28" s="45">
        <v>8.1</v>
      </c>
      <c r="M28" s="45">
        <v>8.1</v>
      </c>
      <c r="N28" s="45">
        <v>8.1</v>
      </c>
      <c r="O28" s="45">
        <v>8.1</v>
      </c>
      <c r="P28" s="45">
        <v>8.1</v>
      </c>
      <c r="Q28" s="45">
        <v>8.1</v>
      </c>
      <c r="R28" s="45">
        <v>8.1</v>
      </c>
      <c r="S28" s="45">
        <v>8.1</v>
      </c>
      <c r="T28" s="45">
        <v>8.1</v>
      </c>
      <c r="U28" s="45">
        <v>8.1</v>
      </c>
      <c r="V28" s="45">
        <v>0</v>
      </c>
      <c r="W28" s="45">
        <v>9.1999999999999993</v>
      </c>
      <c r="X28" s="45">
        <v>9.1999999999999993</v>
      </c>
      <c r="Y28" s="45">
        <v>9.1999999999999993</v>
      </c>
      <c r="Z28" s="45">
        <v>9.1999999999999993</v>
      </c>
      <c r="AA28" s="45">
        <v>9.1999999999999993</v>
      </c>
      <c r="AB28" s="45">
        <v>6.8</v>
      </c>
      <c r="AC28" s="45">
        <v>6.8</v>
      </c>
      <c r="AD28" s="45">
        <v>6.8</v>
      </c>
      <c r="AE28" s="45">
        <v>6.8</v>
      </c>
      <c r="AF28" s="45">
        <v>6.8</v>
      </c>
      <c r="AG28" s="50">
        <v>23.5</v>
      </c>
      <c r="AH28" s="47">
        <f t="shared" si="2"/>
        <v>9.1999999999999993</v>
      </c>
      <c r="AI28" s="48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4.5</v>
      </c>
      <c r="C29" s="45">
        <v>4.5</v>
      </c>
      <c r="D29" s="45">
        <v>4.5</v>
      </c>
      <c r="E29" s="45">
        <v>4.5</v>
      </c>
      <c r="F29" s="45">
        <v>4.5</v>
      </c>
      <c r="G29" s="45">
        <v>4.5</v>
      </c>
      <c r="H29" s="45">
        <v>4.5</v>
      </c>
      <c r="I29" s="45">
        <v>4.5</v>
      </c>
      <c r="J29" s="45">
        <v>4.5</v>
      </c>
      <c r="K29" s="45">
        <v>4.5</v>
      </c>
      <c r="L29" s="45">
        <v>4.5</v>
      </c>
      <c r="M29" s="45">
        <v>4.5</v>
      </c>
      <c r="N29" s="45">
        <v>4.5</v>
      </c>
      <c r="O29" s="45">
        <v>4.5</v>
      </c>
      <c r="P29" s="45">
        <v>4.5</v>
      </c>
      <c r="Q29" s="45">
        <v>4.5</v>
      </c>
      <c r="R29" s="45">
        <v>4.5</v>
      </c>
      <c r="S29" s="45">
        <v>4.5</v>
      </c>
      <c r="T29" s="45">
        <v>4.5</v>
      </c>
      <c r="U29" s="45">
        <v>4.5</v>
      </c>
      <c r="V29" s="45">
        <v>4.5</v>
      </c>
      <c r="W29" s="45">
        <v>4.5</v>
      </c>
      <c r="X29" s="45">
        <v>4.5</v>
      </c>
      <c r="Y29" s="45">
        <v>4.5</v>
      </c>
      <c r="Z29" s="45">
        <v>4.5</v>
      </c>
      <c r="AA29" s="45">
        <v>4.5</v>
      </c>
      <c r="AB29" s="45">
        <v>4.5</v>
      </c>
      <c r="AC29" s="45">
        <v>4.5</v>
      </c>
      <c r="AD29" s="45">
        <v>4.5</v>
      </c>
      <c r="AE29" s="45">
        <v>4.5</v>
      </c>
      <c r="AF29" s="45">
        <v>4.5</v>
      </c>
      <c r="AG29" s="50">
        <v>22.2</v>
      </c>
      <c r="AH29" s="47">
        <f t="shared" si="2"/>
        <v>4.5</v>
      </c>
      <c r="AI29" s="48">
        <f t="shared" si="3"/>
        <v>4.5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50">
        <v>22</v>
      </c>
      <c r="AH31" s="47">
        <f t="shared" si="2"/>
        <v>4.5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5.7</v>
      </c>
      <c r="C32" s="45">
        <v>5.7</v>
      </c>
      <c r="D32" s="45">
        <v>5.7</v>
      </c>
      <c r="E32" s="45">
        <v>5.7</v>
      </c>
      <c r="F32" s="45">
        <v>5.7</v>
      </c>
      <c r="G32" s="45">
        <v>5.7</v>
      </c>
      <c r="H32" s="45">
        <v>5.7</v>
      </c>
      <c r="I32" s="45">
        <v>5.7</v>
      </c>
      <c r="J32" s="45">
        <v>5.7</v>
      </c>
      <c r="K32" s="45">
        <v>5.7</v>
      </c>
      <c r="L32" s="45">
        <v>5.7</v>
      </c>
      <c r="M32" s="45">
        <v>5.7</v>
      </c>
      <c r="N32" s="45">
        <v>5.7</v>
      </c>
      <c r="O32" s="45">
        <v>5.7</v>
      </c>
      <c r="P32" s="45">
        <v>5.7</v>
      </c>
      <c r="Q32" s="45">
        <v>5.7</v>
      </c>
      <c r="R32" s="45">
        <v>5.7</v>
      </c>
      <c r="S32" s="45">
        <v>5.7</v>
      </c>
      <c r="T32" s="45">
        <v>5.7</v>
      </c>
      <c r="U32" s="45">
        <v>5.7</v>
      </c>
      <c r="V32" s="45">
        <v>5.7</v>
      </c>
      <c r="W32" s="45">
        <v>5.7</v>
      </c>
      <c r="X32" s="45">
        <v>5.7</v>
      </c>
      <c r="Y32" s="45">
        <v>5.7</v>
      </c>
      <c r="Z32" s="45">
        <v>5.7</v>
      </c>
      <c r="AA32" s="45">
        <v>5.7</v>
      </c>
      <c r="AB32" s="45">
        <v>8.8000000000000007</v>
      </c>
      <c r="AC32" s="45">
        <v>8.8000000000000007</v>
      </c>
      <c r="AD32" s="45">
        <v>8.8000000000000007</v>
      </c>
      <c r="AE32" s="45">
        <v>7.8</v>
      </c>
      <c r="AF32" s="45">
        <v>7.9</v>
      </c>
      <c r="AG32" s="50">
        <v>22</v>
      </c>
      <c r="AH32" s="47">
        <f t="shared" si="2"/>
        <v>8.8000000000000007</v>
      </c>
      <c r="AI32" s="48">
        <f t="shared" si="3"/>
        <v>5.7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14</v>
      </c>
      <c r="C33" s="45">
        <v>14</v>
      </c>
      <c r="D33" s="45">
        <v>14</v>
      </c>
      <c r="E33" s="45">
        <v>14</v>
      </c>
      <c r="F33" s="45">
        <v>14</v>
      </c>
      <c r="G33" s="45">
        <v>14</v>
      </c>
      <c r="H33" s="45">
        <v>14</v>
      </c>
      <c r="I33" s="45">
        <v>14</v>
      </c>
      <c r="J33" s="45">
        <v>14</v>
      </c>
      <c r="K33" s="45">
        <v>14</v>
      </c>
      <c r="L33" s="45">
        <v>14</v>
      </c>
      <c r="M33" s="45">
        <v>14</v>
      </c>
      <c r="N33" s="45">
        <v>14</v>
      </c>
      <c r="O33" s="45">
        <v>14</v>
      </c>
      <c r="P33" s="45">
        <v>14</v>
      </c>
      <c r="Q33" s="45">
        <v>14</v>
      </c>
      <c r="R33" s="45">
        <v>14</v>
      </c>
      <c r="S33" s="45">
        <v>14</v>
      </c>
      <c r="T33" s="45">
        <v>14</v>
      </c>
      <c r="U33" s="45">
        <v>14</v>
      </c>
      <c r="V33" s="45">
        <v>14</v>
      </c>
      <c r="W33" s="45">
        <v>14</v>
      </c>
      <c r="X33" s="45">
        <v>14</v>
      </c>
      <c r="Y33" s="45">
        <v>14</v>
      </c>
      <c r="Z33" s="45">
        <v>14</v>
      </c>
      <c r="AA33" s="45">
        <v>14</v>
      </c>
      <c r="AB33" s="45">
        <v>14</v>
      </c>
      <c r="AC33" s="45">
        <v>14</v>
      </c>
      <c r="AD33" s="45">
        <v>14</v>
      </c>
      <c r="AE33" s="45">
        <v>14</v>
      </c>
      <c r="AF33" s="45">
        <v>14</v>
      </c>
      <c r="AG33" s="50">
        <v>20</v>
      </c>
      <c r="AH33" s="47">
        <f t="shared" si="2"/>
        <v>14</v>
      </c>
      <c r="AI33" s="48">
        <f t="shared" si="3"/>
        <v>14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0">
        <v>18</v>
      </c>
      <c r="AH34" s="47">
        <f t="shared" si="2"/>
        <v>8.5</v>
      </c>
      <c r="AI34" s="48">
        <f t="shared" si="3"/>
        <v>8.5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0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50">
        <v>13</v>
      </c>
      <c r="AH38" s="47">
        <f t="shared" si="2"/>
        <v>6</v>
      </c>
      <c r="AI38" s="48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6</v>
      </c>
      <c r="AG39" s="50">
        <v>12</v>
      </c>
      <c r="AH39" s="47">
        <f t="shared" si="2"/>
        <v>7</v>
      </c>
      <c r="AI39" s="48">
        <f t="shared" si="3"/>
        <v>6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>
        <v>3.6</v>
      </c>
      <c r="N45" s="45">
        <v>3.6</v>
      </c>
      <c r="O45" s="45">
        <v>3.6</v>
      </c>
      <c r="P45" s="45">
        <v>3.6</v>
      </c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3.6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5</v>
      </c>
      <c r="C46" s="45">
        <v>5</v>
      </c>
      <c r="D46" s="45">
        <v>5</v>
      </c>
      <c r="E46" s="45">
        <v>5</v>
      </c>
      <c r="F46" s="45">
        <v>5</v>
      </c>
      <c r="G46" s="45">
        <v>5</v>
      </c>
      <c r="H46" s="45">
        <v>5</v>
      </c>
      <c r="I46" s="45">
        <v>5</v>
      </c>
      <c r="J46" s="45">
        <v>5</v>
      </c>
      <c r="K46" s="45">
        <v>5</v>
      </c>
      <c r="L46" s="45">
        <v>5</v>
      </c>
      <c r="M46" s="45">
        <v>5</v>
      </c>
      <c r="N46" s="45">
        <v>5</v>
      </c>
      <c r="O46" s="45">
        <v>5</v>
      </c>
      <c r="P46" s="45">
        <v>5</v>
      </c>
      <c r="Q46" s="45">
        <v>5</v>
      </c>
      <c r="R46" s="45">
        <v>5</v>
      </c>
      <c r="S46" s="45">
        <v>5</v>
      </c>
      <c r="T46" s="45">
        <v>5</v>
      </c>
      <c r="U46" s="45">
        <v>5</v>
      </c>
      <c r="V46" s="45">
        <v>5</v>
      </c>
      <c r="W46" s="45">
        <v>5</v>
      </c>
      <c r="X46" s="45">
        <v>5</v>
      </c>
      <c r="Y46" s="45">
        <v>5</v>
      </c>
      <c r="Z46" s="45">
        <v>5</v>
      </c>
      <c r="AA46" s="45">
        <v>5</v>
      </c>
      <c r="AB46" s="45">
        <v>5</v>
      </c>
      <c r="AC46" s="45">
        <v>5</v>
      </c>
      <c r="AD46" s="45">
        <v>5</v>
      </c>
      <c r="AE46" s="45">
        <v>5</v>
      </c>
      <c r="AF46" s="45">
        <v>5</v>
      </c>
      <c r="AG46" s="54">
        <v>10</v>
      </c>
      <c r="AH46" s="47">
        <f t="shared" si="2"/>
        <v>5</v>
      </c>
      <c r="AI46" s="48">
        <f t="shared" si="3"/>
        <v>5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230</v>
      </c>
      <c r="C48" s="56">
        <v>230</v>
      </c>
      <c r="D48" s="56">
        <v>230</v>
      </c>
      <c r="E48" s="56">
        <v>230</v>
      </c>
      <c r="F48" s="56">
        <v>230</v>
      </c>
      <c r="G48" s="56">
        <v>230</v>
      </c>
      <c r="H48" s="56">
        <v>230</v>
      </c>
      <c r="I48" s="56">
        <v>230</v>
      </c>
      <c r="J48" s="56">
        <v>230</v>
      </c>
      <c r="K48" s="56">
        <v>230</v>
      </c>
      <c r="L48" s="56">
        <v>230</v>
      </c>
      <c r="M48" s="56">
        <v>230</v>
      </c>
      <c r="N48" s="56">
        <v>230</v>
      </c>
      <c r="O48" s="56">
        <v>230</v>
      </c>
      <c r="P48" s="56">
        <v>230</v>
      </c>
      <c r="Q48" s="56">
        <v>230</v>
      </c>
      <c r="R48" s="56">
        <v>230</v>
      </c>
      <c r="S48" s="56">
        <v>230</v>
      </c>
      <c r="T48" s="56">
        <v>230</v>
      </c>
      <c r="U48" s="56">
        <v>230</v>
      </c>
      <c r="V48" s="56">
        <v>230</v>
      </c>
      <c r="W48" s="56">
        <v>230</v>
      </c>
      <c r="X48" s="56">
        <v>230</v>
      </c>
      <c r="Y48" s="56">
        <v>230</v>
      </c>
      <c r="Z48" s="56">
        <v>230</v>
      </c>
      <c r="AA48" s="56">
        <v>230</v>
      </c>
      <c r="AB48" s="56">
        <v>230</v>
      </c>
      <c r="AC48" s="56">
        <v>230</v>
      </c>
      <c r="AD48" s="56">
        <v>230</v>
      </c>
      <c r="AE48" s="56">
        <v>230</v>
      </c>
      <c r="AF48" s="56">
        <v>230</v>
      </c>
      <c r="AG48" s="54">
        <v>85</v>
      </c>
      <c r="AH48" s="47">
        <f t="shared" si="2"/>
        <v>230</v>
      </c>
      <c r="AI48" s="48">
        <f t="shared" si="3"/>
        <v>230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>
        <f>24+20</f>
        <v>44</v>
      </c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44</v>
      </c>
      <c r="AI49" s="48">
        <f t="shared" si="3"/>
        <v>44</v>
      </c>
      <c r="AK49" s="49"/>
    </row>
    <row r="50" spans="1:41" ht="15.75" thickBot="1" x14ac:dyDescent="0.3">
      <c r="A50" s="59" t="s">
        <v>56</v>
      </c>
      <c r="B50" s="60">
        <v>689.40000000000009</v>
      </c>
      <c r="C50" s="60">
        <f t="shared" ref="C50:AD50" si="4">SUM(C11:C48)</f>
        <v>683.2</v>
      </c>
      <c r="D50" s="60">
        <f t="shared" si="4"/>
        <v>683.2</v>
      </c>
      <c r="E50" s="60">
        <f t="shared" si="4"/>
        <v>683.2</v>
      </c>
      <c r="F50" s="60">
        <f t="shared" si="4"/>
        <v>683.2</v>
      </c>
      <c r="G50" s="60">
        <f t="shared" si="4"/>
        <v>683.2</v>
      </c>
      <c r="H50" s="60">
        <f t="shared" si="4"/>
        <v>683.2</v>
      </c>
      <c r="I50" s="60">
        <f t="shared" si="4"/>
        <v>683.2</v>
      </c>
      <c r="J50" s="60">
        <f t="shared" si="4"/>
        <v>683.2</v>
      </c>
      <c r="K50" s="60">
        <f t="shared" si="4"/>
        <v>683.2</v>
      </c>
      <c r="L50" s="60">
        <f t="shared" si="4"/>
        <v>683.2</v>
      </c>
      <c r="M50" s="60">
        <f t="shared" si="4"/>
        <v>686.5</v>
      </c>
      <c r="N50" s="60">
        <f t="shared" si="4"/>
        <v>685.5</v>
      </c>
      <c r="O50" s="60">
        <f t="shared" si="4"/>
        <v>685.5</v>
      </c>
      <c r="P50" s="60">
        <f t="shared" si="4"/>
        <v>685.5</v>
      </c>
      <c r="Q50" s="60">
        <f t="shared" si="4"/>
        <v>685.5</v>
      </c>
      <c r="R50" s="60">
        <f t="shared" si="4"/>
        <v>685.5</v>
      </c>
      <c r="S50" s="60">
        <f t="shared" si="4"/>
        <v>678</v>
      </c>
      <c r="T50" s="60">
        <f t="shared" si="4"/>
        <v>678</v>
      </c>
      <c r="U50" s="60">
        <f t="shared" si="4"/>
        <v>678</v>
      </c>
      <c r="V50" s="60">
        <f t="shared" si="4"/>
        <v>672.90000000000009</v>
      </c>
      <c r="W50" s="60">
        <f t="shared" si="4"/>
        <v>682.1</v>
      </c>
      <c r="X50" s="60">
        <f t="shared" si="4"/>
        <v>682.1</v>
      </c>
      <c r="Y50" s="60">
        <f t="shared" si="4"/>
        <v>682.1</v>
      </c>
      <c r="Z50" s="60">
        <f t="shared" si="4"/>
        <v>682.1</v>
      </c>
      <c r="AA50" s="60">
        <f t="shared" si="4"/>
        <v>703.5</v>
      </c>
      <c r="AB50" s="60">
        <f>SUM(AB11:AB48)</f>
        <v>697.80000000000007</v>
      </c>
      <c r="AC50" s="60">
        <f t="shared" si="4"/>
        <v>701.80000000000007</v>
      </c>
      <c r="AD50" s="60">
        <f t="shared" si="4"/>
        <v>701.80000000000007</v>
      </c>
      <c r="AE50" s="60">
        <f>SUM(AE11:AE48)</f>
        <v>709.30000000000007</v>
      </c>
      <c r="AF50" s="60">
        <f>SUM(AF11:AF48)</f>
        <v>709.6</v>
      </c>
      <c r="AG50" s="61">
        <f>SUM(AG13:AG48)</f>
        <v>922.14</v>
      </c>
      <c r="AH50" s="47">
        <f t="shared" si="2"/>
        <v>709.6</v>
      </c>
      <c r="AI50" s="48">
        <f t="shared" si="3"/>
        <v>672.90000000000009</v>
      </c>
      <c r="AK50" s="49"/>
    </row>
    <row r="51" spans="1:41" x14ac:dyDescent="0.25">
      <c r="A51" s="62" t="s">
        <v>57</v>
      </c>
      <c r="B51" s="45">
        <v>360</v>
      </c>
      <c r="C51" s="45">
        <v>330</v>
      </c>
      <c r="D51" s="45">
        <v>310</v>
      </c>
      <c r="E51" s="45">
        <v>220</v>
      </c>
      <c r="F51" s="45">
        <v>220</v>
      </c>
      <c r="G51" s="45">
        <v>120</v>
      </c>
      <c r="H51" s="45">
        <v>100</v>
      </c>
      <c r="I51" s="45">
        <v>140</v>
      </c>
      <c r="J51" s="45">
        <v>150</v>
      </c>
      <c r="K51" s="45">
        <v>150</v>
      </c>
      <c r="L51" s="45">
        <v>150</v>
      </c>
      <c r="M51" s="45">
        <v>40</v>
      </c>
      <c r="N51" s="63">
        <v>110</v>
      </c>
      <c r="O51" s="63">
        <v>110</v>
      </c>
      <c r="P51" s="63">
        <v>140</v>
      </c>
      <c r="Q51" s="63">
        <v>160</v>
      </c>
      <c r="R51" s="63">
        <v>130</v>
      </c>
      <c r="S51" s="63">
        <v>160</v>
      </c>
      <c r="T51" s="63">
        <v>140</v>
      </c>
      <c r="U51" s="45">
        <v>90</v>
      </c>
      <c r="V51" s="45">
        <v>45</v>
      </c>
      <c r="W51" s="45">
        <v>30</v>
      </c>
      <c r="X51" s="45">
        <v>30</v>
      </c>
      <c r="Y51" s="45">
        <v>80</v>
      </c>
      <c r="Z51" s="45">
        <v>160</v>
      </c>
      <c r="AA51" s="45">
        <v>380</v>
      </c>
      <c r="AB51" s="45">
        <v>310</v>
      </c>
      <c r="AC51" s="45">
        <v>300</v>
      </c>
      <c r="AD51" s="45">
        <v>290</v>
      </c>
      <c r="AE51" s="45">
        <v>250</v>
      </c>
      <c r="AF51" s="45">
        <v>310</v>
      </c>
      <c r="AG51" s="51">
        <v>456</v>
      </c>
      <c r="AH51" s="47">
        <f t="shared" si="2"/>
        <v>380</v>
      </c>
      <c r="AI51" s="48">
        <f t="shared" si="3"/>
        <v>30</v>
      </c>
      <c r="AK51" s="49"/>
    </row>
    <row r="52" spans="1:41" x14ac:dyDescent="0.25">
      <c r="A52" s="64" t="s">
        <v>58</v>
      </c>
      <c r="B52" s="65">
        <v>36</v>
      </c>
      <c r="C52" s="65">
        <v>36</v>
      </c>
      <c r="D52" s="65">
        <v>36</v>
      </c>
      <c r="E52" s="65">
        <v>36</v>
      </c>
      <c r="F52" s="65">
        <v>36</v>
      </c>
      <c r="G52" s="65">
        <v>36</v>
      </c>
      <c r="H52" s="65">
        <v>36</v>
      </c>
      <c r="I52" s="65">
        <v>36</v>
      </c>
      <c r="J52" s="65">
        <v>36</v>
      </c>
      <c r="K52" s="65">
        <v>36</v>
      </c>
      <c r="L52" s="65">
        <v>36</v>
      </c>
      <c r="M52" s="65">
        <v>36</v>
      </c>
      <c r="N52" s="65">
        <v>36</v>
      </c>
      <c r="O52" s="65">
        <v>36</v>
      </c>
      <c r="P52" s="65">
        <v>36</v>
      </c>
      <c r="Q52" s="65">
        <v>36</v>
      </c>
      <c r="R52" s="65">
        <v>36</v>
      </c>
      <c r="S52" s="65">
        <v>36</v>
      </c>
      <c r="T52" s="65">
        <v>36</v>
      </c>
      <c r="U52" s="65">
        <v>36</v>
      </c>
      <c r="V52" s="65">
        <v>36</v>
      </c>
      <c r="W52" s="65">
        <v>36</v>
      </c>
      <c r="X52" s="65">
        <v>36</v>
      </c>
      <c r="Y52" s="65">
        <v>36</v>
      </c>
      <c r="Z52" s="65">
        <v>36</v>
      </c>
      <c r="AA52" s="65">
        <v>36</v>
      </c>
      <c r="AB52" s="65">
        <v>36</v>
      </c>
      <c r="AC52" s="65">
        <v>36</v>
      </c>
      <c r="AD52" s="65">
        <v>36</v>
      </c>
      <c r="AE52" s="65">
        <v>36</v>
      </c>
      <c r="AF52" s="65">
        <v>36</v>
      </c>
      <c r="AG52" s="54">
        <v>60</v>
      </c>
      <c r="AH52" s="47">
        <f t="shared" si="2"/>
        <v>36</v>
      </c>
      <c r="AI52" s="48">
        <f t="shared" si="3"/>
        <v>36</v>
      </c>
      <c r="AK52" s="49"/>
    </row>
    <row r="53" spans="1:41" ht="15.75" thickBot="1" x14ac:dyDescent="0.3">
      <c r="A53" s="66" t="s">
        <v>59</v>
      </c>
      <c r="B53" s="67">
        <v>22.4</v>
      </c>
      <c r="C53" s="67">
        <v>22.4</v>
      </c>
      <c r="D53" s="67">
        <v>22.4</v>
      </c>
      <c r="E53" s="67">
        <v>22.4</v>
      </c>
      <c r="F53" s="67">
        <v>22.4</v>
      </c>
      <c r="G53" s="67">
        <v>22.4</v>
      </c>
      <c r="H53" s="67">
        <v>22.4</v>
      </c>
      <c r="I53" s="67">
        <v>22.4</v>
      </c>
      <c r="J53" s="67">
        <v>22.4</v>
      </c>
      <c r="K53" s="67">
        <v>22.4</v>
      </c>
      <c r="L53" s="67">
        <v>22.4</v>
      </c>
      <c r="M53" s="67">
        <v>21.3</v>
      </c>
      <c r="N53" s="67">
        <v>20.3</v>
      </c>
      <c r="O53" s="67">
        <v>20.3</v>
      </c>
      <c r="P53" s="67">
        <v>18.2</v>
      </c>
      <c r="Q53" s="67">
        <v>18.2</v>
      </c>
      <c r="R53" s="67">
        <v>18.2</v>
      </c>
      <c r="S53" s="67">
        <v>18.2</v>
      </c>
      <c r="T53" s="67">
        <v>18.2</v>
      </c>
      <c r="U53" s="67">
        <v>18.2</v>
      </c>
      <c r="V53" s="67">
        <v>18.2</v>
      </c>
      <c r="W53" s="67">
        <v>18.2</v>
      </c>
      <c r="X53" s="67">
        <v>18.2</v>
      </c>
      <c r="Y53" s="67">
        <v>18.2</v>
      </c>
      <c r="Z53" s="67">
        <v>18.2</v>
      </c>
      <c r="AA53" s="67">
        <v>18.2</v>
      </c>
      <c r="AB53" s="67">
        <v>22</v>
      </c>
      <c r="AC53" s="67">
        <v>22</v>
      </c>
      <c r="AD53" s="67">
        <v>22</v>
      </c>
      <c r="AE53" s="67">
        <v>22</v>
      </c>
      <c r="AF53" s="67">
        <v>22</v>
      </c>
      <c r="AG53" s="68">
        <v>22.1</v>
      </c>
      <c r="AH53" s="47">
        <f t="shared" si="2"/>
        <v>22.4</v>
      </c>
      <c r="AI53" s="48">
        <f t="shared" si="3"/>
        <v>18.2</v>
      </c>
      <c r="AK53" s="49"/>
    </row>
    <row r="54" spans="1:41" ht="15.75" thickBot="1" x14ac:dyDescent="0.3">
      <c r="A54" s="69" t="s">
        <v>60</v>
      </c>
      <c r="B54" s="60">
        <v>398.4</v>
      </c>
      <c r="C54" s="60">
        <f t="shared" ref="C54:AG54" si="5">SUM(C51:C53)</f>
        <v>388.4</v>
      </c>
      <c r="D54" s="60">
        <f t="shared" si="5"/>
        <v>368.4</v>
      </c>
      <c r="E54" s="60">
        <f t="shared" si="5"/>
        <v>278.39999999999998</v>
      </c>
      <c r="F54" s="60">
        <f t="shared" si="5"/>
        <v>278.39999999999998</v>
      </c>
      <c r="G54" s="60">
        <f t="shared" si="5"/>
        <v>178.4</v>
      </c>
      <c r="H54" s="60">
        <f t="shared" si="5"/>
        <v>158.4</v>
      </c>
      <c r="I54" s="60">
        <f t="shared" si="5"/>
        <v>198.4</v>
      </c>
      <c r="J54" s="60">
        <f t="shared" si="5"/>
        <v>208.4</v>
      </c>
      <c r="K54" s="60">
        <f t="shared" si="5"/>
        <v>208.4</v>
      </c>
      <c r="L54" s="60">
        <f t="shared" si="5"/>
        <v>208.4</v>
      </c>
      <c r="M54" s="60">
        <f t="shared" si="5"/>
        <v>97.3</v>
      </c>
      <c r="N54" s="60">
        <f t="shared" si="5"/>
        <v>166.3</v>
      </c>
      <c r="O54" s="60">
        <f t="shared" si="5"/>
        <v>166.3</v>
      </c>
      <c r="P54" s="60">
        <f t="shared" si="5"/>
        <v>194.2</v>
      </c>
      <c r="Q54" s="60">
        <f t="shared" si="5"/>
        <v>214.2</v>
      </c>
      <c r="R54" s="60">
        <f t="shared" si="5"/>
        <v>184.2</v>
      </c>
      <c r="S54" s="60">
        <f t="shared" si="5"/>
        <v>214.2</v>
      </c>
      <c r="T54" s="60">
        <f t="shared" si="5"/>
        <v>194.2</v>
      </c>
      <c r="U54" s="60">
        <f t="shared" si="5"/>
        <v>144.19999999999999</v>
      </c>
      <c r="V54" s="60">
        <f t="shared" si="5"/>
        <v>99.2</v>
      </c>
      <c r="W54" s="60">
        <f t="shared" si="5"/>
        <v>84.2</v>
      </c>
      <c r="X54" s="60">
        <f t="shared" si="5"/>
        <v>84.2</v>
      </c>
      <c r="Y54" s="60">
        <f t="shared" si="5"/>
        <v>134.19999999999999</v>
      </c>
      <c r="Z54" s="60">
        <f t="shared" si="5"/>
        <v>214.2</v>
      </c>
      <c r="AA54" s="60">
        <f t="shared" si="5"/>
        <v>434.2</v>
      </c>
      <c r="AB54" s="60">
        <f>SUM(AB51:AB53)</f>
        <v>368</v>
      </c>
      <c r="AC54" s="60">
        <f t="shared" si="5"/>
        <v>358</v>
      </c>
      <c r="AD54" s="60">
        <f t="shared" si="5"/>
        <v>348</v>
      </c>
      <c r="AE54" s="60">
        <f>SUM(AE51:AE53)</f>
        <v>308</v>
      </c>
      <c r="AF54" s="60">
        <f>SUM(AF51:AF53)</f>
        <v>368</v>
      </c>
      <c r="AG54" s="61">
        <f t="shared" si="5"/>
        <v>538.1</v>
      </c>
      <c r="AH54" s="47">
        <f t="shared" si="2"/>
        <v>434.2</v>
      </c>
      <c r="AI54" s="48">
        <f t="shared" si="3"/>
        <v>84.2</v>
      </c>
      <c r="AK54" s="49"/>
    </row>
    <row r="55" spans="1:41" x14ac:dyDescent="0.25">
      <c r="A55" s="44" t="s">
        <v>61</v>
      </c>
      <c r="B55" s="45">
        <v>132</v>
      </c>
      <c r="C55" s="45">
        <v>120</v>
      </c>
      <c r="D55" s="45">
        <v>100</v>
      </c>
      <c r="E55" s="45">
        <v>100</v>
      </c>
      <c r="F55" s="45">
        <v>100</v>
      </c>
      <c r="G55" s="45">
        <v>90</v>
      </c>
      <c r="H55" s="45">
        <v>70</v>
      </c>
      <c r="I55" s="45">
        <v>60</v>
      </c>
      <c r="J55" s="45">
        <v>70</v>
      </c>
      <c r="K55" s="45">
        <v>80</v>
      </c>
      <c r="L55" s="45">
        <v>95</v>
      </c>
      <c r="M55" s="45">
        <v>95.6</v>
      </c>
      <c r="N55" s="45">
        <v>71.400000000000006</v>
      </c>
      <c r="O55" s="45">
        <v>94.1</v>
      </c>
      <c r="P55" s="45">
        <v>74.3</v>
      </c>
      <c r="Q55" s="45">
        <v>135.5</v>
      </c>
      <c r="R55" s="45">
        <v>97.6</v>
      </c>
      <c r="S55" s="45">
        <v>97.6</v>
      </c>
      <c r="T55" s="45">
        <v>97.6</v>
      </c>
      <c r="U55" s="45">
        <v>97.6</v>
      </c>
      <c r="V55" s="45">
        <v>97.6</v>
      </c>
      <c r="W55" s="45">
        <v>72</v>
      </c>
      <c r="X55" s="45">
        <v>61</v>
      </c>
      <c r="Y55" s="45">
        <v>101</v>
      </c>
      <c r="Z55" s="45">
        <v>91.6</v>
      </c>
      <c r="AA55" s="45">
        <v>121</v>
      </c>
      <c r="AB55" s="45">
        <v>111.8</v>
      </c>
      <c r="AC55" s="45">
        <v>101.8</v>
      </c>
      <c r="AD55" s="45">
        <v>71.599999999999994</v>
      </c>
      <c r="AE55" s="45">
        <v>71.599999999999994</v>
      </c>
      <c r="AF55" s="45">
        <v>85.6</v>
      </c>
      <c r="AG55" s="51">
        <v>144</v>
      </c>
      <c r="AH55" s="47">
        <f t="shared" si="2"/>
        <v>135.5</v>
      </c>
      <c r="AI55" s="48">
        <f t="shared" si="3"/>
        <v>60</v>
      </c>
      <c r="AK55" s="49"/>
    </row>
    <row r="56" spans="1:41" x14ac:dyDescent="0.25">
      <c r="A56" s="53" t="s">
        <v>62</v>
      </c>
      <c r="B56" s="65">
        <v>50</v>
      </c>
      <c r="C56" s="65">
        <v>50</v>
      </c>
      <c r="D56" s="65">
        <v>45</v>
      </c>
      <c r="E56" s="65">
        <v>35</v>
      </c>
      <c r="F56" s="65">
        <v>35</v>
      </c>
      <c r="G56" s="65">
        <v>35</v>
      </c>
      <c r="H56" s="65">
        <v>35</v>
      </c>
      <c r="I56" s="65">
        <v>35</v>
      </c>
      <c r="J56" s="65">
        <v>35</v>
      </c>
      <c r="K56" s="65">
        <v>50</v>
      </c>
      <c r="L56" s="65">
        <v>70</v>
      </c>
      <c r="M56" s="65">
        <v>56.9</v>
      </c>
      <c r="N56" s="65">
        <v>59.2</v>
      </c>
      <c r="O56" s="65">
        <v>68.7</v>
      </c>
      <c r="P56" s="65">
        <v>69.5</v>
      </c>
      <c r="Q56" s="65">
        <v>70.400000000000006</v>
      </c>
      <c r="R56" s="65">
        <v>71.400000000000006</v>
      </c>
      <c r="S56" s="65">
        <v>70.3</v>
      </c>
      <c r="T56" s="65">
        <v>70.3</v>
      </c>
      <c r="U56" s="65">
        <v>70.3</v>
      </c>
      <c r="V56" s="65">
        <v>64</v>
      </c>
      <c r="W56" s="65">
        <v>59</v>
      </c>
      <c r="X56" s="65">
        <v>55</v>
      </c>
      <c r="Y56" s="65">
        <v>46</v>
      </c>
      <c r="Z56" s="65">
        <v>46</v>
      </c>
      <c r="AA56" s="45">
        <v>68</v>
      </c>
      <c r="AB56" s="45">
        <v>70.7</v>
      </c>
      <c r="AC56" s="45">
        <v>62.4</v>
      </c>
      <c r="AD56" s="45">
        <v>51.4</v>
      </c>
      <c r="AE56" s="45">
        <v>51.4</v>
      </c>
      <c r="AF56" s="45">
        <v>35</v>
      </c>
      <c r="AG56" s="54">
        <v>70</v>
      </c>
      <c r="AH56" s="47">
        <f t="shared" si="2"/>
        <v>71.400000000000006</v>
      </c>
      <c r="AI56" s="48">
        <f t="shared" si="3"/>
        <v>35</v>
      </c>
      <c r="AK56" s="49"/>
    </row>
    <row r="57" spans="1:41" x14ac:dyDescent="0.25">
      <c r="A57" s="53" t="s">
        <v>63</v>
      </c>
      <c r="B57" s="65">
        <v>60</v>
      </c>
      <c r="C57" s="65">
        <v>60</v>
      </c>
      <c r="D57" s="65">
        <v>69</v>
      </c>
      <c r="E57" s="65">
        <v>63.4</v>
      </c>
      <c r="F57" s="65">
        <v>63.4</v>
      </c>
      <c r="G57" s="65">
        <v>63.4</v>
      </c>
      <c r="H57" s="65">
        <v>50</v>
      </c>
      <c r="I57" s="65">
        <v>46</v>
      </c>
      <c r="J57" s="65">
        <v>46</v>
      </c>
      <c r="K57" s="65">
        <v>46</v>
      </c>
      <c r="L57" s="65">
        <v>46</v>
      </c>
      <c r="M57" s="65">
        <v>45.3</v>
      </c>
      <c r="N57" s="65">
        <v>45.2</v>
      </c>
      <c r="O57" s="65">
        <v>46.4</v>
      </c>
      <c r="P57" s="65">
        <v>46.3</v>
      </c>
      <c r="Q57" s="65">
        <v>46.5</v>
      </c>
      <c r="R57" s="65">
        <v>46.4</v>
      </c>
      <c r="S57" s="65">
        <v>46.4</v>
      </c>
      <c r="T57" s="65">
        <v>67</v>
      </c>
      <c r="U57" s="65">
        <v>67</v>
      </c>
      <c r="V57" s="65">
        <v>69</v>
      </c>
      <c r="W57" s="65">
        <v>65</v>
      </c>
      <c r="X57" s="65">
        <v>53.4</v>
      </c>
      <c r="Y57" s="65">
        <v>53.4</v>
      </c>
      <c r="Z57" s="65">
        <v>53.4</v>
      </c>
      <c r="AA57" s="45">
        <v>70</v>
      </c>
      <c r="AB57" s="45">
        <v>60.7</v>
      </c>
      <c r="AC57" s="45">
        <v>61</v>
      </c>
      <c r="AD57" s="45">
        <v>65.3</v>
      </c>
      <c r="AE57" s="45">
        <v>65.3</v>
      </c>
      <c r="AF57" s="45">
        <v>60.1</v>
      </c>
      <c r="AG57" s="54">
        <v>69</v>
      </c>
      <c r="AH57" s="47">
        <f t="shared" si="2"/>
        <v>70</v>
      </c>
      <c r="AI57" s="48">
        <f t="shared" si="3"/>
        <v>45.2</v>
      </c>
      <c r="AK57" s="49"/>
    </row>
    <row r="58" spans="1:41" x14ac:dyDescent="0.25">
      <c r="A58" s="53" t="s">
        <v>64</v>
      </c>
      <c r="B58" s="65">
        <v>60.4</v>
      </c>
      <c r="C58" s="65">
        <v>60.4</v>
      </c>
      <c r="D58" s="65">
        <v>60.4</v>
      </c>
      <c r="E58" s="65">
        <v>60.4</v>
      </c>
      <c r="F58" s="65">
        <v>60.4</v>
      </c>
      <c r="G58" s="65">
        <v>60.4</v>
      </c>
      <c r="H58" s="65">
        <v>60.4</v>
      </c>
      <c r="I58" s="65">
        <v>60.4</v>
      </c>
      <c r="J58" s="65">
        <v>60.4</v>
      </c>
      <c r="K58" s="65">
        <v>60.4</v>
      </c>
      <c r="L58" s="65">
        <v>60.4</v>
      </c>
      <c r="M58" s="65">
        <v>60.4</v>
      </c>
      <c r="N58" s="65">
        <v>60.4</v>
      </c>
      <c r="O58" s="65">
        <v>60.4</v>
      </c>
      <c r="P58" s="65">
        <v>60.4</v>
      </c>
      <c r="Q58" s="65">
        <v>60.4</v>
      </c>
      <c r="R58" s="65">
        <v>60.4</v>
      </c>
      <c r="S58" s="65">
        <v>60.4</v>
      </c>
      <c r="T58" s="65">
        <v>60.4</v>
      </c>
      <c r="U58" s="65">
        <v>60.4</v>
      </c>
      <c r="V58" s="65">
        <v>60.4</v>
      </c>
      <c r="W58" s="65">
        <v>60.4</v>
      </c>
      <c r="X58" s="65">
        <v>60.4</v>
      </c>
      <c r="Y58" s="65">
        <v>60.4</v>
      </c>
      <c r="Z58" s="65">
        <v>60.4</v>
      </c>
      <c r="AA58" s="45">
        <v>60.4</v>
      </c>
      <c r="AB58" s="45">
        <v>60.4</v>
      </c>
      <c r="AC58" s="45">
        <v>60.4</v>
      </c>
      <c r="AD58" s="45">
        <v>60.4</v>
      </c>
      <c r="AE58" s="45">
        <v>60.4</v>
      </c>
      <c r="AF58" s="45">
        <v>60.4</v>
      </c>
      <c r="AG58" s="54">
        <v>60</v>
      </c>
      <c r="AH58" s="47">
        <f t="shared" si="2"/>
        <v>60.4</v>
      </c>
      <c r="AI58" s="48">
        <f t="shared" si="3"/>
        <v>60.4</v>
      </c>
      <c r="AK58" s="49"/>
    </row>
    <row r="59" spans="1:41" x14ac:dyDescent="0.25">
      <c r="A59" s="53" t="s">
        <v>65</v>
      </c>
      <c r="B59" s="65">
        <v>13</v>
      </c>
      <c r="C59" s="65">
        <v>0</v>
      </c>
      <c r="D59" s="65">
        <v>0</v>
      </c>
      <c r="E59" s="65">
        <v>0</v>
      </c>
      <c r="F59" s="65">
        <v>15</v>
      </c>
      <c r="G59" s="65">
        <v>15</v>
      </c>
      <c r="H59" s="65">
        <v>15</v>
      </c>
      <c r="I59" s="65">
        <v>15</v>
      </c>
      <c r="J59" s="65">
        <v>15</v>
      </c>
      <c r="K59" s="65">
        <v>15</v>
      </c>
      <c r="L59" s="65">
        <v>15</v>
      </c>
      <c r="M59" s="65">
        <v>12</v>
      </c>
      <c r="N59" s="65">
        <v>12</v>
      </c>
      <c r="O59" s="65">
        <v>15</v>
      </c>
      <c r="P59" s="65">
        <v>15</v>
      </c>
      <c r="Q59" s="65">
        <v>15</v>
      </c>
      <c r="R59" s="65">
        <v>15</v>
      </c>
      <c r="S59" s="65">
        <v>22</v>
      </c>
      <c r="T59" s="65">
        <v>22</v>
      </c>
      <c r="U59" s="65">
        <v>15</v>
      </c>
      <c r="V59" s="65">
        <v>15</v>
      </c>
      <c r="W59" s="65">
        <v>12</v>
      </c>
      <c r="X59" s="65">
        <v>15</v>
      </c>
      <c r="Y59" s="65">
        <v>10</v>
      </c>
      <c r="Z59" s="65">
        <v>10</v>
      </c>
      <c r="AA59" s="45">
        <v>10</v>
      </c>
      <c r="AB59" s="45">
        <v>10</v>
      </c>
      <c r="AC59" s="45">
        <v>10</v>
      </c>
      <c r="AD59" s="45">
        <v>10</v>
      </c>
      <c r="AE59" s="45">
        <v>10</v>
      </c>
      <c r="AF59" s="45">
        <v>10</v>
      </c>
      <c r="AG59" s="54">
        <v>30</v>
      </c>
      <c r="AH59" s="47">
        <f t="shared" si="2"/>
        <v>22</v>
      </c>
      <c r="AI59" s="48">
        <f t="shared" si="3"/>
        <v>0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8</v>
      </c>
      <c r="N60" s="65">
        <v>12.7</v>
      </c>
      <c r="O60" s="65">
        <v>15</v>
      </c>
      <c r="P60" s="65">
        <v>16.2</v>
      </c>
      <c r="Q60" s="65">
        <v>16.2</v>
      </c>
      <c r="R60" s="65">
        <v>16.84</v>
      </c>
      <c r="S60" s="65">
        <v>15</v>
      </c>
      <c r="T60" s="65">
        <v>10</v>
      </c>
      <c r="U60" s="65">
        <v>10</v>
      </c>
      <c r="V60" s="65">
        <v>3.1</v>
      </c>
      <c r="W60" s="65">
        <v>3.1</v>
      </c>
      <c r="X60" s="65">
        <v>3.1</v>
      </c>
      <c r="Y60" s="65">
        <v>0.2</v>
      </c>
      <c r="Z60" s="6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16.84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15</v>
      </c>
      <c r="N61" s="65">
        <v>15</v>
      </c>
      <c r="O61" s="65">
        <v>15</v>
      </c>
      <c r="P61" s="65">
        <v>15</v>
      </c>
      <c r="Q61" s="65">
        <v>15</v>
      </c>
      <c r="R61" s="65">
        <v>15</v>
      </c>
      <c r="S61" s="65">
        <v>15</v>
      </c>
      <c r="T61" s="65">
        <v>15</v>
      </c>
      <c r="U61" s="65">
        <v>15</v>
      </c>
      <c r="V61" s="65">
        <v>15</v>
      </c>
      <c r="W61" s="65">
        <v>15</v>
      </c>
      <c r="X61" s="65">
        <v>15</v>
      </c>
      <c r="Y61" s="65">
        <v>15</v>
      </c>
      <c r="Z61" s="65">
        <v>15</v>
      </c>
      <c r="AA61" s="65">
        <v>15</v>
      </c>
      <c r="AB61" s="65">
        <v>15</v>
      </c>
      <c r="AC61" s="65">
        <v>15</v>
      </c>
      <c r="AD61" s="65">
        <v>15</v>
      </c>
      <c r="AE61" s="65">
        <v>15</v>
      </c>
      <c r="AF61" s="65">
        <v>15</v>
      </c>
      <c r="AG61" s="54">
        <v>24</v>
      </c>
      <c r="AH61" s="47">
        <f t="shared" si="2"/>
        <v>17</v>
      </c>
      <c r="AI61" s="48">
        <f t="shared" si="3"/>
        <v>15</v>
      </c>
      <c r="AK61" s="49"/>
    </row>
    <row r="62" spans="1:41" x14ac:dyDescent="0.25">
      <c r="A62" s="53" t="s">
        <v>68</v>
      </c>
      <c r="B62" s="65">
        <v>2</v>
      </c>
      <c r="C62" s="65">
        <v>2</v>
      </c>
      <c r="D62" s="65">
        <v>2</v>
      </c>
      <c r="E62" s="65">
        <v>2</v>
      </c>
      <c r="F62" s="65">
        <v>2</v>
      </c>
      <c r="G62" s="65">
        <v>2</v>
      </c>
      <c r="H62" s="65">
        <v>2</v>
      </c>
      <c r="I62" s="65">
        <v>2</v>
      </c>
      <c r="J62" s="65">
        <v>2</v>
      </c>
      <c r="K62" s="65">
        <v>2</v>
      </c>
      <c r="L62" s="65">
        <v>2</v>
      </c>
      <c r="M62" s="65">
        <v>2</v>
      </c>
      <c r="N62" s="65">
        <v>2</v>
      </c>
      <c r="O62" s="65">
        <v>2</v>
      </c>
      <c r="P62" s="65">
        <v>2</v>
      </c>
      <c r="Q62" s="65">
        <v>2</v>
      </c>
      <c r="R62" s="65">
        <v>2</v>
      </c>
      <c r="S62" s="65">
        <v>2</v>
      </c>
      <c r="T62" s="65">
        <v>2</v>
      </c>
      <c r="U62" s="65">
        <v>2</v>
      </c>
      <c r="V62" s="65">
        <v>2</v>
      </c>
      <c r="W62" s="65">
        <v>2</v>
      </c>
      <c r="X62" s="65">
        <v>2</v>
      </c>
      <c r="Y62" s="65">
        <v>2</v>
      </c>
      <c r="Z62" s="65">
        <v>2</v>
      </c>
      <c r="AA62" s="65">
        <v>2</v>
      </c>
      <c r="AB62" s="65">
        <v>2</v>
      </c>
      <c r="AC62" s="65">
        <v>2</v>
      </c>
      <c r="AD62" s="65">
        <v>2</v>
      </c>
      <c r="AE62" s="65">
        <v>2</v>
      </c>
      <c r="AF62" s="65">
        <v>2</v>
      </c>
      <c r="AG62" s="54">
        <v>15</v>
      </c>
      <c r="AH62" s="47">
        <f t="shared" si="2"/>
        <v>2</v>
      </c>
      <c r="AI62" s="48">
        <f t="shared" si="3"/>
        <v>2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10</v>
      </c>
      <c r="C63" s="65">
        <v>10</v>
      </c>
      <c r="D63" s="65">
        <v>10</v>
      </c>
      <c r="E63" s="65">
        <v>10</v>
      </c>
      <c r="F63" s="65">
        <v>10</v>
      </c>
      <c r="G63" s="65">
        <v>10</v>
      </c>
      <c r="H63" s="65">
        <v>10</v>
      </c>
      <c r="I63" s="65">
        <v>10</v>
      </c>
      <c r="J63" s="65">
        <v>10</v>
      </c>
      <c r="K63" s="65">
        <v>10</v>
      </c>
      <c r="L63" s="65">
        <v>10</v>
      </c>
      <c r="M63" s="65">
        <v>10</v>
      </c>
      <c r="N63" s="65">
        <v>10</v>
      </c>
      <c r="O63" s="65">
        <v>10</v>
      </c>
      <c r="P63" s="65">
        <v>10.1</v>
      </c>
      <c r="Q63" s="65">
        <v>10.1</v>
      </c>
      <c r="R63" s="65">
        <v>10.1</v>
      </c>
      <c r="S63" s="65">
        <v>10.1</v>
      </c>
      <c r="T63" s="65">
        <v>10.1</v>
      </c>
      <c r="U63" s="65">
        <v>10.1</v>
      </c>
      <c r="V63" s="65">
        <v>10.1</v>
      </c>
      <c r="W63" s="65">
        <v>10.1</v>
      </c>
      <c r="X63" s="65">
        <v>10.1</v>
      </c>
      <c r="Y63" s="65">
        <v>10.1</v>
      </c>
      <c r="Z63" s="65">
        <v>10.1</v>
      </c>
      <c r="AA63" s="65">
        <v>10.1</v>
      </c>
      <c r="AB63" s="65">
        <v>10.1</v>
      </c>
      <c r="AC63" s="65">
        <v>10.1</v>
      </c>
      <c r="AD63" s="65">
        <v>10.1</v>
      </c>
      <c r="AE63" s="65">
        <v>10.1</v>
      </c>
      <c r="AF63" s="65">
        <v>10.1</v>
      </c>
      <c r="AG63" s="54">
        <v>14.1</v>
      </c>
      <c r="AH63" s="47">
        <f t="shared" si="2"/>
        <v>10.1</v>
      </c>
      <c r="AI63" s="48">
        <f t="shared" si="3"/>
        <v>10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8.6</v>
      </c>
      <c r="C64" s="65">
        <v>8.6</v>
      </c>
      <c r="D64" s="65">
        <v>8.6</v>
      </c>
      <c r="E64" s="65">
        <v>8.6</v>
      </c>
      <c r="F64" s="65">
        <v>8.6</v>
      </c>
      <c r="G64" s="65">
        <v>8.6</v>
      </c>
      <c r="H64" s="65">
        <v>8.6</v>
      </c>
      <c r="I64" s="65">
        <v>8.6</v>
      </c>
      <c r="J64" s="65">
        <v>8.6</v>
      </c>
      <c r="K64" s="65">
        <v>8.6</v>
      </c>
      <c r="L64" s="65">
        <v>8.6</v>
      </c>
      <c r="M64" s="65">
        <v>8.6</v>
      </c>
      <c r="N64" s="65">
        <v>8.6</v>
      </c>
      <c r="O64" s="65">
        <v>8.6</v>
      </c>
      <c r="P64" s="65">
        <v>8.6</v>
      </c>
      <c r="Q64" s="65">
        <v>8.6</v>
      </c>
      <c r="R64" s="65">
        <v>8.6</v>
      </c>
      <c r="S64" s="65">
        <v>8.6</v>
      </c>
      <c r="T64" s="65">
        <v>8.6</v>
      </c>
      <c r="U64" s="65">
        <v>7.9</v>
      </c>
      <c r="V64" s="65">
        <v>7.9</v>
      </c>
      <c r="W64" s="65">
        <v>7.9</v>
      </c>
      <c r="X64" s="65">
        <v>7.9</v>
      </c>
      <c r="Y64" s="65">
        <v>8</v>
      </c>
      <c r="Z64" s="65">
        <v>8</v>
      </c>
      <c r="AA64" s="65">
        <v>8</v>
      </c>
      <c r="AB64" s="65">
        <v>9.4</v>
      </c>
      <c r="AC64" s="65">
        <v>9.4</v>
      </c>
      <c r="AD64" s="65">
        <v>9.4</v>
      </c>
      <c r="AE64" s="65">
        <v>9.4</v>
      </c>
      <c r="AF64" s="65">
        <v>12.8</v>
      </c>
      <c r="AG64" s="54">
        <v>14</v>
      </c>
      <c r="AH64" s="47">
        <f t="shared" si="2"/>
        <v>12.8</v>
      </c>
      <c r="AI64" s="48">
        <f t="shared" si="3"/>
        <v>7.9</v>
      </c>
      <c r="AK64" s="49"/>
    </row>
    <row r="65" spans="1:40" x14ac:dyDescent="0.25">
      <c r="A65" s="53" t="s">
        <v>71</v>
      </c>
      <c r="B65" s="65">
        <v>4.9000000000000004</v>
      </c>
      <c r="C65" s="65">
        <v>4.9000000000000004</v>
      </c>
      <c r="D65" s="65">
        <v>4.9000000000000004</v>
      </c>
      <c r="E65" s="65">
        <v>4.9000000000000004</v>
      </c>
      <c r="F65" s="65">
        <v>4.9000000000000004</v>
      </c>
      <c r="G65" s="65">
        <v>4.9000000000000004</v>
      </c>
      <c r="H65" s="65">
        <v>4.9000000000000004</v>
      </c>
      <c r="I65" s="65">
        <v>4.9000000000000004</v>
      </c>
      <c r="J65" s="65">
        <v>4.9000000000000004</v>
      </c>
      <c r="K65" s="65">
        <v>4.9000000000000004</v>
      </c>
      <c r="L65" s="65">
        <v>4.9000000000000004</v>
      </c>
      <c r="M65" s="65">
        <v>4.9000000000000004</v>
      </c>
      <c r="N65" s="65">
        <v>4.9000000000000004</v>
      </c>
      <c r="O65" s="65">
        <v>4.9000000000000004</v>
      </c>
      <c r="P65" s="65">
        <v>4.9000000000000004</v>
      </c>
      <c r="Q65" s="65">
        <v>4.9000000000000004</v>
      </c>
      <c r="R65" s="65">
        <v>4.9000000000000004</v>
      </c>
      <c r="S65" s="65">
        <v>4.9000000000000004</v>
      </c>
      <c r="T65" s="65">
        <v>4.9000000000000004</v>
      </c>
      <c r="U65" s="65">
        <v>4.9000000000000004</v>
      </c>
      <c r="V65" s="65">
        <v>4.9000000000000004</v>
      </c>
      <c r="W65" s="65">
        <v>4.9000000000000004</v>
      </c>
      <c r="X65" s="65">
        <v>4.9000000000000004</v>
      </c>
      <c r="Y65" s="65">
        <v>4.9000000000000004</v>
      </c>
      <c r="Z65" s="65">
        <v>4.9000000000000004</v>
      </c>
      <c r="AA65" s="65">
        <v>4.9000000000000004</v>
      </c>
      <c r="AB65" s="65">
        <v>3.8</v>
      </c>
      <c r="AC65" s="65">
        <v>3.8</v>
      </c>
      <c r="AD65" s="65">
        <v>3.8</v>
      </c>
      <c r="AE65" s="65">
        <v>3.8</v>
      </c>
      <c r="AF65" s="65">
        <v>4.9000000000000004</v>
      </c>
      <c r="AG65" s="54">
        <v>10.050000000000001</v>
      </c>
      <c r="AH65" s="47">
        <f t="shared" si="2"/>
        <v>4.9000000000000004</v>
      </c>
      <c r="AI65" s="48">
        <f t="shared" si="3"/>
        <v>3.8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v>371.94</v>
      </c>
      <c r="C68" s="60">
        <f t="shared" ref="C68:AG68" si="6">SUM(C55:C67)</f>
        <v>338.44</v>
      </c>
      <c r="D68" s="60">
        <f t="shared" si="6"/>
        <v>322.44</v>
      </c>
      <c r="E68" s="60">
        <f t="shared" si="6"/>
        <v>306.84000000000003</v>
      </c>
      <c r="F68" s="60">
        <f t="shared" si="6"/>
        <v>321.84000000000003</v>
      </c>
      <c r="G68" s="60">
        <f t="shared" si="6"/>
        <v>311.84000000000003</v>
      </c>
      <c r="H68" s="60">
        <f t="shared" si="6"/>
        <v>278.44</v>
      </c>
      <c r="I68" s="60">
        <f t="shared" si="6"/>
        <v>264.44</v>
      </c>
      <c r="J68" s="60">
        <f t="shared" si="6"/>
        <v>274.44</v>
      </c>
      <c r="K68" s="60">
        <f t="shared" si="6"/>
        <v>299.44</v>
      </c>
      <c r="L68" s="60">
        <f t="shared" si="6"/>
        <v>334.44</v>
      </c>
      <c r="M68" s="60">
        <f t="shared" si="6"/>
        <v>324.24</v>
      </c>
      <c r="N68" s="60">
        <f t="shared" si="6"/>
        <v>306.94000000000005</v>
      </c>
      <c r="O68" s="60">
        <f t="shared" si="6"/>
        <v>345.64000000000004</v>
      </c>
      <c r="P68" s="60">
        <f t="shared" si="6"/>
        <v>327.84000000000003</v>
      </c>
      <c r="Q68" s="60">
        <f t="shared" si="6"/>
        <v>390.14000000000004</v>
      </c>
      <c r="R68" s="60">
        <f t="shared" si="6"/>
        <v>353.78000000000003</v>
      </c>
      <c r="S68" s="60">
        <f t="shared" si="6"/>
        <v>357.84000000000003</v>
      </c>
      <c r="T68" s="60">
        <f t="shared" si="6"/>
        <v>373.44</v>
      </c>
      <c r="U68" s="60">
        <f t="shared" si="6"/>
        <v>365.73999999999995</v>
      </c>
      <c r="V68" s="60">
        <f t="shared" si="6"/>
        <v>354.54</v>
      </c>
      <c r="W68" s="60">
        <f t="shared" si="6"/>
        <v>316.94</v>
      </c>
      <c r="X68" s="60">
        <f t="shared" si="6"/>
        <v>293.33999999999997</v>
      </c>
      <c r="Y68" s="60">
        <f t="shared" si="6"/>
        <v>316.54000000000002</v>
      </c>
      <c r="Z68" s="60">
        <f t="shared" si="6"/>
        <v>306.94</v>
      </c>
      <c r="AA68" s="60">
        <f t="shared" si="6"/>
        <v>374.94</v>
      </c>
      <c r="AB68" s="60">
        <f>SUM(AB55:AB67)</f>
        <v>359.44</v>
      </c>
      <c r="AC68" s="60">
        <f t="shared" si="6"/>
        <v>341.44</v>
      </c>
      <c r="AD68" s="60">
        <f t="shared" si="6"/>
        <v>304.54000000000008</v>
      </c>
      <c r="AE68" s="60">
        <f t="shared" si="6"/>
        <v>304.54000000000008</v>
      </c>
      <c r="AF68" s="60">
        <f t="shared" si="6"/>
        <v>301.44000000000005</v>
      </c>
      <c r="AG68" s="61">
        <f t="shared" si="6"/>
        <v>489.91</v>
      </c>
      <c r="AH68" s="47">
        <f t="shared" si="2"/>
        <v>390.14000000000004</v>
      </c>
      <c r="AI68" s="48">
        <f t="shared" si="3"/>
        <v>264.44</v>
      </c>
      <c r="AK68" s="49"/>
    </row>
    <row r="69" spans="1:40" x14ac:dyDescent="0.25">
      <c r="A69" s="44" t="s">
        <v>75</v>
      </c>
      <c r="B69" s="45">
        <v>60</v>
      </c>
      <c r="C69" s="45">
        <v>50</v>
      </c>
      <c r="D69" s="45">
        <v>50</v>
      </c>
      <c r="E69" s="45">
        <v>30</v>
      </c>
      <c r="F69" s="45">
        <v>10</v>
      </c>
      <c r="G69" s="45">
        <v>0</v>
      </c>
      <c r="H69" s="45">
        <v>0</v>
      </c>
      <c r="I69" s="45">
        <v>0</v>
      </c>
      <c r="J69" s="45">
        <v>30</v>
      </c>
      <c r="K69" s="45">
        <v>30</v>
      </c>
      <c r="L69" s="45">
        <v>30</v>
      </c>
      <c r="M69" s="45">
        <v>43.6</v>
      </c>
      <c r="N69" s="45">
        <v>60</v>
      </c>
      <c r="O69" s="45">
        <v>60</v>
      </c>
      <c r="P69" s="45">
        <v>60</v>
      </c>
      <c r="Q69" s="45">
        <v>60</v>
      </c>
      <c r="R69" s="45">
        <v>60</v>
      </c>
      <c r="S69" s="45">
        <v>50</v>
      </c>
      <c r="T69" s="45">
        <v>50</v>
      </c>
      <c r="U69" s="45">
        <v>60</v>
      </c>
      <c r="V69" s="45">
        <v>60</v>
      </c>
      <c r="W69" s="45">
        <v>60</v>
      </c>
      <c r="X69" s="45">
        <v>34</v>
      </c>
      <c r="Y69" s="45">
        <v>60</v>
      </c>
      <c r="Z69" s="45">
        <v>60</v>
      </c>
      <c r="AA69" s="45">
        <v>60</v>
      </c>
      <c r="AB69" s="45">
        <v>59</v>
      </c>
      <c r="AC69" s="45">
        <v>59.4</v>
      </c>
      <c r="AD69" s="45">
        <v>59.3</v>
      </c>
      <c r="AE69" s="45">
        <v>59.3</v>
      </c>
      <c r="AF69" s="45">
        <v>50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29</v>
      </c>
      <c r="C70" s="45">
        <v>22</v>
      </c>
      <c r="D70" s="45">
        <v>22</v>
      </c>
      <c r="E70" s="65">
        <v>14</v>
      </c>
      <c r="F70" s="65">
        <v>4.2</v>
      </c>
      <c r="G70" s="65">
        <v>0</v>
      </c>
      <c r="H70" s="65">
        <v>0</v>
      </c>
      <c r="I70" s="65">
        <v>0</v>
      </c>
      <c r="J70" s="65">
        <v>15</v>
      </c>
      <c r="K70" s="65">
        <v>15</v>
      </c>
      <c r="L70" s="65">
        <v>15</v>
      </c>
      <c r="M70" s="65">
        <v>15.4</v>
      </c>
      <c r="N70" s="65">
        <v>27</v>
      </c>
      <c r="O70" s="65">
        <v>28.9</v>
      </c>
      <c r="P70" s="65">
        <v>29.9</v>
      </c>
      <c r="Q70" s="65">
        <v>29.7</v>
      </c>
      <c r="R70" s="65">
        <v>29.2</v>
      </c>
      <c r="S70" s="65">
        <v>23.4</v>
      </c>
      <c r="T70" s="65">
        <v>23.4</v>
      </c>
      <c r="U70" s="65">
        <v>29.8</v>
      </c>
      <c r="V70" s="65">
        <v>29.8</v>
      </c>
      <c r="W70" s="65">
        <v>21</v>
      </c>
      <c r="X70" s="65">
        <v>24.6</v>
      </c>
      <c r="Y70" s="65">
        <v>12.7</v>
      </c>
      <c r="Z70" s="65">
        <v>30.6</v>
      </c>
      <c r="AA70" s="65">
        <v>30.6</v>
      </c>
      <c r="AB70" s="65">
        <v>29.9</v>
      </c>
      <c r="AC70" s="65">
        <v>29.9</v>
      </c>
      <c r="AD70" s="65">
        <v>29.9</v>
      </c>
      <c r="AE70" s="65">
        <v>29.9</v>
      </c>
      <c r="AF70" s="65">
        <v>23.4</v>
      </c>
      <c r="AG70" s="54">
        <v>32</v>
      </c>
      <c r="AH70" s="47">
        <f t="shared" si="2"/>
        <v>30.6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10.7</v>
      </c>
      <c r="C71" s="45">
        <v>8</v>
      </c>
      <c r="D71" s="45">
        <v>8</v>
      </c>
      <c r="E71" s="67">
        <v>5.0999999999999996</v>
      </c>
      <c r="F71" s="67">
        <v>2.1</v>
      </c>
      <c r="G71" s="67">
        <v>0</v>
      </c>
      <c r="H71" s="67">
        <v>0</v>
      </c>
      <c r="I71" s="67">
        <v>0</v>
      </c>
      <c r="J71" s="67">
        <v>5.5</v>
      </c>
      <c r="K71" s="67">
        <v>5.5</v>
      </c>
      <c r="L71" s="67">
        <v>5.5</v>
      </c>
      <c r="M71" s="67">
        <v>5.6</v>
      </c>
      <c r="N71" s="67">
        <v>9.8000000000000007</v>
      </c>
      <c r="O71" s="67">
        <v>10.6</v>
      </c>
      <c r="P71" s="67">
        <v>10.9</v>
      </c>
      <c r="Q71" s="67">
        <v>10.9</v>
      </c>
      <c r="R71" s="67">
        <v>10.6</v>
      </c>
      <c r="S71" s="67">
        <v>8.5</v>
      </c>
      <c r="T71" s="67">
        <v>8.5</v>
      </c>
      <c r="U71" s="67">
        <v>10.9</v>
      </c>
      <c r="V71" s="67">
        <v>10.9</v>
      </c>
      <c r="W71" s="67">
        <v>7.6</v>
      </c>
      <c r="X71" s="67">
        <v>9</v>
      </c>
      <c r="Y71" s="67">
        <v>4.5999999999999996</v>
      </c>
      <c r="Z71" s="67">
        <v>11.2</v>
      </c>
      <c r="AA71" s="67">
        <v>11.2</v>
      </c>
      <c r="AB71" s="67">
        <v>10.9</v>
      </c>
      <c r="AC71" s="67">
        <v>10.9</v>
      </c>
      <c r="AD71" s="67">
        <v>10.9</v>
      </c>
      <c r="AE71" s="67">
        <v>10.9</v>
      </c>
      <c r="AF71" s="67">
        <v>8.5</v>
      </c>
      <c r="AG71" s="68">
        <v>14</v>
      </c>
      <c r="AH71" s="47">
        <f t="shared" si="2"/>
        <v>11.2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v>99.7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50.5</v>
      </c>
      <c r="M72" s="60">
        <f t="shared" ref="M72:AF72" si="7">M69+M70+M71</f>
        <v>64.599999999999994</v>
      </c>
      <c r="N72" s="60">
        <f t="shared" si="7"/>
        <v>96.8</v>
      </c>
      <c r="O72" s="60">
        <f t="shared" si="7"/>
        <v>99.5</v>
      </c>
      <c r="P72" s="60">
        <f t="shared" si="7"/>
        <v>100.80000000000001</v>
      </c>
      <c r="Q72" s="60">
        <f t="shared" si="7"/>
        <v>100.60000000000001</v>
      </c>
      <c r="R72" s="60">
        <f t="shared" si="7"/>
        <v>99.8</v>
      </c>
      <c r="S72" s="60">
        <f t="shared" si="7"/>
        <v>81.900000000000006</v>
      </c>
      <c r="T72" s="60">
        <f t="shared" si="7"/>
        <v>81.900000000000006</v>
      </c>
      <c r="U72" s="60">
        <f t="shared" si="7"/>
        <v>100.7</v>
      </c>
      <c r="V72" s="60">
        <f t="shared" si="7"/>
        <v>100.7</v>
      </c>
      <c r="W72" s="60">
        <f t="shared" si="7"/>
        <v>88.6</v>
      </c>
      <c r="X72" s="60">
        <f t="shared" si="7"/>
        <v>67.599999999999994</v>
      </c>
      <c r="Y72" s="60">
        <f t="shared" si="7"/>
        <v>77.3</v>
      </c>
      <c r="Z72" s="60">
        <f t="shared" si="7"/>
        <v>101.8</v>
      </c>
      <c r="AA72" s="60">
        <f t="shared" si="7"/>
        <v>101.8</v>
      </c>
      <c r="AB72" s="60">
        <f t="shared" si="7"/>
        <v>99.800000000000011</v>
      </c>
      <c r="AC72" s="60">
        <f t="shared" si="7"/>
        <v>100.2</v>
      </c>
      <c r="AD72" s="60">
        <f t="shared" si="7"/>
        <v>100.1</v>
      </c>
      <c r="AE72" s="60">
        <f t="shared" si="7"/>
        <v>100.1</v>
      </c>
      <c r="AF72" s="60">
        <f t="shared" si="7"/>
        <v>81.900000000000006</v>
      </c>
      <c r="AG72" s="61">
        <f>SUM(AG69:AG71)</f>
        <v>106</v>
      </c>
      <c r="AH72" s="47">
        <f t="shared" si="2"/>
        <v>101.8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68</v>
      </c>
      <c r="C73" s="45">
        <v>70</v>
      </c>
      <c r="D73" s="45">
        <v>68</v>
      </c>
      <c r="E73" s="45">
        <v>60</v>
      </c>
      <c r="F73" s="45">
        <v>60</v>
      </c>
      <c r="G73" s="45">
        <v>60</v>
      </c>
      <c r="H73" s="45">
        <v>60</v>
      </c>
      <c r="I73" s="45">
        <v>55</v>
      </c>
      <c r="J73" s="45">
        <v>55</v>
      </c>
      <c r="K73" s="45">
        <v>55</v>
      </c>
      <c r="L73" s="45">
        <v>56.5</v>
      </c>
      <c r="M73" s="45">
        <v>67.400000000000006</v>
      </c>
      <c r="N73" s="45">
        <v>67.599999999999994</v>
      </c>
      <c r="O73" s="45">
        <v>54</v>
      </c>
      <c r="P73" s="45">
        <v>54</v>
      </c>
      <c r="Q73" s="45">
        <v>63</v>
      </c>
      <c r="R73" s="45">
        <v>57.6</v>
      </c>
      <c r="S73" s="45">
        <v>58.9</v>
      </c>
      <c r="T73" s="45">
        <v>57</v>
      </c>
      <c r="U73" s="45">
        <v>61.2</v>
      </c>
      <c r="V73" s="45">
        <v>64</v>
      </c>
      <c r="W73" s="45">
        <v>71</v>
      </c>
      <c r="X73" s="45">
        <v>73</v>
      </c>
      <c r="Y73" s="45">
        <v>38.1</v>
      </c>
      <c r="Z73" s="45">
        <v>48.6</v>
      </c>
      <c r="AA73" s="45">
        <v>57</v>
      </c>
      <c r="AB73" s="45">
        <v>56.4</v>
      </c>
      <c r="AC73" s="45">
        <v>55.5</v>
      </c>
      <c r="AD73" s="45">
        <v>55.3</v>
      </c>
      <c r="AE73" s="45">
        <v>57.4</v>
      </c>
      <c r="AF73" s="45">
        <v>58</v>
      </c>
      <c r="AG73" s="51"/>
      <c r="AH73" s="47">
        <f t="shared" si="2"/>
        <v>73</v>
      </c>
      <c r="AI73" s="48">
        <f t="shared" si="3"/>
        <v>38.1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94.2</v>
      </c>
      <c r="V74" s="65">
        <v>105</v>
      </c>
      <c r="W74" s="65">
        <v>101</v>
      </c>
      <c r="X74" s="65">
        <v>91.4</v>
      </c>
      <c r="Y74" s="65">
        <v>89</v>
      </c>
      <c r="Z74" s="65">
        <v>92.1</v>
      </c>
      <c r="AA74" s="65">
        <v>96</v>
      </c>
      <c r="AB74" s="65">
        <v>95.9</v>
      </c>
      <c r="AC74" s="65">
        <v>94.9</v>
      </c>
      <c r="AD74" s="65">
        <v>98.1</v>
      </c>
      <c r="AE74" s="65">
        <v>101</v>
      </c>
      <c r="AF74" s="65">
        <v>0</v>
      </c>
      <c r="AG74" s="54"/>
      <c r="AH74" s="47">
        <f t="shared" si="2"/>
        <v>105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20</v>
      </c>
      <c r="C75" s="65">
        <v>18</v>
      </c>
      <c r="D75" s="65">
        <v>30</v>
      </c>
      <c r="E75" s="65">
        <v>130</v>
      </c>
      <c r="F75" s="65">
        <v>170</v>
      </c>
      <c r="G75" s="65">
        <v>250</v>
      </c>
      <c r="H75" s="65">
        <v>270</v>
      </c>
      <c r="I75" s="65">
        <v>275</v>
      </c>
      <c r="J75" s="65">
        <v>275</v>
      </c>
      <c r="K75" s="65">
        <v>320</v>
      </c>
      <c r="L75" s="65">
        <v>320</v>
      </c>
      <c r="M75" s="65">
        <v>438</v>
      </c>
      <c r="N75" s="65">
        <v>383.2</v>
      </c>
      <c r="O75" s="65">
        <v>333.5</v>
      </c>
      <c r="P75" s="65">
        <v>312.39999999999998</v>
      </c>
      <c r="Q75" s="65">
        <v>280</v>
      </c>
      <c r="R75" s="65">
        <v>326.7</v>
      </c>
      <c r="S75" s="65">
        <v>315.39999999999998</v>
      </c>
      <c r="T75" s="65">
        <v>300</v>
      </c>
      <c r="U75" s="65">
        <v>297</v>
      </c>
      <c r="V75" s="65">
        <v>266</v>
      </c>
      <c r="W75" s="65">
        <v>280</v>
      </c>
      <c r="X75" s="65">
        <v>233</v>
      </c>
      <c r="Y75" s="65">
        <v>229</v>
      </c>
      <c r="Z75" s="65">
        <v>218</v>
      </c>
      <c r="AA75" s="65">
        <v>0</v>
      </c>
      <c r="AB75" s="65">
        <v>0</v>
      </c>
      <c r="AC75" s="65">
        <v>0</v>
      </c>
      <c r="AD75" s="65">
        <v>1.4</v>
      </c>
      <c r="AE75" s="65">
        <v>2.8</v>
      </c>
      <c r="AF75" s="65">
        <v>10</v>
      </c>
      <c r="AG75" s="75"/>
      <c r="AH75" s="47">
        <f t="shared" si="2"/>
        <v>438</v>
      </c>
      <c r="AI75" s="48">
        <f t="shared" si="3"/>
        <v>0</v>
      </c>
      <c r="AK75" s="49"/>
    </row>
    <row r="76" spans="1:40" x14ac:dyDescent="0.25">
      <c r="A76" s="53" t="s">
        <v>82</v>
      </c>
      <c r="B76" s="65">
        <v>15</v>
      </c>
      <c r="C76" s="65">
        <v>15</v>
      </c>
      <c r="D76" s="65">
        <v>15</v>
      </c>
      <c r="E76" s="65">
        <v>15</v>
      </c>
      <c r="F76" s="65">
        <v>15</v>
      </c>
      <c r="G76" s="65">
        <v>15</v>
      </c>
      <c r="H76" s="65">
        <v>30</v>
      </c>
      <c r="I76" s="76">
        <v>30</v>
      </c>
      <c r="J76" s="76">
        <v>31.9</v>
      </c>
      <c r="K76" s="76">
        <v>31.9</v>
      </c>
      <c r="L76" s="76">
        <v>31.9</v>
      </c>
      <c r="M76" s="76">
        <v>24.3</v>
      </c>
      <c r="N76" s="76">
        <v>40.1</v>
      </c>
      <c r="O76" s="76">
        <v>46.9</v>
      </c>
      <c r="P76" s="76">
        <v>51.2</v>
      </c>
      <c r="Q76" s="76">
        <v>53.5</v>
      </c>
      <c r="R76" s="76">
        <v>52.2</v>
      </c>
      <c r="S76" s="76">
        <v>46.6</v>
      </c>
      <c r="T76" s="76">
        <v>52.3</v>
      </c>
      <c r="U76" s="76">
        <v>46</v>
      </c>
      <c r="V76" s="76">
        <v>54.4</v>
      </c>
      <c r="W76" s="76">
        <v>54.4</v>
      </c>
      <c r="X76" s="76">
        <v>61</v>
      </c>
      <c r="Y76" s="76">
        <v>50</v>
      </c>
      <c r="Z76" s="76">
        <v>47.3</v>
      </c>
      <c r="AA76" s="76">
        <v>48.9</v>
      </c>
      <c r="AB76" s="76">
        <v>45.9</v>
      </c>
      <c r="AC76" s="76">
        <v>46.6</v>
      </c>
      <c r="AD76" s="65">
        <v>46</v>
      </c>
      <c r="AE76" s="65">
        <v>38</v>
      </c>
      <c r="AF76" s="65">
        <v>38</v>
      </c>
      <c r="AG76" s="75"/>
      <c r="AH76" s="47">
        <f t="shared" si="2"/>
        <v>61</v>
      </c>
      <c r="AI76" s="48">
        <f t="shared" si="3"/>
        <v>15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37.299999999999997</v>
      </c>
      <c r="P77" s="45">
        <v>37.5</v>
      </c>
      <c r="Q77" s="45">
        <v>37.799999999999997</v>
      </c>
      <c r="R77" s="45">
        <v>35</v>
      </c>
      <c r="S77" s="45">
        <v>35.4</v>
      </c>
      <c r="T77" s="45">
        <v>33.200000000000003</v>
      </c>
      <c r="U77" s="45">
        <v>30.4</v>
      </c>
      <c r="V77" s="45">
        <v>21.3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8">MAX(B77:AF77)</f>
        <v>37.799999999999997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45">
        <v>8</v>
      </c>
      <c r="C78" s="77">
        <v>8</v>
      </c>
      <c r="D78" s="77">
        <v>8</v>
      </c>
      <c r="E78" s="77">
        <v>8</v>
      </c>
      <c r="F78" s="77">
        <v>8</v>
      </c>
      <c r="G78" s="77">
        <v>8</v>
      </c>
      <c r="H78" s="77">
        <v>8</v>
      </c>
      <c r="I78" s="77">
        <v>8</v>
      </c>
      <c r="J78" s="77">
        <v>8</v>
      </c>
      <c r="K78" s="77">
        <v>8</v>
      </c>
      <c r="L78" s="77">
        <v>8</v>
      </c>
      <c r="M78" s="77">
        <v>9</v>
      </c>
      <c r="N78" s="77">
        <v>9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8"/>
        <v>9</v>
      </c>
      <c r="AI78" s="48">
        <f t="shared" si="9"/>
        <v>5</v>
      </c>
      <c r="AK78" s="49"/>
    </row>
    <row r="79" spans="1:40" ht="15.75" thickBot="1" x14ac:dyDescent="0.3">
      <c r="A79" s="53" t="s">
        <v>85</v>
      </c>
      <c r="B79" s="45">
        <v>7</v>
      </c>
      <c r="C79" s="45">
        <v>7</v>
      </c>
      <c r="D79" s="45">
        <v>7</v>
      </c>
      <c r="E79" s="45">
        <v>7</v>
      </c>
      <c r="F79" s="45">
        <v>7</v>
      </c>
      <c r="G79" s="45">
        <v>7</v>
      </c>
      <c r="H79" s="45">
        <v>7</v>
      </c>
      <c r="I79" s="45">
        <v>7</v>
      </c>
      <c r="J79" s="45">
        <v>7</v>
      </c>
      <c r="K79" s="45">
        <v>0</v>
      </c>
      <c r="L79" s="45">
        <v>0</v>
      </c>
      <c r="M79" s="45">
        <v>0</v>
      </c>
      <c r="N79" s="77">
        <v>0</v>
      </c>
      <c r="O79" s="77">
        <v>5</v>
      </c>
      <c r="P79" s="77">
        <v>5</v>
      </c>
      <c r="Q79" s="77">
        <v>5</v>
      </c>
      <c r="R79" s="77">
        <v>5</v>
      </c>
      <c r="S79" s="77">
        <v>5</v>
      </c>
      <c r="T79" s="77">
        <v>5</v>
      </c>
      <c r="U79" s="77">
        <v>5</v>
      </c>
      <c r="V79" s="77">
        <v>5</v>
      </c>
      <c r="W79" s="77">
        <v>5</v>
      </c>
      <c r="X79" s="77">
        <v>5</v>
      </c>
      <c r="Y79" s="77">
        <v>5</v>
      </c>
      <c r="Z79" s="77">
        <v>5</v>
      </c>
      <c r="AA79" s="77">
        <v>5</v>
      </c>
      <c r="AB79" s="77">
        <v>5</v>
      </c>
      <c r="AC79" s="77">
        <v>5</v>
      </c>
      <c r="AD79" s="77">
        <v>5</v>
      </c>
      <c r="AE79" s="77">
        <v>5</v>
      </c>
      <c r="AF79" s="77">
        <v>5</v>
      </c>
      <c r="AG79" s="75"/>
      <c r="AH79" s="47">
        <f t="shared" si="8"/>
        <v>7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3</v>
      </c>
      <c r="C80" s="45">
        <v>3</v>
      </c>
      <c r="D80" s="45">
        <v>3</v>
      </c>
      <c r="E80" s="45">
        <v>3</v>
      </c>
      <c r="F80" s="45">
        <v>3</v>
      </c>
      <c r="G80" s="45">
        <v>3</v>
      </c>
      <c r="H80" s="45">
        <v>3</v>
      </c>
      <c r="I80" s="45">
        <v>3</v>
      </c>
      <c r="J80" s="45">
        <v>3</v>
      </c>
      <c r="K80" s="45">
        <v>3</v>
      </c>
      <c r="L80" s="45">
        <v>3</v>
      </c>
      <c r="M80" s="45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3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6</v>
      </c>
      <c r="C81" s="45">
        <v>6</v>
      </c>
      <c r="D81" s="45">
        <v>6</v>
      </c>
      <c r="E81" s="45">
        <v>6</v>
      </c>
      <c r="F81" s="45">
        <v>6</v>
      </c>
      <c r="G81" s="45">
        <v>6</v>
      </c>
      <c r="H81" s="45">
        <v>6</v>
      </c>
      <c r="I81" s="45">
        <v>6</v>
      </c>
      <c r="J81" s="45">
        <v>6</v>
      </c>
      <c r="K81" s="45">
        <v>6</v>
      </c>
      <c r="L81" s="45">
        <v>6</v>
      </c>
      <c r="M81" s="45">
        <v>4</v>
      </c>
      <c r="N81" s="77">
        <v>4</v>
      </c>
      <c r="O81" s="77">
        <v>4</v>
      </c>
      <c r="P81" s="77">
        <v>4</v>
      </c>
      <c r="Q81" s="77">
        <v>4</v>
      </c>
      <c r="R81" s="77">
        <v>4</v>
      </c>
      <c r="S81" s="77">
        <v>4</v>
      </c>
      <c r="T81" s="77">
        <v>4</v>
      </c>
      <c r="U81" s="77">
        <v>4</v>
      </c>
      <c r="V81" s="77">
        <v>4</v>
      </c>
      <c r="W81" s="77">
        <v>4</v>
      </c>
      <c r="X81" s="77">
        <v>4</v>
      </c>
      <c r="Y81" s="77">
        <v>4</v>
      </c>
      <c r="Z81" s="77">
        <v>4</v>
      </c>
      <c r="AA81" s="77">
        <v>4</v>
      </c>
      <c r="AB81" s="77">
        <v>4</v>
      </c>
      <c r="AC81" s="77">
        <v>4</v>
      </c>
      <c r="AD81" s="77">
        <v>4</v>
      </c>
      <c r="AE81" s="77">
        <v>4</v>
      </c>
      <c r="AF81" s="77">
        <v>4</v>
      </c>
      <c r="AG81" s="75"/>
      <c r="AH81" s="47">
        <f t="shared" si="8"/>
        <v>6</v>
      </c>
      <c r="AI81" s="48">
        <f t="shared" si="9"/>
        <v>4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v>112</v>
      </c>
      <c r="C84" s="60">
        <f t="shared" ref="C84:AF84" si="10">SUMIF(C73:C83,"&gt;0")</f>
        <v>127</v>
      </c>
      <c r="D84" s="60">
        <f t="shared" si="10"/>
        <v>137</v>
      </c>
      <c r="E84" s="60">
        <f t="shared" si="10"/>
        <v>229</v>
      </c>
      <c r="F84" s="60">
        <f t="shared" si="10"/>
        <v>269</v>
      </c>
      <c r="G84" s="60">
        <f t="shared" si="10"/>
        <v>349</v>
      </c>
      <c r="H84" s="60">
        <f t="shared" si="10"/>
        <v>384</v>
      </c>
      <c r="I84" s="60">
        <f t="shared" si="10"/>
        <v>384</v>
      </c>
      <c r="J84" s="60">
        <f t="shared" si="10"/>
        <v>385.9</v>
      </c>
      <c r="K84" s="60">
        <f t="shared" si="10"/>
        <v>423.9</v>
      </c>
      <c r="L84" s="60">
        <f t="shared" si="10"/>
        <v>425.4</v>
      </c>
      <c r="M84" s="60">
        <f t="shared" si="10"/>
        <v>542.69999999999993</v>
      </c>
      <c r="N84" s="60">
        <f t="shared" si="10"/>
        <v>503.9</v>
      </c>
      <c r="O84" s="60">
        <f t="shared" si="10"/>
        <v>485.7</v>
      </c>
      <c r="P84" s="60">
        <f t="shared" si="10"/>
        <v>469.09999999999997</v>
      </c>
      <c r="Q84" s="60">
        <f t="shared" si="10"/>
        <v>448.3</v>
      </c>
      <c r="R84" s="60">
        <f t="shared" si="10"/>
        <v>485.5</v>
      </c>
      <c r="S84" s="60">
        <f t="shared" si="10"/>
        <v>470.29999999999995</v>
      </c>
      <c r="T84" s="60">
        <f t="shared" si="10"/>
        <v>456.5</v>
      </c>
      <c r="U84" s="60">
        <f t="shared" si="10"/>
        <v>542.79999999999995</v>
      </c>
      <c r="V84" s="60">
        <f t="shared" si="10"/>
        <v>524.70000000000005</v>
      </c>
      <c r="W84" s="60">
        <f t="shared" si="10"/>
        <v>520.4</v>
      </c>
      <c r="X84" s="60">
        <f t="shared" si="10"/>
        <v>472.4</v>
      </c>
      <c r="Y84" s="60">
        <f t="shared" si="10"/>
        <v>420.1</v>
      </c>
      <c r="Z84" s="60">
        <f t="shared" si="10"/>
        <v>420</v>
      </c>
      <c r="AA84" s="60">
        <f t="shared" si="10"/>
        <v>215.9</v>
      </c>
      <c r="AB84" s="60">
        <f t="shared" si="10"/>
        <v>212.20000000000002</v>
      </c>
      <c r="AC84" s="60">
        <f t="shared" si="10"/>
        <v>211</v>
      </c>
      <c r="AD84" s="60">
        <f t="shared" si="10"/>
        <v>214.79999999999998</v>
      </c>
      <c r="AE84" s="60">
        <f t="shared" si="10"/>
        <v>213.20000000000002</v>
      </c>
      <c r="AF84" s="60">
        <f t="shared" si="10"/>
        <v>120</v>
      </c>
      <c r="AG84" s="88">
        <f>SUM(AG73:AG83)</f>
        <v>0</v>
      </c>
      <c r="AH84" s="47">
        <f t="shared" si="8"/>
        <v>542.79999999999995</v>
      </c>
      <c r="AI84" s="48">
        <f t="shared" si="9"/>
        <v>112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v>1671.4400000000003</v>
      </c>
      <c r="C89" s="95">
        <f t="shared" ref="C89:AG89" si="11">C50+C54+C72+C68+C84+C88</f>
        <v>1537.04</v>
      </c>
      <c r="D89" s="95">
        <f t="shared" si="11"/>
        <v>1511.04</v>
      </c>
      <c r="E89" s="95">
        <f t="shared" si="11"/>
        <v>1497.44</v>
      </c>
      <c r="F89" s="95">
        <f t="shared" si="11"/>
        <v>1552.44</v>
      </c>
      <c r="G89" s="95">
        <f t="shared" si="11"/>
        <v>1522.44</v>
      </c>
      <c r="H89" s="95">
        <f t="shared" si="11"/>
        <v>1504.04</v>
      </c>
      <c r="I89" s="95">
        <f t="shared" si="11"/>
        <v>1530.04</v>
      </c>
      <c r="J89" s="95">
        <f t="shared" si="11"/>
        <v>1551.94</v>
      </c>
      <c r="K89" s="95">
        <f t="shared" si="11"/>
        <v>1614.94</v>
      </c>
      <c r="L89" s="95">
        <f t="shared" si="11"/>
        <v>1701.94</v>
      </c>
      <c r="M89" s="95">
        <f t="shared" si="11"/>
        <v>1715.3399999999997</v>
      </c>
      <c r="N89" s="95">
        <f t="shared" si="11"/>
        <v>1759.44</v>
      </c>
      <c r="O89" s="95">
        <f t="shared" si="11"/>
        <v>1782.64</v>
      </c>
      <c r="P89" s="95">
        <f t="shared" si="11"/>
        <v>1777.44</v>
      </c>
      <c r="Q89" s="95">
        <f t="shared" si="11"/>
        <v>1838.74</v>
      </c>
      <c r="R89" s="95">
        <f t="shared" si="11"/>
        <v>1808.78</v>
      </c>
      <c r="S89" s="95">
        <f t="shared" si="11"/>
        <v>1802.24</v>
      </c>
      <c r="T89" s="95">
        <f t="shared" si="11"/>
        <v>1784.04</v>
      </c>
      <c r="U89" s="95">
        <f t="shared" si="11"/>
        <v>1831.44</v>
      </c>
      <c r="V89" s="95">
        <f t="shared" si="11"/>
        <v>1752.0400000000002</v>
      </c>
      <c r="W89" s="95">
        <f t="shared" si="11"/>
        <v>1692.2400000000002</v>
      </c>
      <c r="X89" s="95">
        <f t="shared" si="11"/>
        <v>1599.6399999999999</v>
      </c>
      <c r="Y89" s="95">
        <f t="shared" si="11"/>
        <v>1630.2399999999998</v>
      </c>
      <c r="Z89" s="95">
        <f t="shared" si="11"/>
        <v>1725.04</v>
      </c>
      <c r="AA89" s="95">
        <f t="shared" si="11"/>
        <v>1830.3400000000001</v>
      </c>
      <c r="AB89" s="95">
        <f t="shared" si="11"/>
        <v>1737.2400000000002</v>
      </c>
      <c r="AC89" s="95">
        <f t="shared" si="11"/>
        <v>1712.4400000000003</v>
      </c>
      <c r="AD89" s="95">
        <f t="shared" si="11"/>
        <v>1669.24</v>
      </c>
      <c r="AE89" s="95">
        <f t="shared" si="11"/>
        <v>1635.14</v>
      </c>
      <c r="AF89" s="95">
        <f t="shared" si="11"/>
        <v>1580.94</v>
      </c>
      <c r="AG89" s="61">
        <f t="shared" si="11"/>
        <v>2111.5500000000002</v>
      </c>
      <c r="AH89" s="47">
        <f t="shared" si="8"/>
        <v>1838.74</v>
      </c>
      <c r="AI89" s="48">
        <f t="shared" si="9"/>
        <v>1497.44</v>
      </c>
    </row>
    <row r="90" spans="1:40" ht="15.75" thickBot="1" x14ac:dyDescent="0.3">
      <c r="A90" s="96" t="s">
        <v>99</v>
      </c>
      <c r="B90" s="97">
        <v>50</v>
      </c>
      <c r="C90" s="97">
        <v>50</v>
      </c>
      <c r="D90" s="97">
        <v>50</v>
      </c>
      <c r="E90" s="97">
        <v>50</v>
      </c>
      <c r="F90" s="97">
        <v>20</v>
      </c>
      <c r="G90" s="97"/>
      <c r="H90" s="97"/>
      <c r="I90" s="97"/>
      <c r="J90" s="97"/>
      <c r="K90" s="97">
        <v>50</v>
      </c>
      <c r="L90" s="97">
        <v>50</v>
      </c>
      <c r="M90" s="97">
        <v>50</v>
      </c>
      <c r="N90" s="97">
        <v>50</v>
      </c>
      <c r="O90" s="97">
        <v>50</v>
      </c>
      <c r="P90" s="97">
        <v>50</v>
      </c>
      <c r="Q90" s="97">
        <v>50</v>
      </c>
      <c r="R90" s="97">
        <v>50</v>
      </c>
      <c r="S90" s="97">
        <v>50</v>
      </c>
      <c r="T90" s="97">
        <v>50</v>
      </c>
      <c r="U90" s="97">
        <v>150</v>
      </c>
      <c r="V90" s="97">
        <v>150</v>
      </c>
      <c r="W90" s="97">
        <v>150</v>
      </c>
      <c r="X90" s="97">
        <v>150</v>
      </c>
      <c r="Y90" s="97">
        <v>150</v>
      </c>
      <c r="Z90" s="97">
        <v>150</v>
      </c>
      <c r="AA90" s="97">
        <v>200</v>
      </c>
      <c r="AB90" s="97">
        <v>200</v>
      </c>
      <c r="AC90" s="97">
        <v>200</v>
      </c>
      <c r="AD90" s="97">
        <v>200</v>
      </c>
      <c r="AE90" s="97">
        <v>150</v>
      </c>
      <c r="AF90" s="97">
        <v>0</v>
      </c>
      <c r="AG90" s="88"/>
      <c r="AH90" s="47">
        <f t="shared" si="8"/>
        <v>200</v>
      </c>
      <c r="AI90" s="48">
        <f t="shared" si="9"/>
        <v>0</v>
      </c>
    </row>
    <row r="91" spans="1:40" ht="15.75" thickBot="1" x14ac:dyDescent="0.3">
      <c r="A91" s="74" t="s">
        <v>100</v>
      </c>
      <c r="B91" s="95">
        <v>1671.4400000000003</v>
      </c>
      <c r="C91" s="95">
        <f t="shared" ref="C91:AF91" si="12">C89+C90</f>
        <v>1587.04</v>
      </c>
      <c r="D91" s="95">
        <f t="shared" si="12"/>
        <v>1561.04</v>
      </c>
      <c r="E91" s="95">
        <f t="shared" si="12"/>
        <v>1547.44</v>
      </c>
      <c r="F91" s="95">
        <f t="shared" si="12"/>
        <v>1572.44</v>
      </c>
      <c r="G91" s="95">
        <f t="shared" si="12"/>
        <v>1522.44</v>
      </c>
      <c r="H91" s="95">
        <f t="shared" si="12"/>
        <v>1504.04</v>
      </c>
      <c r="I91" s="95">
        <f t="shared" si="12"/>
        <v>1530.04</v>
      </c>
      <c r="J91" s="95">
        <f t="shared" si="12"/>
        <v>1551.94</v>
      </c>
      <c r="K91" s="95">
        <f t="shared" si="12"/>
        <v>1664.94</v>
      </c>
      <c r="L91" s="95">
        <f t="shared" si="12"/>
        <v>1751.94</v>
      </c>
      <c r="M91" s="95">
        <f t="shared" si="12"/>
        <v>1765.3399999999997</v>
      </c>
      <c r="N91" s="95">
        <f t="shared" si="12"/>
        <v>1809.44</v>
      </c>
      <c r="O91" s="95">
        <f t="shared" si="12"/>
        <v>1832.64</v>
      </c>
      <c r="P91" s="95">
        <f t="shared" si="12"/>
        <v>1827.44</v>
      </c>
      <c r="Q91" s="95">
        <f t="shared" si="12"/>
        <v>1888.74</v>
      </c>
      <c r="R91" s="95">
        <f t="shared" si="12"/>
        <v>1858.78</v>
      </c>
      <c r="S91" s="95">
        <f t="shared" si="12"/>
        <v>1852.24</v>
      </c>
      <c r="T91" s="95">
        <f t="shared" si="12"/>
        <v>1834.04</v>
      </c>
      <c r="U91" s="95">
        <f t="shared" si="12"/>
        <v>1981.44</v>
      </c>
      <c r="V91" s="95">
        <f t="shared" si="12"/>
        <v>1902.0400000000002</v>
      </c>
      <c r="W91" s="95">
        <f t="shared" si="12"/>
        <v>1842.2400000000002</v>
      </c>
      <c r="X91" s="95">
        <f t="shared" si="12"/>
        <v>1749.6399999999999</v>
      </c>
      <c r="Y91" s="95">
        <f t="shared" si="12"/>
        <v>1780.2399999999998</v>
      </c>
      <c r="Z91" s="95">
        <f t="shared" si="12"/>
        <v>1875.04</v>
      </c>
      <c r="AA91" s="95">
        <f t="shared" si="12"/>
        <v>2030.3400000000001</v>
      </c>
      <c r="AB91" s="95">
        <f t="shared" si="12"/>
        <v>1937.2400000000002</v>
      </c>
      <c r="AC91" s="95">
        <f t="shared" si="12"/>
        <v>1912.4400000000003</v>
      </c>
      <c r="AD91" s="95">
        <f t="shared" si="12"/>
        <v>1869.24</v>
      </c>
      <c r="AE91" s="95">
        <f t="shared" si="12"/>
        <v>1785.14</v>
      </c>
      <c r="AF91" s="95">
        <f t="shared" si="12"/>
        <v>1580.94</v>
      </c>
      <c r="AG91" s="88">
        <f>AG88+AG84+AG72+AG68+AG50+AG90</f>
        <v>1573.45</v>
      </c>
      <c r="AH91" s="47">
        <f t="shared" si="8"/>
        <v>2030.3400000000001</v>
      </c>
      <c r="AI91" s="48">
        <f t="shared" si="9"/>
        <v>1504.04</v>
      </c>
    </row>
    <row r="92" spans="1:40" ht="15.75" thickBot="1" x14ac:dyDescent="0.3">
      <c r="A92" s="74" t="s">
        <v>101</v>
      </c>
      <c r="B92" s="95">
        <v>1671.4400000000003</v>
      </c>
      <c r="C92" s="95">
        <f t="shared" ref="C92:AF92" si="13">C91-C99</f>
        <v>1587.04</v>
      </c>
      <c r="D92" s="95">
        <f t="shared" si="13"/>
        <v>1561.04</v>
      </c>
      <c r="E92" s="95">
        <f t="shared" si="13"/>
        <v>1547.44</v>
      </c>
      <c r="F92" s="95">
        <f t="shared" si="13"/>
        <v>1572.44</v>
      </c>
      <c r="G92" s="95">
        <f t="shared" si="13"/>
        <v>1522.44</v>
      </c>
      <c r="H92" s="95">
        <f t="shared" si="13"/>
        <v>1504.04</v>
      </c>
      <c r="I92" s="95">
        <f t="shared" si="13"/>
        <v>1530.04</v>
      </c>
      <c r="J92" s="95">
        <f t="shared" si="13"/>
        <v>1551.94</v>
      </c>
      <c r="K92" s="95">
        <f t="shared" si="13"/>
        <v>1664.94</v>
      </c>
      <c r="L92" s="95">
        <f t="shared" si="13"/>
        <v>1751.94</v>
      </c>
      <c r="M92" s="95">
        <f t="shared" si="13"/>
        <v>1765.3399999999997</v>
      </c>
      <c r="N92" s="95">
        <f t="shared" si="13"/>
        <v>1809.44</v>
      </c>
      <c r="O92" s="95">
        <f t="shared" si="13"/>
        <v>1832.64</v>
      </c>
      <c r="P92" s="95">
        <f t="shared" si="13"/>
        <v>1827.44</v>
      </c>
      <c r="Q92" s="95">
        <f t="shared" si="13"/>
        <v>1888.74</v>
      </c>
      <c r="R92" s="95">
        <f t="shared" si="13"/>
        <v>1858.78</v>
      </c>
      <c r="S92" s="95">
        <f t="shared" si="13"/>
        <v>1852.24</v>
      </c>
      <c r="T92" s="95">
        <f t="shared" si="13"/>
        <v>1834.04</v>
      </c>
      <c r="U92" s="95">
        <f t="shared" si="13"/>
        <v>1981.44</v>
      </c>
      <c r="V92" s="95">
        <f t="shared" si="13"/>
        <v>1902.0400000000002</v>
      </c>
      <c r="W92" s="95">
        <f t="shared" si="13"/>
        <v>1842.2400000000002</v>
      </c>
      <c r="X92" s="95">
        <f t="shared" si="13"/>
        <v>1749.6399999999999</v>
      </c>
      <c r="Y92" s="95">
        <f t="shared" si="13"/>
        <v>1780.2399999999998</v>
      </c>
      <c r="Z92" s="95">
        <f t="shared" si="13"/>
        <v>1875.04</v>
      </c>
      <c r="AA92" s="95">
        <f t="shared" si="13"/>
        <v>2030.3400000000001</v>
      </c>
      <c r="AB92" s="95">
        <f t="shared" si="13"/>
        <v>1937.2400000000002</v>
      </c>
      <c r="AC92" s="95">
        <f t="shared" si="13"/>
        <v>1912.4400000000003</v>
      </c>
      <c r="AD92" s="95">
        <f t="shared" si="13"/>
        <v>1869.24</v>
      </c>
      <c r="AE92" s="95">
        <f t="shared" si="13"/>
        <v>1785.14</v>
      </c>
      <c r="AF92" s="95">
        <f t="shared" si="13"/>
        <v>1580.94</v>
      </c>
      <c r="AG92" s="88"/>
      <c r="AH92" s="47">
        <f t="shared" si="8"/>
        <v>2030.3400000000001</v>
      </c>
      <c r="AI92" s="48">
        <f t="shared" si="9"/>
        <v>1504.04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v>112</v>
      </c>
      <c r="C100" s="60">
        <f t="shared" ref="C100:AF100" si="14">C84-C99</f>
        <v>127</v>
      </c>
      <c r="D100" s="60">
        <f t="shared" si="14"/>
        <v>137</v>
      </c>
      <c r="E100" s="60">
        <f t="shared" si="14"/>
        <v>229</v>
      </c>
      <c r="F100" s="60">
        <f t="shared" si="14"/>
        <v>269</v>
      </c>
      <c r="G100" s="60">
        <f t="shared" si="14"/>
        <v>349</v>
      </c>
      <c r="H100" s="60">
        <f t="shared" si="14"/>
        <v>384</v>
      </c>
      <c r="I100" s="60">
        <f t="shared" si="14"/>
        <v>384</v>
      </c>
      <c r="J100" s="60">
        <f t="shared" si="14"/>
        <v>385.9</v>
      </c>
      <c r="K100" s="60">
        <f t="shared" si="14"/>
        <v>423.9</v>
      </c>
      <c r="L100" s="60">
        <f t="shared" si="14"/>
        <v>425.4</v>
      </c>
      <c r="M100" s="60">
        <f t="shared" si="14"/>
        <v>542.69999999999993</v>
      </c>
      <c r="N100" s="60">
        <f t="shared" si="14"/>
        <v>503.9</v>
      </c>
      <c r="O100" s="60">
        <f t="shared" si="14"/>
        <v>485.7</v>
      </c>
      <c r="P100" s="60">
        <f t="shared" si="14"/>
        <v>469.09999999999997</v>
      </c>
      <c r="Q100" s="60">
        <f t="shared" si="14"/>
        <v>448.3</v>
      </c>
      <c r="R100" s="60">
        <f t="shared" si="14"/>
        <v>485.5</v>
      </c>
      <c r="S100" s="60">
        <f t="shared" si="14"/>
        <v>470.29999999999995</v>
      </c>
      <c r="T100" s="60">
        <f t="shared" si="14"/>
        <v>456.5</v>
      </c>
      <c r="U100" s="60">
        <f t="shared" si="14"/>
        <v>542.79999999999995</v>
      </c>
      <c r="V100" s="60">
        <f t="shared" si="14"/>
        <v>524.70000000000005</v>
      </c>
      <c r="W100" s="60">
        <f t="shared" si="14"/>
        <v>520.4</v>
      </c>
      <c r="X100" s="60">
        <f t="shared" si="14"/>
        <v>472.4</v>
      </c>
      <c r="Y100" s="60">
        <f t="shared" si="14"/>
        <v>420.1</v>
      </c>
      <c r="Z100" s="60">
        <f t="shared" si="14"/>
        <v>420</v>
      </c>
      <c r="AA100" s="60">
        <f t="shared" si="14"/>
        <v>215.9</v>
      </c>
      <c r="AB100" s="60">
        <f t="shared" si="14"/>
        <v>212.20000000000002</v>
      </c>
      <c r="AC100" s="60">
        <f t="shared" si="14"/>
        <v>211</v>
      </c>
      <c r="AD100" s="60">
        <f t="shared" si="14"/>
        <v>214.79999999999998</v>
      </c>
      <c r="AE100" s="60">
        <f t="shared" si="14"/>
        <v>213.20000000000002</v>
      </c>
      <c r="AF100" s="60">
        <f t="shared" si="14"/>
        <v>120</v>
      </c>
      <c r="AG100" s="88"/>
      <c r="AH100" s="47">
        <f t="shared" si="8"/>
        <v>542.79999999999995</v>
      </c>
      <c r="AI100" s="48">
        <f t="shared" si="9"/>
        <v>112</v>
      </c>
    </row>
    <row r="101" spans="1:37" x14ac:dyDescent="0.25">
      <c r="A101" s="100" t="s">
        <v>107</v>
      </c>
      <c r="B101" s="101">
        <v>50.07</v>
      </c>
      <c r="C101" s="101">
        <v>50.048000000000002</v>
      </c>
      <c r="D101" s="101">
        <v>50</v>
      </c>
      <c r="E101" s="101">
        <v>49.96</v>
      </c>
      <c r="F101" s="101">
        <v>49.94</v>
      </c>
      <c r="G101" s="101">
        <v>50</v>
      </c>
      <c r="H101" s="101">
        <v>50.01</v>
      </c>
      <c r="I101" s="101">
        <v>49.99</v>
      </c>
      <c r="J101" s="101">
        <v>50.04</v>
      </c>
      <c r="K101" s="101">
        <v>50.04</v>
      </c>
      <c r="L101" s="101">
        <v>50.05</v>
      </c>
      <c r="M101" s="101">
        <v>50.247999999999998</v>
      </c>
      <c r="N101" s="101">
        <v>50.084000000000003</v>
      </c>
      <c r="O101" s="101">
        <v>50.176000000000002</v>
      </c>
      <c r="P101" s="101">
        <v>49.984000000000002</v>
      </c>
      <c r="Q101" s="101">
        <v>49.918999999999997</v>
      </c>
      <c r="R101" s="101">
        <v>49.951999999999998</v>
      </c>
      <c r="S101" s="101">
        <v>50.043999999999997</v>
      </c>
      <c r="T101" s="101">
        <v>49.929000000000002</v>
      </c>
      <c r="U101" s="101">
        <v>49.981000000000002</v>
      </c>
      <c r="V101" s="101">
        <v>50.023000000000003</v>
      </c>
      <c r="W101" s="101">
        <v>49.970999999999997</v>
      </c>
      <c r="X101" s="101">
        <v>50.03</v>
      </c>
      <c r="Y101" s="101">
        <v>50.082999999999998</v>
      </c>
      <c r="Z101" s="101">
        <v>49.832999999999998</v>
      </c>
      <c r="AA101" s="101">
        <v>49.872</v>
      </c>
      <c r="AB101" s="101">
        <v>49.9</v>
      </c>
      <c r="AC101" s="101">
        <v>49.774000000000001</v>
      </c>
      <c r="AD101" s="101">
        <v>49.896000000000001</v>
      </c>
      <c r="AE101" s="101">
        <v>49.896000000000001</v>
      </c>
      <c r="AF101" s="101">
        <v>49.8</v>
      </c>
      <c r="AG101" s="102"/>
      <c r="AH101" s="47">
        <f t="shared" si="8"/>
        <v>50.247999999999998</v>
      </c>
      <c r="AI101" s="48">
        <f t="shared" si="9"/>
        <v>49.774000000000001</v>
      </c>
    </row>
    <row r="102" spans="1:37" x14ac:dyDescent="0.25">
      <c r="A102" s="103" t="s">
        <v>108</v>
      </c>
      <c r="B102" s="65">
        <v>126</v>
      </c>
      <c r="C102" s="65">
        <v>126</v>
      </c>
      <c r="D102" s="65">
        <v>126</v>
      </c>
      <c r="E102" s="65">
        <v>125.2</v>
      </c>
      <c r="F102" s="65">
        <v>123.8</v>
      </c>
      <c r="G102" s="65">
        <v>124</v>
      </c>
      <c r="H102" s="65">
        <v>124.9</v>
      </c>
      <c r="I102" s="65">
        <v>125.2</v>
      </c>
      <c r="J102" s="65">
        <v>126.1</v>
      </c>
      <c r="K102" s="65">
        <v>126.1</v>
      </c>
      <c r="L102" s="65">
        <v>122.2</v>
      </c>
      <c r="M102" s="65">
        <v>122</v>
      </c>
      <c r="N102" s="65">
        <v>122.1</v>
      </c>
      <c r="O102" s="65">
        <v>124</v>
      </c>
      <c r="P102" s="65">
        <v>121.8</v>
      </c>
      <c r="Q102" s="65">
        <v>126</v>
      </c>
      <c r="R102" s="65">
        <v>121.4</v>
      </c>
      <c r="S102" s="65">
        <v>122.4</v>
      </c>
      <c r="T102" s="65">
        <v>123.3</v>
      </c>
      <c r="U102" s="65">
        <v>121.5</v>
      </c>
      <c r="V102" s="65">
        <v>124</v>
      </c>
      <c r="W102" s="65">
        <v>126.1</v>
      </c>
      <c r="X102" s="65">
        <v>127.5</v>
      </c>
      <c r="Y102" s="65">
        <v>125.8</v>
      </c>
      <c r="Z102" s="65">
        <v>125.4</v>
      </c>
      <c r="AA102" s="65">
        <v>126.1</v>
      </c>
      <c r="AB102" s="65">
        <v>126.6</v>
      </c>
      <c r="AC102" s="65">
        <v>126.8</v>
      </c>
      <c r="AD102" s="65">
        <v>126.6</v>
      </c>
      <c r="AE102" s="65">
        <v>126.6</v>
      </c>
      <c r="AF102" s="65">
        <v>124.1</v>
      </c>
      <c r="AG102" s="104"/>
      <c r="AH102" s="47">
        <f t="shared" si="8"/>
        <v>127.5</v>
      </c>
      <c r="AI102" s="48">
        <f t="shared" si="9"/>
        <v>121.4</v>
      </c>
    </row>
    <row r="103" spans="1:37" x14ac:dyDescent="0.25">
      <c r="A103" s="103" t="s">
        <v>109</v>
      </c>
      <c r="B103" s="65">
        <v>130</v>
      </c>
      <c r="C103" s="65">
        <v>130</v>
      </c>
      <c r="D103" s="65">
        <v>130</v>
      </c>
      <c r="E103" s="65">
        <v>130.5</v>
      </c>
      <c r="F103" s="65">
        <v>129</v>
      </c>
      <c r="G103" s="65">
        <v>129</v>
      </c>
      <c r="H103" s="65">
        <v>129.4</v>
      </c>
      <c r="I103" s="65">
        <v>129.5</v>
      </c>
      <c r="J103" s="65">
        <v>129.4</v>
      </c>
      <c r="K103" s="65">
        <v>127</v>
      </c>
      <c r="L103" s="65">
        <v>126.1</v>
      </c>
      <c r="M103" s="65">
        <v>126.6</v>
      </c>
      <c r="N103" s="65">
        <v>126.1</v>
      </c>
      <c r="O103" s="65">
        <v>127.1</v>
      </c>
      <c r="P103" s="65">
        <v>126.1</v>
      </c>
      <c r="Q103" s="65">
        <v>128.80000000000001</v>
      </c>
      <c r="R103" s="65">
        <v>126</v>
      </c>
      <c r="S103" s="65">
        <v>126.3</v>
      </c>
      <c r="T103" s="65">
        <v>127</v>
      </c>
      <c r="U103" s="65">
        <v>125.8</v>
      </c>
      <c r="V103" s="65">
        <v>128</v>
      </c>
      <c r="W103" s="65">
        <v>129</v>
      </c>
      <c r="X103" s="65">
        <v>130.19999999999999</v>
      </c>
      <c r="Y103" s="65">
        <v>129.19999999999999</v>
      </c>
      <c r="Z103" s="65">
        <v>128.6</v>
      </c>
      <c r="AA103" s="65">
        <v>128.6</v>
      </c>
      <c r="AB103" s="65">
        <v>129.6</v>
      </c>
      <c r="AC103" s="65">
        <v>129.69999999999999</v>
      </c>
      <c r="AD103" s="65">
        <v>129.80000000000001</v>
      </c>
      <c r="AE103" s="65">
        <v>129.80000000000001</v>
      </c>
      <c r="AF103" s="65">
        <v>129.80000000000001</v>
      </c>
      <c r="AG103" s="104"/>
      <c r="AH103" s="47">
        <f t="shared" si="8"/>
        <v>130.5</v>
      </c>
      <c r="AI103" s="48">
        <f t="shared" si="9"/>
        <v>125.8</v>
      </c>
    </row>
    <row r="104" spans="1:37" x14ac:dyDescent="0.25">
      <c r="A104" s="103" t="s">
        <v>110</v>
      </c>
      <c r="B104" s="65">
        <v>128.9</v>
      </c>
      <c r="C104" s="65">
        <v>128.9</v>
      </c>
      <c r="D104" s="65">
        <v>128.9</v>
      </c>
      <c r="E104" s="65">
        <v>128.6</v>
      </c>
      <c r="F104" s="65">
        <v>131.19999999999999</v>
      </c>
      <c r="G104" s="65">
        <v>131.19999999999999</v>
      </c>
      <c r="H104" s="65">
        <v>127.8</v>
      </c>
      <c r="I104" s="65">
        <v>128.5</v>
      </c>
      <c r="J104" s="65">
        <v>125.8</v>
      </c>
      <c r="K104" s="65">
        <v>125.2</v>
      </c>
      <c r="L104" s="65">
        <v>123.5</v>
      </c>
      <c r="M104" s="65">
        <v>124.4</v>
      </c>
      <c r="N104" s="65">
        <v>121.4</v>
      </c>
      <c r="O104" s="65">
        <v>121.5</v>
      </c>
      <c r="P104" s="65">
        <v>121.1</v>
      </c>
      <c r="Q104" s="65">
        <v>126.8</v>
      </c>
      <c r="R104" s="65">
        <v>125.3</v>
      </c>
      <c r="S104" s="65">
        <v>122.3</v>
      </c>
      <c r="T104" s="65">
        <v>123.4</v>
      </c>
      <c r="U104" s="65">
        <v>130.80000000000001</v>
      </c>
      <c r="V104" s="65">
        <v>131</v>
      </c>
      <c r="W104" s="65">
        <v>132</v>
      </c>
      <c r="X104" s="65">
        <v>130.4</v>
      </c>
      <c r="Y104" s="65">
        <v>129.19999999999999</v>
      </c>
      <c r="Z104" s="65">
        <v>127.9</v>
      </c>
      <c r="AA104" s="65">
        <v>128.6</v>
      </c>
      <c r="AB104" s="65">
        <v>129.30000000000001</v>
      </c>
      <c r="AC104" s="65">
        <v>128.80000000000001</v>
      </c>
      <c r="AD104" s="65">
        <v>128.69999999999999</v>
      </c>
      <c r="AE104" s="65">
        <v>128.69999999999999</v>
      </c>
      <c r="AF104" s="65">
        <v>125.4</v>
      </c>
      <c r="AG104" s="104"/>
      <c r="AH104" s="47">
        <f t="shared" si="8"/>
        <v>132</v>
      </c>
      <c r="AI104" s="48">
        <f t="shared" si="9"/>
        <v>121.1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135.4</v>
      </c>
      <c r="C106" s="106">
        <v>135.4</v>
      </c>
      <c r="D106" s="106">
        <v>135.4</v>
      </c>
      <c r="E106" s="106">
        <v>131.6</v>
      </c>
      <c r="F106" s="106">
        <v>130</v>
      </c>
      <c r="G106" s="106">
        <v>130</v>
      </c>
      <c r="H106" s="106">
        <v>132</v>
      </c>
      <c r="I106" s="106">
        <v>129</v>
      </c>
      <c r="J106" s="106">
        <v>135</v>
      </c>
      <c r="K106" s="106">
        <v>134</v>
      </c>
      <c r="L106" s="106">
        <v>131</v>
      </c>
      <c r="M106" s="106">
        <v>133.80000000000001</v>
      </c>
      <c r="N106" s="106">
        <v>132.30000000000001</v>
      </c>
      <c r="O106" s="106">
        <v>132.4</v>
      </c>
      <c r="P106" s="106">
        <v>130.69999999999999</v>
      </c>
      <c r="Q106" s="106">
        <v>135.4</v>
      </c>
      <c r="R106" s="106">
        <v>131.9</v>
      </c>
      <c r="S106" s="106">
        <v>131.69999999999999</v>
      </c>
      <c r="T106" s="106">
        <v>131</v>
      </c>
      <c r="U106" s="106">
        <v>134.6</v>
      </c>
      <c r="V106" s="106">
        <v>133</v>
      </c>
      <c r="W106" s="106">
        <v>130</v>
      </c>
      <c r="X106" s="106">
        <v>134.69999999999999</v>
      </c>
      <c r="Y106" s="106">
        <v>135.6</v>
      </c>
      <c r="Z106" s="106">
        <v>131.6</v>
      </c>
      <c r="AA106" s="106">
        <v>131.4</v>
      </c>
      <c r="AB106" s="106">
        <v>130.1</v>
      </c>
      <c r="AC106" s="106">
        <v>129</v>
      </c>
      <c r="AD106" s="106">
        <v>129.69999999999999</v>
      </c>
      <c r="AE106" s="106">
        <v>129.69999999999999</v>
      </c>
      <c r="AF106" s="106">
        <v>131.69999999999999</v>
      </c>
      <c r="AG106" s="107"/>
      <c r="AH106" s="47">
        <f t="shared" si="8"/>
        <v>135.6</v>
      </c>
      <c r="AI106" s="48">
        <f t="shared" si="9"/>
        <v>129</v>
      </c>
    </row>
    <row r="107" spans="1:37" x14ac:dyDescent="0.25">
      <c r="A107" s="103" t="s">
        <v>113</v>
      </c>
      <c r="B107" s="65">
        <v>132.5</v>
      </c>
      <c r="C107" s="65">
        <v>132.5</v>
      </c>
      <c r="D107" s="65">
        <v>132.5</v>
      </c>
      <c r="E107" s="65">
        <v>133.5</v>
      </c>
      <c r="F107" s="65">
        <v>126</v>
      </c>
      <c r="G107" s="65">
        <v>126</v>
      </c>
      <c r="H107" s="65">
        <v>132</v>
      </c>
      <c r="I107" s="65">
        <v>134</v>
      </c>
      <c r="J107" s="65">
        <v>133.19999999999999</v>
      </c>
      <c r="K107" s="65">
        <v>133.1</v>
      </c>
      <c r="L107" s="65">
        <v>128.19999999999999</v>
      </c>
      <c r="M107" s="65">
        <v>124.85</v>
      </c>
      <c r="N107" s="65">
        <v>129.30000000000001</v>
      </c>
      <c r="O107" s="65">
        <v>134.19999999999999</v>
      </c>
      <c r="P107" s="65">
        <v>133.6</v>
      </c>
      <c r="Q107" s="65">
        <v>135</v>
      </c>
      <c r="R107" s="65">
        <v>128.80000000000001</v>
      </c>
      <c r="S107" s="65">
        <v>132.1</v>
      </c>
      <c r="T107" s="65">
        <v>135</v>
      </c>
      <c r="U107" s="65">
        <v>132</v>
      </c>
      <c r="V107" s="65">
        <v>136</v>
      </c>
      <c r="W107" s="65">
        <v>122</v>
      </c>
      <c r="X107" s="65">
        <v>128.4</v>
      </c>
      <c r="Y107" s="65">
        <v>134</v>
      </c>
      <c r="Z107" s="65">
        <v>128.4</v>
      </c>
      <c r="AA107" s="65">
        <v>131.1</v>
      </c>
      <c r="AB107" s="65">
        <v>125.1</v>
      </c>
      <c r="AC107" s="65">
        <v>130.4</v>
      </c>
      <c r="AD107" s="65">
        <v>131.1</v>
      </c>
      <c r="AE107" s="65">
        <v>131.1</v>
      </c>
      <c r="AF107" s="65">
        <v>132</v>
      </c>
      <c r="AG107" s="104"/>
      <c r="AH107" s="47">
        <f t="shared" si="8"/>
        <v>136</v>
      </c>
      <c r="AI107" s="48">
        <f t="shared" si="9"/>
        <v>122</v>
      </c>
    </row>
    <row r="108" spans="1:37" ht="15.75" thickBot="1" x14ac:dyDescent="0.3">
      <c r="A108" s="103" t="s">
        <v>114</v>
      </c>
      <c r="B108" s="92">
        <v>64.900000000000006</v>
      </c>
      <c r="C108" s="92">
        <v>64.900000000000006</v>
      </c>
      <c r="D108" s="92">
        <v>64.900000000000006</v>
      </c>
      <c r="E108" s="92">
        <v>65.5</v>
      </c>
      <c r="F108" s="92">
        <v>64.400000000000006</v>
      </c>
      <c r="G108" s="92">
        <v>64.400000000000006</v>
      </c>
      <c r="H108" s="92">
        <v>64.8</v>
      </c>
      <c r="I108" s="92">
        <v>65.099999999999994</v>
      </c>
      <c r="J108" s="92">
        <v>64.7</v>
      </c>
      <c r="K108" s="92">
        <v>64</v>
      </c>
      <c r="L108" s="92">
        <v>63.1</v>
      </c>
      <c r="M108" s="92">
        <v>63.2</v>
      </c>
      <c r="N108" s="92">
        <v>63</v>
      </c>
      <c r="O108" s="92">
        <v>63</v>
      </c>
      <c r="P108" s="92">
        <v>62.6</v>
      </c>
      <c r="Q108" s="92">
        <v>64</v>
      </c>
      <c r="R108" s="92">
        <v>62.8</v>
      </c>
      <c r="S108" s="92">
        <v>62.8</v>
      </c>
      <c r="T108" s="92">
        <v>63.3</v>
      </c>
      <c r="U108" s="92">
        <v>62.5</v>
      </c>
      <c r="V108" s="92">
        <v>63.3</v>
      </c>
      <c r="W108" s="92">
        <v>63.7</v>
      </c>
      <c r="X108" s="92">
        <v>64.8</v>
      </c>
      <c r="Y108" s="92">
        <v>64.3</v>
      </c>
      <c r="Z108" s="92">
        <v>64.099999999999994</v>
      </c>
      <c r="AA108" s="92">
        <v>64.099999999999994</v>
      </c>
      <c r="AB108" s="92">
        <v>64.599999999999994</v>
      </c>
      <c r="AC108" s="92">
        <v>64.5</v>
      </c>
      <c r="AD108" s="92">
        <v>64.599999999999994</v>
      </c>
      <c r="AE108" s="92">
        <v>64.599999999999994</v>
      </c>
      <c r="AF108" s="92">
        <v>64.2</v>
      </c>
      <c r="AG108" s="108"/>
      <c r="AH108" s="47">
        <f t="shared" si="8"/>
        <v>65.5</v>
      </c>
      <c r="AI108" s="48">
        <f t="shared" si="9"/>
        <v>62.5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v>125.9</v>
      </c>
      <c r="C110" s="111">
        <f t="shared" ref="C110:O110" si="15">SUM(C20,C26,C29:C30,C58,C60:C61,C63,C65,C111:C115,C138,C144,C150,C159,C161,C173,C180,C183:C184,C191,C193,C195,C199:C201,C203:C205,C210,C216:C217,C219:C221,C229,C234)</f>
        <v>67.44</v>
      </c>
      <c r="D110" s="111">
        <f t="shared" si="15"/>
        <v>101.84</v>
      </c>
      <c r="E110" s="111">
        <f t="shared" si="15"/>
        <v>70.740000000000009</v>
      </c>
      <c r="F110" s="111">
        <f t="shared" si="15"/>
        <v>72.84</v>
      </c>
      <c r="G110" s="111">
        <f t="shared" si="15"/>
        <v>127.83999999999999</v>
      </c>
      <c r="H110" s="111">
        <f t="shared" si="15"/>
        <v>160.44</v>
      </c>
      <c r="I110" s="111">
        <f t="shared" si="15"/>
        <v>178.44</v>
      </c>
      <c r="J110" s="111">
        <f t="shared" si="15"/>
        <v>204.54000000000002</v>
      </c>
      <c r="K110" s="111">
        <f t="shared" si="15"/>
        <v>227.44</v>
      </c>
      <c r="L110" s="111">
        <f t="shared" si="15"/>
        <v>227.44</v>
      </c>
      <c r="M110" s="111">
        <f t="shared" si="15"/>
        <v>256.24</v>
      </c>
      <c r="N110" s="111">
        <f t="shared" si="15"/>
        <v>217.94</v>
      </c>
      <c r="O110" s="111">
        <f t="shared" si="15"/>
        <v>232.64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269.40000000000003</v>
      </c>
      <c r="R110" s="111">
        <f t="shared" si="16"/>
        <v>227.83999999999997</v>
      </c>
      <c r="S110" s="111">
        <f t="shared" si="16"/>
        <v>270.8</v>
      </c>
      <c r="T110" s="111">
        <f t="shared" si="16"/>
        <v>271.89999999999998</v>
      </c>
      <c r="U110" s="111">
        <f t="shared" si="16"/>
        <v>285.7</v>
      </c>
      <c r="V110" s="111">
        <f t="shared" si="16"/>
        <v>266.79999999999995</v>
      </c>
      <c r="W110" s="111">
        <f t="shared" si="16"/>
        <v>251.49999999999997</v>
      </c>
      <c r="X110" s="111">
        <f t="shared" si="16"/>
        <v>251.5</v>
      </c>
      <c r="Y110" s="111">
        <f t="shared" si="16"/>
        <v>259</v>
      </c>
      <c r="Z110" s="111">
        <f t="shared" si="16"/>
        <v>295</v>
      </c>
      <c r="AA110" s="111">
        <f t="shared" si="16"/>
        <v>321</v>
      </c>
      <c r="AB110" s="111">
        <f t="shared" si="16"/>
        <v>272</v>
      </c>
      <c r="AC110" s="111">
        <f t="shared" si="16"/>
        <v>216.6</v>
      </c>
      <c r="AD110" s="111"/>
      <c r="AE110" s="111">
        <f t="shared" si="16"/>
        <v>152.19999999999999</v>
      </c>
      <c r="AF110" s="111">
        <f t="shared" si="16"/>
        <v>118</v>
      </c>
      <c r="AG110" s="112"/>
      <c r="AH110" s="47">
        <f t="shared" si="8"/>
        <v>321</v>
      </c>
      <c r="AI110" s="48">
        <f t="shared" si="9"/>
        <v>42</v>
      </c>
    </row>
    <row r="111" spans="1:37" x14ac:dyDescent="0.25">
      <c r="A111" s="100" t="s">
        <v>117</v>
      </c>
      <c r="B111" s="113">
        <v>32</v>
      </c>
      <c r="C111" s="113">
        <v>27</v>
      </c>
      <c r="D111" s="113">
        <v>31</v>
      </c>
      <c r="E111" s="113">
        <v>10.3</v>
      </c>
      <c r="F111" s="113">
        <v>13.9</v>
      </c>
      <c r="G111" s="113">
        <v>13</v>
      </c>
      <c r="H111" s="113">
        <v>12.6</v>
      </c>
      <c r="I111" s="113">
        <v>2.2000000000000002</v>
      </c>
      <c r="J111" s="113">
        <v>11.9</v>
      </c>
      <c r="K111" s="113">
        <v>17.399999999999999</v>
      </c>
      <c r="L111" s="113">
        <v>17.399999999999999</v>
      </c>
      <c r="M111" s="113">
        <v>21.6</v>
      </c>
      <c r="N111" s="113">
        <v>13.9</v>
      </c>
      <c r="O111" s="113">
        <v>15.7</v>
      </c>
      <c r="P111" s="113">
        <v>15.5</v>
      </c>
      <c r="Q111" s="113">
        <v>17.3</v>
      </c>
      <c r="R111" s="113">
        <v>19.600000000000001</v>
      </c>
      <c r="S111" s="113">
        <v>15.8</v>
      </c>
      <c r="T111" s="113">
        <v>41</v>
      </c>
      <c r="U111" s="113">
        <v>25</v>
      </c>
      <c r="V111" s="113">
        <v>32</v>
      </c>
      <c r="W111" s="113">
        <v>18.2</v>
      </c>
      <c r="X111" s="113">
        <v>22.9</v>
      </c>
      <c r="Y111" s="113">
        <v>18</v>
      </c>
      <c r="Z111" s="113">
        <v>24.5</v>
      </c>
      <c r="AA111" s="113">
        <v>36</v>
      </c>
      <c r="AB111" s="113">
        <v>37.6</v>
      </c>
      <c r="AC111" s="113">
        <v>43.3</v>
      </c>
      <c r="AD111" s="113">
        <v>29.9</v>
      </c>
      <c r="AE111" s="113">
        <v>25.1</v>
      </c>
      <c r="AF111" s="113">
        <v>21</v>
      </c>
      <c r="AG111" s="114">
        <v>75</v>
      </c>
      <c r="AH111" s="47">
        <f t="shared" si="8"/>
        <v>43.3</v>
      </c>
      <c r="AI111" s="48">
        <f t="shared" si="9"/>
        <v>2.2000000000000002</v>
      </c>
    </row>
    <row r="112" spans="1:37" x14ac:dyDescent="0.25">
      <c r="A112" s="103" t="s">
        <v>118</v>
      </c>
      <c r="B112" s="115">
        <v>16</v>
      </c>
      <c r="C112" s="115">
        <v>12</v>
      </c>
      <c r="D112" s="115">
        <v>14</v>
      </c>
      <c r="E112" s="115">
        <v>22.5</v>
      </c>
      <c r="F112" s="115">
        <v>28.7</v>
      </c>
      <c r="G112" s="115">
        <v>27.2</v>
      </c>
      <c r="H112" s="115">
        <v>25.4</v>
      </c>
      <c r="I112" s="115">
        <v>13.4</v>
      </c>
      <c r="J112" s="115">
        <v>24.6</v>
      </c>
      <c r="K112" s="115">
        <v>33.299999999999997</v>
      </c>
      <c r="L112" s="115">
        <v>33.299999999999997</v>
      </c>
      <c r="M112" s="115">
        <v>35.6</v>
      </c>
      <c r="N112" s="115">
        <v>25.4</v>
      </c>
      <c r="O112" s="115">
        <v>28</v>
      </c>
      <c r="P112" s="115">
        <v>29.1</v>
      </c>
      <c r="Q112" s="115">
        <v>34.1</v>
      </c>
      <c r="R112" s="115">
        <v>36.700000000000003</v>
      </c>
      <c r="S112" s="115">
        <v>30.9</v>
      </c>
      <c r="T112" s="115">
        <v>62</v>
      </c>
      <c r="U112" s="115">
        <v>42</v>
      </c>
      <c r="V112" s="115">
        <v>52</v>
      </c>
      <c r="W112" s="115">
        <v>32.5</v>
      </c>
      <c r="X112" s="115">
        <v>32.799999999999997</v>
      </c>
      <c r="Y112" s="115">
        <v>25.1</v>
      </c>
      <c r="Z112" s="115">
        <v>32.799999999999997</v>
      </c>
      <c r="AA112" s="115">
        <v>50.5</v>
      </c>
      <c r="AB112" s="115">
        <v>55</v>
      </c>
      <c r="AC112" s="115">
        <v>62.4</v>
      </c>
      <c r="AD112" s="115">
        <v>45</v>
      </c>
      <c r="AE112" s="115">
        <v>41.2</v>
      </c>
      <c r="AF112" s="115">
        <v>38</v>
      </c>
      <c r="AG112" s="114">
        <v>240</v>
      </c>
      <c r="AH112" s="47">
        <f t="shared" si="8"/>
        <v>62.4</v>
      </c>
      <c r="AI112" s="48">
        <f t="shared" si="9"/>
        <v>12</v>
      </c>
    </row>
    <row r="113" spans="1:37" x14ac:dyDescent="0.25">
      <c r="A113" s="103" t="s">
        <v>119</v>
      </c>
      <c r="B113" s="115">
        <v>-70</v>
      </c>
      <c r="C113" s="115">
        <v>-110</v>
      </c>
      <c r="D113" s="115">
        <v>-80</v>
      </c>
      <c r="E113" s="115">
        <f>-49.6-37.4</f>
        <v>-87</v>
      </c>
      <c r="F113" s="115">
        <f>-41.3-43.7</f>
        <v>-85</v>
      </c>
      <c r="G113" s="115">
        <v>-82</v>
      </c>
      <c r="H113" s="115">
        <f>-36-39.1</f>
        <v>-75.099999999999994</v>
      </c>
      <c r="I113" s="115">
        <f>-27.3-30</f>
        <v>-57.3</v>
      </c>
      <c r="J113" s="115">
        <f>-37-23.8</f>
        <v>-60.8</v>
      </c>
      <c r="K113" s="115">
        <f>-39.7-25</f>
        <v>-64.7</v>
      </c>
      <c r="L113" s="115">
        <f>-39.7-25</f>
        <v>-64.7</v>
      </c>
      <c r="M113" s="115">
        <v>-45</v>
      </c>
      <c r="N113" s="115">
        <v>-79</v>
      </c>
      <c r="O113" s="115">
        <v>-69</v>
      </c>
      <c r="P113" s="115">
        <v>-86</v>
      </c>
      <c r="Q113" s="115">
        <v>-35</v>
      </c>
      <c r="R113" s="115">
        <v>-87</v>
      </c>
      <c r="S113" s="115">
        <v>-37</v>
      </c>
      <c r="T113" s="115">
        <v>-63</v>
      </c>
      <c r="U113" s="115">
        <v>-39</v>
      </c>
      <c r="V113" s="115">
        <v>-46</v>
      </c>
      <c r="W113" s="115">
        <v>-36</v>
      </c>
      <c r="X113" s="115">
        <v>-25</v>
      </c>
      <c r="Y113" s="115">
        <v>-27</v>
      </c>
      <c r="Z113" s="115">
        <v>-16</v>
      </c>
      <c r="AA113" s="115">
        <v>-21</v>
      </c>
      <c r="AB113" s="115">
        <f>-17.4-28.5</f>
        <v>-45.9</v>
      </c>
      <c r="AC113" s="115">
        <v>-102</v>
      </c>
      <c r="AD113" s="115">
        <v>-101</v>
      </c>
      <c r="AE113" s="115">
        <v>-94.5</v>
      </c>
      <c r="AF113" s="115">
        <v>-84</v>
      </c>
      <c r="AG113" s="114">
        <v>240</v>
      </c>
      <c r="AH113" s="47">
        <f t="shared" si="8"/>
        <v>-16</v>
      </c>
      <c r="AI113" s="48">
        <f t="shared" si="9"/>
        <v>-110</v>
      </c>
    </row>
    <row r="114" spans="1:37" x14ac:dyDescent="0.25">
      <c r="A114" s="103" t="s">
        <v>120</v>
      </c>
      <c r="B114" s="115">
        <v>27</v>
      </c>
      <c r="C114" s="115">
        <v>16.600000000000001</v>
      </c>
      <c r="D114" s="115">
        <v>15</v>
      </c>
      <c r="E114" s="115">
        <v>3.1</v>
      </c>
      <c r="F114" s="115">
        <v>-6.6</v>
      </c>
      <c r="G114" s="115">
        <v>-4.2</v>
      </c>
      <c r="H114" s="115">
        <v>-2.5</v>
      </c>
      <c r="I114" s="115">
        <v>7.9</v>
      </c>
      <c r="J114" s="115">
        <v>19.7</v>
      </c>
      <c r="K114" s="115">
        <v>18.899999999999999</v>
      </c>
      <c r="L114" s="115">
        <v>18.899999999999999</v>
      </c>
      <c r="M114" s="115">
        <v>27.6</v>
      </c>
      <c r="N114" s="115">
        <v>35.1</v>
      </c>
      <c r="O114" s="115">
        <v>36.9</v>
      </c>
      <c r="P114" s="115">
        <v>37.299999999999997</v>
      </c>
      <c r="Q114" s="115">
        <v>38.799999999999997</v>
      </c>
      <c r="R114" s="115">
        <v>30.2</v>
      </c>
      <c r="S114" s="115">
        <v>31</v>
      </c>
      <c r="T114" s="115">
        <v>24.2</v>
      </c>
      <c r="U114" s="115">
        <v>36</v>
      </c>
      <c r="V114" s="115">
        <v>39</v>
      </c>
      <c r="W114" s="115">
        <v>37</v>
      </c>
      <c r="X114" s="115">
        <v>26</v>
      </c>
      <c r="Y114" s="115">
        <v>44</v>
      </c>
      <c r="Z114" s="115">
        <v>45</v>
      </c>
      <c r="AA114" s="115">
        <v>45</v>
      </c>
      <c r="AB114" s="115">
        <v>42.5</v>
      </c>
      <c r="AC114" s="115">
        <v>42.6</v>
      </c>
      <c r="AD114" s="115">
        <v>39</v>
      </c>
      <c r="AE114" s="115">
        <v>24</v>
      </c>
      <c r="AF114" s="115">
        <v>19</v>
      </c>
      <c r="AG114" s="114">
        <v>60</v>
      </c>
      <c r="AH114" s="47">
        <f t="shared" si="8"/>
        <v>45</v>
      </c>
      <c r="AI114" s="48">
        <f t="shared" si="9"/>
        <v>-6.6</v>
      </c>
    </row>
    <row r="115" spans="1:37" x14ac:dyDescent="0.25">
      <c r="A115" s="116" t="s">
        <v>121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52</v>
      </c>
      <c r="H115" s="117">
        <v>78.2</v>
      </c>
      <c r="I115" s="117">
        <v>90.4</v>
      </c>
      <c r="J115" s="117">
        <v>87.3</v>
      </c>
      <c r="K115" s="117">
        <v>100.7</v>
      </c>
      <c r="L115" s="117">
        <v>100.7</v>
      </c>
      <c r="M115" s="117">
        <v>88.6</v>
      </c>
      <c r="N115" s="117">
        <v>90</v>
      </c>
      <c r="O115" s="117">
        <v>86.2</v>
      </c>
      <c r="P115" s="117">
        <v>93.6</v>
      </c>
      <c r="Q115" s="117">
        <v>79</v>
      </c>
      <c r="R115" s="117">
        <v>92.5</v>
      </c>
      <c r="S115" s="117">
        <v>96.4</v>
      </c>
      <c r="T115" s="117">
        <v>79</v>
      </c>
      <c r="U115" s="117">
        <v>93</v>
      </c>
      <c r="V115" s="117">
        <v>68</v>
      </c>
      <c r="W115" s="117">
        <v>78</v>
      </c>
      <c r="X115" s="117">
        <v>73</v>
      </c>
      <c r="Y115" s="117">
        <v>80</v>
      </c>
      <c r="Z115" s="117">
        <v>90</v>
      </c>
      <c r="AA115" s="117">
        <v>93</v>
      </c>
      <c r="AB115" s="117">
        <v>66.400000000000006</v>
      </c>
      <c r="AC115" s="117">
        <v>53.9</v>
      </c>
      <c r="AD115" s="117">
        <v>50.4</v>
      </c>
      <c r="AE115" s="117">
        <v>33.5</v>
      </c>
      <c r="AF115" s="117">
        <v>0</v>
      </c>
      <c r="AG115" s="118">
        <v>120</v>
      </c>
      <c r="AH115" s="47">
        <f t="shared" si="8"/>
        <v>100.7</v>
      </c>
      <c r="AI115" s="48">
        <f t="shared" si="9"/>
        <v>0</v>
      </c>
    </row>
    <row r="116" spans="1:37" x14ac:dyDescent="0.25">
      <c r="A116" s="116" t="s">
        <v>122</v>
      </c>
      <c r="B116" s="117">
        <v>74</v>
      </c>
      <c r="C116" s="117">
        <v>75</v>
      </c>
      <c r="D116" s="117">
        <v>70</v>
      </c>
      <c r="E116" s="117">
        <v>89</v>
      </c>
      <c r="F116" s="117">
        <v>95</v>
      </c>
      <c r="G116" s="117">
        <v>87</v>
      </c>
      <c r="H116" s="117">
        <v>90.9</v>
      </c>
      <c r="I116" s="117">
        <v>94</v>
      </c>
      <c r="J116" s="117">
        <v>84.5</v>
      </c>
      <c r="K116" s="117">
        <v>100</v>
      </c>
      <c r="L116" s="117">
        <v>100</v>
      </c>
      <c r="M116" s="117">
        <v>98.2</v>
      </c>
      <c r="N116" s="117">
        <v>97.7</v>
      </c>
      <c r="O116" s="117">
        <v>83.9</v>
      </c>
      <c r="P116" s="117">
        <v>98.1</v>
      </c>
      <c r="Q116" s="117">
        <v>80</v>
      </c>
      <c r="R116" s="117">
        <v>99.9</v>
      </c>
      <c r="S116" s="117">
        <v>95</v>
      </c>
      <c r="T116" s="117">
        <v>83</v>
      </c>
      <c r="U116" s="117">
        <v>105</v>
      </c>
      <c r="V116" s="117">
        <v>80</v>
      </c>
      <c r="W116" s="117">
        <v>91</v>
      </c>
      <c r="X116" s="117">
        <v>74</v>
      </c>
      <c r="Y116" s="117">
        <v>83</v>
      </c>
      <c r="Z116" s="117">
        <v>86</v>
      </c>
      <c r="AA116" s="117">
        <v>73.400000000000006</v>
      </c>
      <c r="AB116" s="117">
        <v>66</v>
      </c>
      <c r="AC116" s="117">
        <v>58.6</v>
      </c>
      <c r="AD116" s="117">
        <v>58.9</v>
      </c>
      <c r="AE116" s="117">
        <v>78.900000000000006</v>
      </c>
      <c r="AF116" s="117">
        <v>95.4</v>
      </c>
      <c r="AG116" s="118"/>
      <c r="AH116" s="47">
        <f t="shared" si="8"/>
        <v>105</v>
      </c>
      <c r="AI116" s="48">
        <f t="shared" si="9"/>
        <v>58.6</v>
      </c>
    </row>
    <row r="117" spans="1:37" x14ac:dyDescent="0.25">
      <c r="A117" s="116" t="s">
        <v>123</v>
      </c>
      <c r="B117" s="117">
        <v>75</v>
      </c>
      <c r="C117" s="117">
        <v>97</v>
      </c>
      <c r="D117" s="117">
        <v>96</v>
      </c>
      <c r="E117" s="117">
        <v>59</v>
      </c>
      <c r="F117" s="117">
        <v>56.7</v>
      </c>
      <c r="G117" s="117">
        <v>56.7</v>
      </c>
      <c r="H117" s="117">
        <v>48.6</v>
      </c>
      <c r="I117" s="117">
        <v>58.8</v>
      </c>
      <c r="J117" s="117">
        <v>52.7</v>
      </c>
      <c r="K117" s="117">
        <v>53</v>
      </c>
      <c r="L117" s="117">
        <v>53</v>
      </c>
      <c r="M117" s="117">
        <v>47.9</v>
      </c>
      <c r="N117" s="117">
        <v>50.4</v>
      </c>
      <c r="O117" s="117">
        <v>50.7</v>
      </c>
      <c r="P117" s="117">
        <v>53.7</v>
      </c>
      <c r="Q117" s="117">
        <v>47.8</v>
      </c>
      <c r="R117" s="117">
        <v>40</v>
      </c>
      <c r="S117" s="117">
        <v>51</v>
      </c>
      <c r="T117" s="117">
        <v>32.200000000000003</v>
      </c>
      <c r="U117" s="117"/>
      <c r="V117" s="117">
        <v>37</v>
      </c>
      <c r="W117" s="117">
        <v>48</v>
      </c>
      <c r="X117" s="117">
        <v>43</v>
      </c>
      <c r="Y117" s="117">
        <v>46</v>
      </c>
      <c r="Z117" s="117">
        <v>42</v>
      </c>
      <c r="AA117" s="117">
        <v>43</v>
      </c>
      <c r="AB117" s="117">
        <v>41.4</v>
      </c>
      <c r="AC117" s="117">
        <v>25.5</v>
      </c>
      <c r="AD117" s="117">
        <v>42</v>
      </c>
      <c r="AE117" s="117">
        <v>55.1</v>
      </c>
      <c r="AF117" s="117">
        <v>61</v>
      </c>
      <c r="AG117" s="119"/>
      <c r="AH117" s="47">
        <f t="shared" si="8"/>
        <v>97</v>
      </c>
      <c r="AI117" s="48">
        <f t="shared" si="9"/>
        <v>25.5</v>
      </c>
    </row>
    <row r="118" spans="1:37" x14ac:dyDescent="0.25">
      <c r="A118" s="120" t="s">
        <v>124</v>
      </c>
      <c r="B118" s="106">
        <v>-39</v>
      </c>
      <c r="C118" s="106">
        <v>-35</v>
      </c>
      <c r="D118" s="106">
        <v>-30</v>
      </c>
      <c r="E118" s="106">
        <v>-22.3</v>
      </c>
      <c r="F118" s="106">
        <v>-16.3</v>
      </c>
      <c r="G118" s="106">
        <v>-16.3</v>
      </c>
      <c r="H118" s="106">
        <v>-17.100000000000001</v>
      </c>
      <c r="I118" s="106">
        <v>-17.5</v>
      </c>
      <c r="J118" s="106">
        <v>-21.8</v>
      </c>
      <c r="K118" s="106">
        <v>-29.4</v>
      </c>
      <c r="L118" s="106">
        <v>-29.4</v>
      </c>
      <c r="M118" s="106">
        <v>-31.6</v>
      </c>
      <c r="N118" s="106">
        <v>-32</v>
      </c>
      <c r="O118" s="106">
        <v>-32.200000000000003</v>
      </c>
      <c r="P118" s="106">
        <v>-25.8</v>
      </c>
      <c r="Q118" s="106">
        <v>-40</v>
      </c>
      <c r="R118" s="106">
        <v>-36.700000000000003</v>
      </c>
      <c r="S118" s="106">
        <v>-39</v>
      </c>
      <c r="T118" s="106">
        <v>-38.200000000000003</v>
      </c>
      <c r="U118" s="106">
        <v>-40</v>
      </c>
      <c r="V118" s="106">
        <v>-24</v>
      </c>
      <c r="W118" s="106">
        <v>-24</v>
      </c>
      <c r="X118" s="106">
        <v>-31</v>
      </c>
      <c r="Y118" s="106">
        <v>-36</v>
      </c>
      <c r="Z118" s="106">
        <v>-49</v>
      </c>
      <c r="AA118" s="106">
        <v>-53</v>
      </c>
      <c r="AB118" s="106">
        <v>-41.8</v>
      </c>
      <c r="AC118" s="106">
        <v>-40.9</v>
      </c>
      <c r="AD118" s="106">
        <v>-40.9</v>
      </c>
      <c r="AE118" s="106">
        <v>-38.200000000000003</v>
      </c>
      <c r="AF118" s="106">
        <v>-33</v>
      </c>
      <c r="AG118" s="119"/>
      <c r="AH118" s="47">
        <f t="shared" si="8"/>
        <v>-16.3</v>
      </c>
      <c r="AI118" s="48">
        <f t="shared" si="9"/>
        <v>-53</v>
      </c>
    </row>
    <row r="119" spans="1:37" x14ac:dyDescent="0.25">
      <c r="A119" s="175" t="s">
        <v>265</v>
      </c>
      <c r="B119" s="106">
        <v>100</v>
      </c>
      <c r="C119" s="106">
        <v>102</v>
      </c>
      <c r="D119" s="106">
        <v>105</v>
      </c>
      <c r="E119" s="106">
        <v>95</v>
      </c>
      <c r="F119" s="106">
        <v>90</v>
      </c>
      <c r="G119" s="106">
        <v>60</v>
      </c>
      <c r="H119" s="106">
        <v>52</v>
      </c>
      <c r="I119" s="106">
        <v>23.1</v>
      </c>
      <c r="J119" s="106">
        <v>30.7</v>
      </c>
      <c r="K119" s="106">
        <v>32</v>
      </c>
      <c r="L119" s="106">
        <v>32</v>
      </c>
      <c r="M119" s="106">
        <v>36.299999999999997</v>
      </c>
      <c r="N119" s="106">
        <v>51.9</v>
      </c>
      <c r="O119" s="106">
        <v>35.299999999999997</v>
      </c>
      <c r="P119" s="106">
        <v>48.7</v>
      </c>
      <c r="Q119" s="106">
        <v>40.200000000000003</v>
      </c>
      <c r="R119" s="106">
        <v>48.3</v>
      </c>
      <c r="S119" s="106">
        <v>34.799999999999997</v>
      </c>
      <c r="T119" s="106">
        <v>46.9</v>
      </c>
      <c r="U119" s="106">
        <v>27</v>
      </c>
      <c r="V119" s="106">
        <v>48</v>
      </c>
      <c r="W119" s="106">
        <v>31</v>
      </c>
      <c r="X119" s="106">
        <v>10</v>
      </c>
      <c r="Y119" s="106">
        <v>22</v>
      </c>
      <c r="Z119" s="106">
        <v>26</v>
      </c>
      <c r="AA119" s="106">
        <v>28</v>
      </c>
      <c r="AB119" s="106">
        <v>59.9</v>
      </c>
      <c r="AC119" s="106">
        <v>75.8</v>
      </c>
      <c r="AD119" s="106">
        <v>80</v>
      </c>
      <c r="AE119" s="106">
        <v>86.5</v>
      </c>
      <c r="AF119" s="106">
        <v>93</v>
      </c>
      <c r="AG119" s="119"/>
      <c r="AH119" s="47">
        <f t="shared" si="8"/>
        <v>105</v>
      </c>
      <c r="AI119" s="48">
        <f t="shared" si="9"/>
        <v>10</v>
      </c>
    </row>
    <row r="120" spans="1:37" ht="15.75" thickBot="1" x14ac:dyDescent="0.3">
      <c r="A120" s="120" t="s">
        <v>125</v>
      </c>
      <c r="B120" s="106">
        <v>113</v>
      </c>
      <c r="C120" s="106">
        <v>106</v>
      </c>
      <c r="D120" s="106">
        <v>106</v>
      </c>
      <c r="E120" s="106">
        <v>99.4</v>
      </c>
      <c r="F120" s="106">
        <v>100</v>
      </c>
      <c r="G120" s="106">
        <v>100</v>
      </c>
      <c r="H120" s="106">
        <v>85.1</v>
      </c>
      <c r="I120" s="106">
        <v>88.1</v>
      </c>
      <c r="J120" s="106">
        <v>110.7</v>
      </c>
      <c r="K120" s="106">
        <v>107.5</v>
      </c>
      <c r="L120" s="106">
        <v>107.5</v>
      </c>
      <c r="M120" s="106">
        <v>114.3</v>
      </c>
      <c r="N120" s="106">
        <v>111.1</v>
      </c>
      <c r="O120" s="106">
        <v>109.6</v>
      </c>
      <c r="P120" s="106">
        <v>103.8</v>
      </c>
      <c r="Q120" s="106">
        <v>113.4</v>
      </c>
      <c r="R120" s="106">
        <v>408.2</v>
      </c>
      <c r="S120" s="106">
        <v>113</v>
      </c>
      <c r="T120" s="106">
        <v>108</v>
      </c>
      <c r="U120" s="106">
        <v>53</v>
      </c>
      <c r="V120" s="106">
        <v>48</v>
      </c>
      <c r="W120" s="106">
        <v>40</v>
      </c>
      <c r="X120" s="106">
        <v>39</v>
      </c>
      <c r="Y120" s="106">
        <v>44</v>
      </c>
      <c r="Z120" s="106">
        <v>66</v>
      </c>
      <c r="AA120" s="106">
        <v>62</v>
      </c>
      <c r="AB120" s="106">
        <v>61.5</v>
      </c>
      <c r="AC120" s="106">
        <v>59.3</v>
      </c>
      <c r="AD120" s="106">
        <v>59</v>
      </c>
      <c r="AE120" s="106">
        <v>65</v>
      </c>
      <c r="AF120" s="106">
        <v>115</v>
      </c>
      <c r="AG120" s="119"/>
      <c r="AH120" s="47">
        <f t="shared" si="8"/>
        <v>408.2</v>
      </c>
      <c r="AI120" s="48">
        <f t="shared" si="9"/>
        <v>39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123.21900000000009</v>
      </c>
      <c r="N231" s="128">
        <f t="shared" ca="1" si="19"/>
        <v>119.19900000000008</v>
      </c>
      <c r="O231" s="128">
        <f t="shared" ca="1" si="19"/>
        <v>119.19900000000008</v>
      </c>
      <c r="P231" s="128">
        <f t="shared" ca="1" si="19"/>
        <v>115.17900000000007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121.23900000000009</v>
      </c>
      <c r="M235" s="136">
        <f t="shared" ca="1" si="20"/>
        <v>125.2590000000001</v>
      </c>
      <c r="N235" s="136">
        <f t="shared" ca="1" si="20"/>
        <v>121.23900000000009</v>
      </c>
      <c r="O235" s="136">
        <f t="shared" ca="1" si="20"/>
        <v>121.23900000000009</v>
      </c>
      <c r="P235" s="136">
        <f t="shared" ca="1" si="20"/>
        <v>117.21900000000008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1809.44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2080/02/21)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2080/02/21)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1671.4400000000003</v>
      </c>
      <c r="U249" s="170">
        <f t="shared" si="21"/>
        <v>1587.04</v>
      </c>
      <c r="V249" s="170">
        <f t="shared" si="21"/>
        <v>1561.04</v>
      </c>
      <c r="W249" s="170">
        <f t="shared" si="21"/>
        <v>1547.44</v>
      </c>
      <c r="X249" s="170">
        <f t="shared" si="21"/>
        <v>1572.44</v>
      </c>
      <c r="Y249" s="170">
        <f t="shared" si="21"/>
        <v>1522.44</v>
      </c>
      <c r="Z249" s="170">
        <f t="shared" si="21"/>
        <v>1504.04</v>
      </c>
      <c r="AA249" s="170">
        <f t="shared" si="21"/>
        <v>1530.04</v>
      </c>
      <c r="AB249" s="170">
        <f t="shared" si="21"/>
        <v>1551.94</v>
      </c>
      <c r="AC249" s="170">
        <f t="shared" si="21"/>
        <v>1664.94</v>
      </c>
      <c r="AD249" s="170">
        <f t="shared" si="21"/>
        <v>1751.94</v>
      </c>
      <c r="AE249" s="170">
        <f t="shared" si="21"/>
        <v>1765.3399999999997</v>
      </c>
      <c r="AF249" s="170">
        <f t="shared" si="21"/>
        <v>1809.44</v>
      </c>
      <c r="AG249" s="170">
        <f t="shared" si="21"/>
        <v>1832.64</v>
      </c>
      <c r="AH249" s="170">
        <f t="shared" si="21"/>
        <v>1827.44</v>
      </c>
      <c r="AI249" s="170">
        <f t="shared" si="21"/>
        <v>1888.74</v>
      </c>
      <c r="AJ249" s="170">
        <f t="shared" si="21"/>
        <v>1858.78</v>
      </c>
      <c r="AK249" s="170">
        <f t="shared" si="21"/>
        <v>1852.24</v>
      </c>
      <c r="AL249" s="170">
        <f t="shared" si="21"/>
        <v>1834.04</v>
      </c>
      <c r="AM249" s="170">
        <f t="shared" si="21"/>
        <v>1981.44</v>
      </c>
      <c r="AN249" s="170">
        <f t="shared" si="21"/>
        <v>1902.0400000000002</v>
      </c>
      <c r="AO249" s="170">
        <f t="shared" si="21"/>
        <v>1842.2400000000002</v>
      </c>
      <c r="AP249" s="170">
        <f t="shared" si="21"/>
        <v>1749.6399999999999</v>
      </c>
      <c r="AQ249" s="170">
        <f t="shared" si="21"/>
        <v>1780.2399999999998</v>
      </c>
      <c r="AR249" s="170">
        <f t="shared" si="21"/>
        <v>1875.04</v>
      </c>
      <c r="AS249" s="170">
        <f t="shared" si="21"/>
        <v>2030.3400000000001</v>
      </c>
      <c r="AT249" s="170">
        <f t="shared" si="21"/>
        <v>1937.2400000000002</v>
      </c>
      <c r="AU249" s="170">
        <f t="shared" si="21"/>
        <v>1912.4400000000003</v>
      </c>
      <c r="AV249" s="170">
        <f t="shared" si="21"/>
        <v>1869.24</v>
      </c>
      <c r="AW249" s="170">
        <f t="shared" si="21"/>
        <v>1785.14</v>
      </c>
      <c r="AX249" s="170">
        <f t="shared" si="21"/>
        <v>1580.94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B12:AF12 B14:AF17 D111:AF111 D113:AF119">
    <cfRule type="expression" dxfId="5808" priority="409">
      <formula>B$9&gt;=20/24</formula>
    </cfRule>
    <cfRule type="expression" dxfId="5807" priority="410">
      <formula>AND(B$9&gt;=14/24,B$9&lt;20/24)</formula>
    </cfRule>
    <cfRule type="expression" dxfId="5806" priority="411">
      <formula>AND(B$9&gt;=8/24,B$9&lt;14/24)</formula>
    </cfRule>
    <cfRule type="expression" dxfId="5805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G67 B12:AF12 B14:AF17">
    <cfRule type="expression" dxfId="5804" priority="407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5803" priority="406">
      <formula>$AH12=0</formula>
    </cfRule>
  </conditionalFormatting>
  <conditionalFormatting sqref="A116">
    <cfRule type="expression" dxfId="5802" priority="405">
      <formula>$AH116=0</formula>
    </cfRule>
  </conditionalFormatting>
  <conditionalFormatting sqref="AL44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5801" priority="403">
      <formula>$AH47=0</formula>
    </cfRule>
  </conditionalFormatting>
  <conditionalFormatting sqref="A100">
    <cfRule type="expression" dxfId="5800" priority="402">
      <formula>$AH100=0</formula>
    </cfRule>
  </conditionalFormatting>
  <conditionalFormatting sqref="A20">
    <cfRule type="expression" dxfId="5799" priority="401">
      <formula>$AH20=0</formula>
    </cfRule>
  </conditionalFormatting>
  <conditionalFormatting sqref="A199:A204">
    <cfRule type="expression" dxfId="5798" priority="400">
      <formula>$AH199=0</formula>
    </cfRule>
  </conditionalFormatting>
  <conditionalFormatting sqref="A193:A198">
    <cfRule type="expression" dxfId="5797" priority="399">
      <formula>$AH193=0</formula>
    </cfRule>
  </conditionalFormatting>
  <conditionalFormatting sqref="A60">
    <cfRule type="expression" dxfId="5796" priority="398">
      <formula>$AH60=0</formula>
    </cfRule>
  </conditionalFormatting>
  <conditionalFormatting sqref="A96">
    <cfRule type="expression" dxfId="5795" priority="397">
      <formula>$AH96=0</formula>
    </cfRule>
  </conditionalFormatting>
  <conditionalFormatting sqref="E101:Y101 AD101:AF101">
    <cfRule type="expression" dxfId="5794" priority="393">
      <formula>E$9&gt;=20/24</formula>
    </cfRule>
    <cfRule type="expression" dxfId="5793" priority="394">
      <formula>AND(E$9&gt;=14/24,E$9&lt;20/24)</formula>
    </cfRule>
    <cfRule type="expression" dxfId="5792" priority="395">
      <formula>AND(E$9&gt;=8/24,E$9&lt;14/24)</formula>
    </cfRule>
    <cfRule type="expression" dxfId="5791" priority="396">
      <formula>E$9&lt;8/24</formula>
    </cfRule>
  </conditionalFormatting>
  <conditionalFormatting sqref="AL45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790" priority="415">
      <formula>C$9&gt;=20/24</formula>
    </cfRule>
    <cfRule type="expression" dxfId="5789" priority="416">
      <formula>AND(C$9&gt;=14/24,C$9&lt;20/24)</formula>
    </cfRule>
    <cfRule type="expression" dxfId="5788" priority="417">
      <formula>AND(C$9&gt;=8/24,C$9&lt;14/24)</formula>
    </cfRule>
    <cfRule type="expression" dxfId="5787" priority="418">
      <formula>C$9&lt;8/24</formula>
    </cfRule>
  </conditionalFormatting>
  <conditionalFormatting sqref="A236">
    <cfRule type="expression" dxfId="5786" priority="419">
      <formula>$AH236=0</formula>
    </cfRule>
  </conditionalFormatting>
  <conditionalFormatting sqref="AG248">
    <cfRule type="expression" dxfId="5785" priority="420">
      <formula>B$9&gt;=20/24</formula>
    </cfRule>
    <cfRule type="expression" dxfId="5784" priority="421">
      <formula>AND(B$9&gt;=14/24,B$9&lt;20/24)</formula>
    </cfRule>
    <cfRule type="expression" dxfId="5783" priority="422">
      <formula>AND(B$9&gt;=8/24,B$9&lt;14/24)</formula>
    </cfRule>
    <cfRule type="expression" dxfId="5782" priority="423">
      <formula>B$9&lt;8/24</formula>
    </cfRule>
  </conditionalFormatting>
  <conditionalFormatting sqref="S8">
    <cfRule type="expression" dxfId="5781" priority="388">
      <formula>U$9&gt;=20/24</formula>
    </cfRule>
    <cfRule type="expression" dxfId="5780" priority="389">
      <formula>AND(U$9&gt;=14/24,U$9&lt;20/24)</formula>
    </cfRule>
    <cfRule type="expression" dxfId="5779" priority="390">
      <formula>AND(U$9&gt;=8/24,U$9&lt;14/24)</formula>
    </cfRule>
    <cfRule type="expression" dxfId="5778" priority="391">
      <formula>U$9&lt;8/24</formula>
    </cfRule>
  </conditionalFormatting>
  <conditionalFormatting sqref="AB8">
    <cfRule type="expression" dxfId="5777" priority="384">
      <formula>AD$9&gt;=20/24</formula>
    </cfRule>
    <cfRule type="expression" dxfId="5776" priority="385">
      <formula>AND(AD$9&gt;=14/24,AD$9&lt;20/24)</formula>
    </cfRule>
    <cfRule type="expression" dxfId="5775" priority="386">
      <formula>AND(AD$9&gt;=8/24,AD$9&lt;14/24)</formula>
    </cfRule>
    <cfRule type="expression" dxfId="5774" priority="387">
      <formula>AD$9&lt;8/24</formula>
    </cfRule>
  </conditionalFormatting>
  <conditionalFormatting sqref="AH248:AX248">
    <cfRule type="expression" dxfId="5773" priority="424">
      <formula>AG$9&gt;=20/24</formula>
    </cfRule>
    <cfRule type="expression" dxfId="5772" priority="425">
      <formula>AND(AG$9&gt;=14/24,AG$9&lt;20/24)</formula>
    </cfRule>
    <cfRule type="expression" dxfId="5771" priority="426">
      <formula>AND(AG$9&gt;=8/24,AG$9&lt;14/24)</formula>
    </cfRule>
    <cfRule type="expression" dxfId="5770" priority="427">
      <formula>AG$9&lt;8/24</formula>
    </cfRule>
  </conditionalFormatting>
  <conditionalFormatting sqref="T248">
    <cfRule type="expression" dxfId="5769" priority="428">
      <formula>AX$9&gt;=20/24</formula>
    </cfRule>
    <cfRule type="expression" dxfId="5768" priority="429">
      <formula>AND(AX$9&gt;=14/24,AX$9&lt;20/24)</formula>
    </cfRule>
    <cfRule type="expression" dxfId="5767" priority="430">
      <formula>AND(AX$9&gt;=8/24,AX$9&lt;14/24)</formula>
    </cfRule>
    <cfRule type="expression" dxfId="5766" priority="431">
      <formula>AX$9&lt;8/24</formula>
    </cfRule>
  </conditionalFormatting>
  <conditionalFormatting sqref="A117:A119">
    <cfRule type="expression" dxfId="5765" priority="383">
      <formula>$AH117=0</formula>
    </cfRule>
  </conditionalFormatting>
  <conditionalFormatting sqref="M56:R57 N58:R59 S56:Z59 I73:AF73">
    <cfRule type="expression" dxfId="5764" priority="379">
      <formula>I$9&gt;=20/24</formula>
    </cfRule>
    <cfRule type="expression" dxfId="5763" priority="380">
      <formula>AND(I$9&gt;=14/24,I$9&lt;20/24)</formula>
    </cfRule>
    <cfRule type="expression" dxfId="5762" priority="381">
      <formula>AND(I$9&gt;=8/24,I$9&lt;14/24)</formula>
    </cfRule>
    <cfRule type="expression" dxfId="5761" priority="382">
      <formula>I$9&lt;8/24</formula>
    </cfRule>
  </conditionalFormatting>
  <conditionalFormatting sqref="M55:Z55 AD55:AF55">
    <cfRule type="expression" dxfId="5760" priority="375">
      <formula>M$9&gt;=20/24</formula>
    </cfRule>
    <cfRule type="expression" dxfId="5759" priority="376">
      <formula>AND(M$9&gt;=14/24,M$9&lt;20/24)</formula>
    </cfRule>
    <cfRule type="expression" dxfId="5758" priority="377">
      <formula>AND(M$9&gt;=8/24,M$9&lt;14/24)</formula>
    </cfRule>
    <cfRule type="expression" dxfId="5757" priority="378">
      <formula>M$9&lt;8/24</formula>
    </cfRule>
  </conditionalFormatting>
  <conditionalFormatting sqref="M55:R57 N58:R59 S55:Z59 AD55:AF55">
    <cfRule type="expression" dxfId="5756" priority="374">
      <formula>M55&gt;$AG55</formula>
    </cfRule>
  </conditionalFormatting>
  <conditionalFormatting sqref="D88:AF88 X98:AF98 M102:Y108 I74:AC75 X49:AF49 AA69:AF71 AD74:AF76">
    <cfRule type="expression" dxfId="5755" priority="370">
      <formula>D$9&gt;=20/24</formula>
    </cfRule>
    <cfRule type="expression" dxfId="5754" priority="371">
      <formula>AND(D$9&gt;=14/24,D$9&lt;20/24)</formula>
    </cfRule>
    <cfRule type="expression" dxfId="5753" priority="372">
      <formula>AND(D$9&gt;=8/24,D$9&lt;14/24)</formula>
    </cfRule>
    <cfRule type="expression" dxfId="5752" priority="373">
      <formula>D$9&lt;8/24</formula>
    </cfRule>
  </conditionalFormatting>
  <conditionalFormatting sqref="X49:AF49 AA69:AF71">
    <cfRule type="expression" dxfId="5751" priority="369">
      <formula>X49&gt;$AG49</formula>
    </cfRule>
  </conditionalFormatting>
  <conditionalFormatting sqref="AA55:AC60 AD56:AF60">
    <cfRule type="expression" dxfId="5750" priority="365">
      <formula>AA$9&gt;=20/24</formula>
    </cfRule>
    <cfRule type="expression" dxfId="5749" priority="366">
      <formula>AND(AA$9&gt;=14/24,AA$9&lt;20/24)</formula>
    </cfRule>
    <cfRule type="expression" dxfId="5748" priority="367">
      <formula>AND(AA$9&gt;=8/24,AA$9&lt;14/24)</formula>
    </cfRule>
    <cfRule type="expression" dxfId="5747" priority="368">
      <formula>AA$9&lt;8/24</formula>
    </cfRule>
  </conditionalFormatting>
  <conditionalFormatting sqref="AA55:AC60 AD56:AF60">
    <cfRule type="expression" dxfId="5746" priority="364">
      <formula>AA55&gt;$AG55</formula>
    </cfRule>
  </conditionalFormatting>
  <conditionalFormatting sqref="C99:AF99 D90:AF90">
    <cfRule type="expression" dxfId="5745" priority="360">
      <formula>C$9&gt;=20/24</formula>
    </cfRule>
    <cfRule type="expression" dxfId="5744" priority="361">
      <formula>AND(C$9&gt;=14/24,C$9&lt;20/24)</formula>
    </cfRule>
    <cfRule type="expression" dxfId="5743" priority="362">
      <formula>AND(C$9&gt;=8/24,C$9&lt;14/24)</formula>
    </cfRule>
    <cfRule type="expression" dxfId="5742" priority="363">
      <formula>C$9&lt;8/24</formula>
    </cfRule>
  </conditionalFormatting>
  <conditionalFormatting sqref="T49:W49">
    <cfRule type="expression" dxfId="5741" priority="356">
      <formula>T$9&gt;=20/24</formula>
    </cfRule>
    <cfRule type="expression" dxfId="5740" priority="357">
      <formula>AND(T$9&gt;=14/24,T$9&lt;20/24)</formula>
    </cfRule>
    <cfRule type="expression" dxfId="5739" priority="358">
      <formula>AND(T$9&gt;=8/24,T$9&lt;14/24)</formula>
    </cfRule>
    <cfRule type="expression" dxfId="5738" priority="359">
      <formula>T$9&lt;8/24</formula>
    </cfRule>
  </conditionalFormatting>
  <conditionalFormatting sqref="T49:W49">
    <cfRule type="expression" dxfId="5737" priority="355">
      <formula>T49&gt;$AG49</formula>
    </cfRule>
  </conditionalFormatting>
  <conditionalFormatting sqref="H56:L57">
    <cfRule type="expression" dxfId="5736" priority="351">
      <formula>H$9&gt;=20/24</formula>
    </cfRule>
    <cfRule type="expression" dxfId="5735" priority="352">
      <formula>AND(H$9&gt;=14/24,H$9&lt;20/24)</formula>
    </cfRule>
    <cfRule type="expression" dxfId="5734" priority="353">
      <formula>AND(H$9&gt;=8/24,H$9&lt;14/24)</formula>
    </cfRule>
    <cfRule type="expression" dxfId="5733" priority="354">
      <formula>H$9&lt;8/24</formula>
    </cfRule>
  </conditionalFormatting>
  <conditionalFormatting sqref="G55:L55">
    <cfRule type="expression" dxfId="5732" priority="347">
      <formula>G$9&gt;=20/24</formula>
    </cfRule>
    <cfRule type="expression" dxfId="5731" priority="348">
      <formula>AND(G$9&gt;=14/24,G$9&lt;20/24)</formula>
    </cfRule>
    <cfRule type="expression" dxfId="5730" priority="349">
      <formula>AND(G$9&gt;=8/24,G$9&lt;14/24)</formula>
    </cfRule>
    <cfRule type="expression" dxfId="5729" priority="350">
      <formula>G$9&lt;8/24</formula>
    </cfRule>
  </conditionalFormatting>
  <conditionalFormatting sqref="G55:L55 H56:L57">
    <cfRule type="expression" dxfId="5728" priority="346">
      <formula>G55&gt;$AG55</formula>
    </cfRule>
  </conditionalFormatting>
  <conditionalFormatting sqref="AG72 AG89 E102:L108">
    <cfRule type="expression" dxfId="5727" priority="342">
      <formula>E$9&gt;=20/24</formula>
    </cfRule>
    <cfRule type="expression" dxfId="5726" priority="343">
      <formula>AND(E$9&gt;=14/24,E$9&lt;20/24)</formula>
    </cfRule>
    <cfRule type="expression" dxfId="5725" priority="344">
      <formula>AND(E$9&gt;=8/24,E$9&lt;14/24)</formula>
    </cfRule>
    <cfRule type="expression" dxfId="5724" priority="345">
      <formula>E$9&lt;8/24</formula>
    </cfRule>
  </conditionalFormatting>
  <conditionalFormatting sqref="AG50 AG68 AG72">
    <cfRule type="expression" dxfId="5723" priority="341">
      <formula>AG50&gt;$AG50</formula>
    </cfRule>
  </conditionalFormatting>
  <conditionalFormatting sqref="A45">
    <cfRule type="expression" dxfId="5722" priority="335">
      <formula>$AH45=0</formula>
    </cfRule>
  </conditionalFormatting>
  <conditionalFormatting sqref="X93:AF97">
    <cfRule type="expression" dxfId="5721" priority="331">
      <formula>X$9&gt;=20/24</formula>
    </cfRule>
    <cfRule type="expression" dxfId="5720" priority="332">
      <formula>AND(X$9&gt;=14/24,X$9&lt;20/24)</formula>
    </cfRule>
    <cfRule type="expression" dxfId="5719" priority="333">
      <formula>AND(X$9&gt;=8/24,X$9&lt;14/24)</formula>
    </cfRule>
    <cfRule type="expression" dxfId="5718" priority="334">
      <formula>X$9&lt;8/24</formula>
    </cfRule>
  </conditionalFormatting>
  <conditionalFormatting sqref="AL47 AL43 AL24:AL34 AL40:AL41 AL19:AL22 AL36:AL38 AL7:AL17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G51:L51 M51:AF53">
    <cfRule type="expression" dxfId="5717" priority="327">
      <formula>G$9&gt;=20/24</formula>
    </cfRule>
    <cfRule type="expression" dxfId="5716" priority="328">
      <formula>AND(G$9&gt;=14/24,G$9&lt;20/24)</formula>
    </cfRule>
    <cfRule type="expression" dxfId="5715" priority="329">
      <formula>AND(G$9&gt;=8/24,G$9&lt;14/24)</formula>
    </cfRule>
    <cfRule type="expression" dxfId="5714" priority="330">
      <formula>G$9&lt;8/24</formula>
    </cfRule>
  </conditionalFormatting>
  <conditionalFormatting sqref="G51:L51 M51:AF53">
    <cfRule type="expression" dxfId="5713" priority="326">
      <formula>G51&gt;$AG51</formula>
    </cfRule>
  </conditionalFormatting>
  <conditionalFormatting sqref="AG54">
    <cfRule type="expression" dxfId="5712" priority="322">
      <formula>AG$9&gt;=20/24</formula>
    </cfRule>
    <cfRule type="expression" dxfId="5711" priority="323">
      <formula>AND(AG$9&gt;=14/24,AG$9&lt;20/24)</formula>
    </cfRule>
    <cfRule type="expression" dxfId="5710" priority="324">
      <formula>AND(AG$9&gt;=8/24,AG$9&lt;14/24)</formula>
    </cfRule>
    <cfRule type="expression" dxfId="5709" priority="325">
      <formula>AG$9&lt;8/24</formula>
    </cfRule>
  </conditionalFormatting>
  <conditionalFormatting sqref="AG54">
    <cfRule type="expression" dxfId="5708" priority="321">
      <formula>AG54&gt;$AG54</formula>
    </cfRule>
  </conditionalFormatting>
  <conditionalFormatting sqref="C109:AF109">
    <cfRule type="expression" dxfId="5707" priority="317">
      <formula>C$9&gt;=20/24</formula>
    </cfRule>
    <cfRule type="expression" dxfId="5706" priority="318">
      <formula>AND(C$9&gt;=14/24,C$9&lt;20/24)</formula>
    </cfRule>
    <cfRule type="expression" dxfId="5705" priority="319">
      <formula>AND(C$9&gt;=8/24,C$9&lt;14/24)</formula>
    </cfRule>
    <cfRule type="expression" dxfId="5704" priority="320">
      <formula>C$9&lt;8/24</formula>
    </cfRule>
  </conditionalFormatting>
  <conditionalFormatting sqref="AL42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5703" priority="315">
      <formula>$AH42=0</formula>
    </cfRule>
  </conditionalFormatting>
  <conditionalFormatting sqref="A92">
    <cfRule type="expression" dxfId="5702" priority="313">
      <formula>$AH92=0</formula>
    </cfRule>
  </conditionalFormatting>
  <conditionalFormatting sqref="A89">
    <cfRule type="expression" dxfId="5701" priority="314">
      <formula>$AH89=0</formula>
    </cfRule>
  </conditionalFormatting>
  <conditionalFormatting sqref="D112:AF112">
    <cfRule type="expression" dxfId="5700" priority="309">
      <formula>D$9&gt;=20/24</formula>
    </cfRule>
    <cfRule type="expression" dxfId="5699" priority="310">
      <formula>AND(D$9&gt;=14/24,D$9&lt;20/24)</formula>
    </cfRule>
    <cfRule type="expression" dxfId="5698" priority="311">
      <formula>AND(D$9&gt;=8/24,D$9&lt;14/24)</formula>
    </cfRule>
    <cfRule type="expression" dxfId="5697" priority="312">
      <formula>D$9&lt;8/24</formula>
    </cfRule>
  </conditionalFormatting>
  <conditionalFormatting sqref="A112">
    <cfRule type="expression" dxfId="5696" priority="308">
      <formula>$AH112=0</formula>
    </cfRule>
  </conditionalFormatting>
  <conditionalFormatting sqref="A23">
    <cfRule type="expression" dxfId="5695" priority="306">
      <formula>$AH23=0</formula>
    </cfRule>
  </conditionalFormatting>
  <conditionalFormatting sqref="AL2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5694" priority="304">
      <formula>$AH39=0</formula>
    </cfRule>
  </conditionalFormatting>
  <conditionalFormatting sqref="AL39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5693" priority="300">
      <formula>Z$9&gt;=20/24</formula>
    </cfRule>
    <cfRule type="expression" dxfId="5692" priority="301">
      <formula>AND(Z$9&gt;=14/24,Z$9&lt;20/24)</formula>
    </cfRule>
    <cfRule type="expression" dxfId="5691" priority="302">
      <formula>AND(Z$9&gt;=8/24,Z$9&lt;14/24)</formula>
    </cfRule>
    <cfRule type="expression" dxfId="5690" priority="303">
      <formula>Z$9&lt;8/24</formula>
    </cfRule>
  </conditionalFormatting>
  <conditionalFormatting sqref="Z102:AF108">
    <cfRule type="expression" dxfId="5689" priority="296">
      <formula>Z$9&gt;=20/24</formula>
    </cfRule>
    <cfRule type="expression" dxfId="5688" priority="297">
      <formula>AND(Z$9&gt;=14/24,Z$9&lt;20/24)</formula>
    </cfRule>
    <cfRule type="expression" dxfId="5687" priority="298">
      <formula>AND(Z$9&gt;=8/24,Z$9&lt;14/24)</formula>
    </cfRule>
    <cfRule type="expression" dxfId="5686" priority="299">
      <formula>Z$9&lt;8/24</formula>
    </cfRule>
  </conditionalFormatting>
  <conditionalFormatting sqref="C111 C113:C119 AA19:AF30 AA36:AF45 AA32:AF34">
    <cfRule type="expression" dxfId="5685" priority="292">
      <formula>C$9&gt;=20/24</formula>
    </cfRule>
    <cfRule type="expression" dxfId="5684" priority="293">
      <formula>AND(C$9&gt;=14/24,C$9&lt;20/24)</formula>
    </cfRule>
    <cfRule type="expression" dxfId="5683" priority="294">
      <formula>AND(C$9&gt;=8/24,C$9&lt;14/24)</formula>
    </cfRule>
    <cfRule type="expression" dxfId="5682" priority="295">
      <formula>C$9&lt;8/24</formula>
    </cfRule>
  </conditionalFormatting>
  <conditionalFormatting sqref="E49:S49">
    <cfRule type="expression" dxfId="5681" priority="288">
      <formula>E$9&gt;=20/24</formula>
    </cfRule>
    <cfRule type="expression" dxfId="5680" priority="289">
      <formula>AND(E$9&gt;=14/24,E$9&lt;20/24)</formula>
    </cfRule>
    <cfRule type="expression" dxfId="5679" priority="290">
      <formula>AND(E$9&gt;=8/24,E$9&lt;14/24)</formula>
    </cfRule>
    <cfRule type="expression" dxfId="5678" priority="291">
      <formula>E$9&lt;8/24</formula>
    </cfRule>
  </conditionalFormatting>
  <conditionalFormatting sqref="E49:S49 AA19:AF30 AA36:AF45 AA32:AF34">
    <cfRule type="expression" dxfId="5677" priority="287">
      <formula>E19&gt;$AG19</formula>
    </cfRule>
  </conditionalFormatting>
  <conditionalFormatting sqref="C101:D101">
    <cfRule type="expression" dxfId="5676" priority="283">
      <formula>C$9&gt;=20/24</formula>
    </cfRule>
    <cfRule type="expression" dxfId="5675" priority="284">
      <formula>AND(C$9&gt;=14/24,C$9&lt;20/24)</formula>
    </cfRule>
    <cfRule type="expression" dxfId="5674" priority="285">
      <formula>AND(C$9&gt;=8/24,C$9&lt;14/24)</formula>
    </cfRule>
    <cfRule type="expression" dxfId="5673" priority="286">
      <formula>C$9&lt;8/24</formula>
    </cfRule>
  </conditionalFormatting>
  <conditionalFormatting sqref="C88 C98:W98 C85:AF87 I76:R76 N77:R78 AA76:AC76 E69:Z71 S76:Z78 AA77:AF78">
    <cfRule type="expression" dxfId="5672" priority="279">
      <formula>C$9&gt;=20/24</formula>
    </cfRule>
    <cfRule type="expression" dxfId="5671" priority="280">
      <formula>AND(C$9&gt;=14/24,C$9&lt;20/24)</formula>
    </cfRule>
    <cfRule type="expression" dxfId="5670" priority="281">
      <formula>AND(C$9&gt;=8/24,C$9&lt;14/24)</formula>
    </cfRule>
    <cfRule type="expression" dxfId="5669" priority="282">
      <formula>C$9&lt;8/24</formula>
    </cfRule>
  </conditionalFormatting>
  <conditionalFormatting sqref="E69:Z71">
    <cfRule type="expression" dxfId="5668" priority="278">
      <formula>E69&gt;$AG69</formula>
    </cfRule>
  </conditionalFormatting>
  <conditionalFormatting sqref="D56:G57 C73:H73">
    <cfRule type="expression" dxfId="5667" priority="220">
      <formula>C$9&gt;=20/24</formula>
    </cfRule>
    <cfRule type="expression" dxfId="5666" priority="221">
      <formula>AND(C$9&gt;=14/24,C$9&lt;20/24)</formula>
    </cfRule>
    <cfRule type="expression" dxfId="5665" priority="222">
      <formula>AND(C$9&gt;=8/24,C$9&lt;14/24)</formula>
    </cfRule>
    <cfRule type="expression" dxfId="5664" priority="223">
      <formula>C$9&lt;8/24</formula>
    </cfRule>
  </conditionalFormatting>
  <conditionalFormatting sqref="C89:AF89 C91:AF91 C100:AF100 C72:AF72">
    <cfRule type="expression" dxfId="5663" priority="274">
      <formula>C$9&gt;=20/24</formula>
    </cfRule>
    <cfRule type="expression" dxfId="5662" priority="275">
      <formula>AND(C$9&gt;=14/24,C$9&lt;20/24)</formula>
    </cfRule>
    <cfRule type="expression" dxfId="5661" priority="276">
      <formula>AND(C$9&gt;=8/24,C$9&lt;14/24)</formula>
    </cfRule>
    <cfRule type="expression" dxfId="5660" priority="277">
      <formula>C$9&lt;8/24</formula>
    </cfRule>
  </conditionalFormatting>
  <conditionalFormatting sqref="C72:AF72 D67:AF68">
    <cfRule type="expression" dxfId="5659" priority="273">
      <formula>C67&gt;$AG67</formula>
    </cfRule>
  </conditionalFormatting>
  <conditionalFormatting sqref="C84:AF84">
    <cfRule type="expression" dxfId="5658" priority="269">
      <formula>C$9&gt;=20/24</formula>
    </cfRule>
    <cfRule type="expression" dxfId="5657" priority="270">
      <formula>AND(C$9&gt;=14/24,C$9&lt;20/24)</formula>
    </cfRule>
    <cfRule type="expression" dxfId="5656" priority="271">
      <formula>AND(C$9&gt;=8/24,C$9&lt;14/24)</formula>
    </cfRule>
    <cfRule type="expression" dxfId="5655" priority="272">
      <formula>C$9&lt;8/24</formula>
    </cfRule>
  </conditionalFormatting>
  <conditionalFormatting sqref="C93:W97">
    <cfRule type="expression" dxfId="5654" priority="265">
      <formula>C$9&gt;=20/24</formula>
    </cfRule>
    <cfRule type="expression" dxfId="5653" priority="266">
      <formula>AND(C$9&gt;=14/24,C$9&lt;20/24)</formula>
    </cfRule>
    <cfRule type="expression" dxfId="5652" priority="267">
      <formula>AND(C$9&gt;=8/24,C$9&lt;14/24)</formula>
    </cfRule>
    <cfRule type="expression" dxfId="5651" priority="268">
      <formula>C$9&lt;8/24</formula>
    </cfRule>
  </conditionalFormatting>
  <conditionalFormatting sqref="D54:AF54">
    <cfRule type="expression" dxfId="5650" priority="261">
      <formula>D$9&gt;=20/24</formula>
    </cfRule>
    <cfRule type="expression" dxfId="5649" priority="262">
      <formula>AND(D$9&gt;=14/24,D$9&lt;20/24)</formula>
    </cfRule>
    <cfRule type="expression" dxfId="5648" priority="263">
      <formula>AND(D$9&gt;=8/24,D$9&lt;14/24)</formula>
    </cfRule>
    <cfRule type="expression" dxfId="5647" priority="264">
      <formula>D$9&lt;8/24</formula>
    </cfRule>
  </conditionalFormatting>
  <conditionalFormatting sqref="D54:AF54">
    <cfRule type="expression" dxfId="5646" priority="260">
      <formula>D54&gt;$AG54</formula>
    </cfRule>
  </conditionalFormatting>
  <conditionalFormatting sqref="C112">
    <cfRule type="expression" dxfId="5645" priority="252">
      <formula>C$9&gt;=20/24</formula>
    </cfRule>
    <cfRule type="expression" dxfId="5644" priority="253">
      <formula>AND(C$9&gt;=14/24,C$9&lt;20/24)</formula>
    </cfRule>
    <cfRule type="expression" dxfId="5643" priority="254">
      <formula>AND(C$9&gt;=8/24,C$9&lt;14/24)</formula>
    </cfRule>
    <cfRule type="expression" dxfId="5642" priority="255">
      <formula>C$9&lt;8/24</formula>
    </cfRule>
  </conditionalFormatting>
  <conditionalFormatting sqref="AA61:AF66">
    <cfRule type="expression" dxfId="5641" priority="248">
      <formula>AA$9&gt;=20/24</formula>
    </cfRule>
    <cfRule type="expression" dxfId="5640" priority="249">
      <formula>AND(AA$9&gt;=14/24,AA$9&lt;20/24)</formula>
    </cfRule>
    <cfRule type="expression" dxfId="5639" priority="250">
      <formula>AND(AA$9&gt;=8/24,AA$9&lt;14/24)</formula>
    </cfRule>
    <cfRule type="expression" dxfId="5638" priority="251">
      <formula>AA$9&lt;8/24</formula>
    </cfRule>
  </conditionalFormatting>
  <conditionalFormatting sqref="AA61:AF66">
    <cfRule type="expression" dxfId="5637" priority="247">
      <formula>AA61&gt;$AG61</formula>
    </cfRule>
  </conditionalFormatting>
  <conditionalFormatting sqref="AA47:AF47">
    <cfRule type="expression" dxfId="5636" priority="246">
      <formula>AA47&gt;$AG47</formula>
    </cfRule>
  </conditionalFormatting>
  <conditionalFormatting sqref="AA13:AF13">
    <cfRule type="expression" dxfId="5635" priority="242">
      <formula>AA$9&gt;=20/24</formula>
    </cfRule>
    <cfRule type="expression" dxfId="5634" priority="243">
      <formula>AND(AA$9&gt;=14/24,AA$9&lt;20/24)</formula>
    </cfRule>
    <cfRule type="expression" dxfId="5633" priority="244">
      <formula>AND(AA$9&gt;=8/24,AA$9&lt;14/24)</formula>
    </cfRule>
    <cfRule type="expression" dxfId="5632" priority="245">
      <formula>AA$9&lt;8/24</formula>
    </cfRule>
  </conditionalFormatting>
  <conditionalFormatting sqref="AA13:AF13">
    <cfRule type="expression" dxfId="5631" priority="241">
      <formula>AA13&gt;$AG13</formula>
    </cfRule>
  </conditionalFormatting>
  <conditionalFormatting sqref="AA47:AF47">
    <cfRule type="expression" dxfId="5630" priority="237">
      <formula>AA$9&gt;=20/24</formula>
    </cfRule>
    <cfRule type="expression" dxfId="5629" priority="238">
      <formula>AND(AA$9&gt;=14/24,AA$9&lt;20/24)</formula>
    </cfRule>
    <cfRule type="expression" dxfId="5628" priority="239">
      <formula>AND(AA$9&gt;=8/24,AA$9&lt;14/24)</formula>
    </cfRule>
    <cfRule type="expression" dxfId="5627" priority="240">
      <formula>AA$9&lt;8/24</formula>
    </cfRule>
  </conditionalFormatting>
  <conditionalFormatting sqref="N79:AF83">
    <cfRule type="expression" dxfId="5626" priority="233">
      <formula>N$9&gt;=20/24</formula>
    </cfRule>
    <cfRule type="expression" dxfId="5625" priority="234">
      <formula>AND(N$9&gt;=14/24,N$9&lt;20/24)</formula>
    </cfRule>
    <cfRule type="expression" dxfId="5624" priority="235">
      <formula>AND(N$9&gt;=8/24,N$9&lt;14/24)</formula>
    </cfRule>
    <cfRule type="expression" dxfId="5623" priority="236">
      <formula>N$9&lt;8/24</formula>
    </cfRule>
  </conditionalFormatting>
  <conditionalFormatting sqref="AL80:AN80 AL86:AN86 AN81:AN82">
    <cfRule type="expression" dxfId="5622" priority="229">
      <formula>AL$9&gt;=20/24</formula>
    </cfRule>
    <cfRule type="expression" dxfId="5621" priority="230">
      <formula>AND(AL$9&gt;=14/24,AL$9&lt;20/24)</formula>
    </cfRule>
    <cfRule type="expression" dxfId="5620" priority="231">
      <formula>AND(AL$9&gt;=8/24,AL$9&lt;14/24)</formula>
    </cfRule>
    <cfRule type="expression" dxfId="5619" priority="232">
      <formula>AL$9&lt;8/24</formula>
    </cfRule>
  </conditionalFormatting>
  <conditionalFormatting sqref="AN83:AN84">
    <cfRule type="expression" dxfId="5618" priority="225">
      <formula>AN$9&gt;=20/24</formula>
    </cfRule>
    <cfRule type="expression" dxfId="5617" priority="226">
      <formula>AND(AN$9&gt;=14/24,AN$9&lt;20/24)</formula>
    </cfRule>
    <cfRule type="expression" dxfId="5616" priority="227">
      <formula>AND(AN$9&gt;=8/24,AN$9&lt;14/24)</formula>
    </cfRule>
    <cfRule type="expression" dxfId="5615" priority="228">
      <formula>AN$9&lt;8/24</formula>
    </cfRule>
  </conditionalFormatting>
  <conditionalFormatting sqref="AL81:AM85">
    <cfRule type="expression" dxfId="5614" priority="433">
      <formula>AJ$9&gt;=20/24</formula>
    </cfRule>
    <cfRule type="expression" dxfId="5613" priority="434">
      <formula>AND(AJ$9&gt;=14/24,AJ$9&lt;20/24)</formula>
    </cfRule>
    <cfRule type="expression" dxfId="5612" priority="435">
      <formula>AND(AJ$9&gt;=8/24,AJ$9&lt;14/24)</formula>
    </cfRule>
    <cfRule type="expression" dxfId="5611" priority="436">
      <formula>AJ$9&lt;8/24</formula>
    </cfRule>
  </conditionalFormatting>
  <conditionalFormatting sqref="A120">
    <cfRule type="expression" dxfId="5610" priority="224">
      <formula>$AH120=0</formula>
    </cfRule>
  </conditionalFormatting>
  <conditionalFormatting sqref="D55:F55">
    <cfRule type="expression" dxfId="5609" priority="216">
      <formula>D$9&gt;=20/24</formula>
    </cfRule>
    <cfRule type="expression" dxfId="5608" priority="217">
      <formula>AND(D$9&gt;=14/24,D$9&lt;20/24)</formula>
    </cfRule>
    <cfRule type="expression" dxfId="5607" priority="218">
      <formula>AND(D$9&gt;=8/24,D$9&lt;14/24)</formula>
    </cfRule>
    <cfRule type="expression" dxfId="5606" priority="219">
      <formula>D$9&lt;8/24</formula>
    </cfRule>
  </conditionalFormatting>
  <conditionalFormatting sqref="D55:F57 G56:G57">
    <cfRule type="expression" dxfId="5605" priority="215">
      <formula>D55&gt;$AG55</formula>
    </cfRule>
  </conditionalFormatting>
  <conditionalFormatting sqref="D69 C74:H76">
    <cfRule type="expression" dxfId="5604" priority="211">
      <formula>C$9&gt;=20/24</formula>
    </cfRule>
    <cfRule type="expression" dxfId="5603" priority="212">
      <formula>AND(C$9&gt;=14/24,C$9&lt;20/24)</formula>
    </cfRule>
    <cfRule type="expression" dxfId="5602" priority="213">
      <formula>AND(C$9&gt;=8/24,C$9&lt;14/24)</formula>
    </cfRule>
    <cfRule type="expression" dxfId="5601" priority="214">
      <formula>C$9&lt;8/24</formula>
    </cfRule>
  </conditionalFormatting>
  <conditionalFormatting sqref="D69">
    <cfRule type="expression" dxfId="5600" priority="210">
      <formula>D69&gt;$AG69</formula>
    </cfRule>
  </conditionalFormatting>
  <conditionalFormatting sqref="AA48:AF48">
    <cfRule type="expression" dxfId="5599" priority="202">
      <formula>AA$9&gt;=20/24</formula>
    </cfRule>
    <cfRule type="expression" dxfId="5598" priority="203">
      <formula>AND(AA$9&gt;=14/24,AA$9&lt;20/24)</formula>
    </cfRule>
    <cfRule type="expression" dxfId="5597" priority="204">
      <formula>AND(AA$9&gt;=8/24,AA$9&lt;14/24)</formula>
    </cfRule>
    <cfRule type="expression" dxfId="5596" priority="205">
      <formula>AA$9&lt;8/24</formula>
    </cfRule>
  </conditionalFormatting>
  <conditionalFormatting sqref="AA48:AF48">
    <cfRule type="expression" dxfId="5595" priority="201">
      <formula>AA48&gt;$AG48</formula>
    </cfRule>
  </conditionalFormatting>
  <conditionalFormatting sqref="N60:Z60">
    <cfRule type="expression" dxfId="5594" priority="197">
      <formula>N$9&gt;=20/24</formula>
    </cfRule>
    <cfRule type="expression" dxfId="5593" priority="198">
      <formula>AND(N$9&gt;=14/24,N$9&lt;20/24)</formula>
    </cfRule>
    <cfRule type="expression" dxfId="5592" priority="199">
      <formula>AND(N$9&gt;=8/24,N$9&lt;14/24)</formula>
    </cfRule>
    <cfRule type="expression" dxfId="5591" priority="200">
      <formula>N$9&lt;8/24</formula>
    </cfRule>
  </conditionalFormatting>
  <conditionalFormatting sqref="N60:Z60">
    <cfRule type="expression" dxfId="5590" priority="196">
      <formula>N60&gt;$AG60</formula>
    </cfRule>
  </conditionalFormatting>
  <conditionalFormatting sqref="B88 B98 B74:B76 B69:C71 B49:D49 D70:D71 B102:D108">
    <cfRule type="expression" dxfId="5589" priority="126">
      <formula>B$9&gt;=20/24</formula>
    </cfRule>
    <cfRule type="expression" dxfId="5588" priority="127">
      <formula>AND(B$9&gt;=14/24,B$9&lt;20/24)</formula>
    </cfRule>
    <cfRule type="expression" dxfId="5587" priority="128">
      <formula>AND(B$9&gt;=8/24,B$9&lt;14/24)</formula>
    </cfRule>
    <cfRule type="expression" dxfId="5586" priority="129">
      <formula>B$9&lt;8/24</formula>
    </cfRule>
  </conditionalFormatting>
  <conditionalFormatting sqref="B60:M60">
    <cfRule type="expression" dxfId="5585" priority="117">
      <formula>B$9&gt;=20/24</formula>
    </cfRule>
    <cfRule type="expression" dxfId="5584" priority="118">
      <formula>AND(B$9&gt;=14/24,B$9&lt;20/24)</formula>
    </cfRule>
    <cfRule type="expression" dxfId="5583" priority="119">
      <formula>AND(B$9&gt;=8/24,B$9&lt;14/24)</formula>
    </cfRule>
    <cfRule type="expression" dxfId="5582" priority="120">
      <formula>B$9&lt;8/24</formula>
    </cfRule>
  </conditionalFormatting>
  <conditionalFormatting sqref="C77:M78">
    <cfRule type="expression" dxfId="5581" priority="192">
      <formula>C$9&gt;=20/24</formula>
    </cfRule>
    <cfRule type="expression" dxfId="5580" priority="193">
      <formula>AND(C$9&gt;=14/24,C$9&lt;20/24)</formula>
    </cfRule>
    <cfRule type="expression" dxfId="5579" priority="194">
      <formula>AND(C$9&gt;=8/24,C$9&lt;14/24)</formula>
    </cfRule>
    <cfRule type="expression" dxfId="5578" priority="195">
      <formula>C$9&lt;8/24</formula>
    </cfRule>
  </conditionalFormatting>
  <conditionalFormatting sqref="E50:AF50">
    <cfRule type="expression" dxfId="5577" priority="191">
      <formula>E50&gt;$AG50</formula>
    </cfRule>
  </conditionalFormatting>
  <conditionalFormatting sqref="P61:Z66">
    <cfRule type="expression" dxfId="5576" priority="187">
      <formula>P$9&gt;=20/24</formula>
    </cfRule>
    <cfRule type="expression" dxfId="5575" priority="188">
      <formula>AND(P$9&gt;=14/24,P$9&lt;20/24)</formula>
    </cfRule>
    <cfRule type="expression" dxfId="5574" priority="189">
      <formula>AND(P$9&gt;=8/24,P$9&lt;14/24)</formula>
    </cfRule>
    <cfRule type="expression" dxfId="5573" priority="190">
      <formula>P$9&lt;8/24</formula>
    </cfRule>
  </conditionalFormatting>
  <conditionalFormatting sqref="P61:Z66">
    <cfRule type="expression" dxfId="5572" priority="186">
      <formula>P61&gt;$AG61</formula>
    </cfRule>
  </conditionalFormatting>
  <conditionalFormatting sqref="A11">
    <cfRule type="expression" dxfId="5571" priority="181">
      <formula>$AH11=0</formula>
    </cfRule>
  </conditionalFormatting>
  <conditionalFormatting sqref="AA11:AF11">
    <cfRule type="expression" dxfId="5570" priority="177">
      <formula>AA$9&gt;=20/24</formula>
    </cfRule>
    <cfRule type="expression" dxfId="5569" priority="178">
      <formula>AND(AA$9&gt;=14/24,AA$9&lt;20/24)</formula>
    </cfRule>
    <cfRule type="expression" dxfId="5568" priority="179">
      <formula>AND(AA$9&gt;=8/24,AA$9&lt;14/24)</formula>
    </cfRule>
    <cfRule type="expression" dxfId="5567" priority="180">
      <formula>AA$9&lt;8/24</formula>
    </cfRule>
  </conditionalFormatting>
  <conditionalFormatting sqref="AA11:AF11">
    <cfRule type="expression" dxfId="5566" priority="176">
      <formula>AA11&gt;$AG11</formula>
    </cfRule>
  </conditionalFormatting>
  <conditionalFormatting sqref="A18">
    <cfRule type="expression" dxfId="5565" priority="174">
      <formula>$AH18=0</formula>
    </cfRule>
  </conditionalFormatting>
  <conditionalFormatting sqref="AL1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5564" priority="170">
      <formula>AA$9&gt;=20/24</formula>
    </cfRule>
    <cfRule type="expression" dxfId="5563" priority="171">
      <formula>AND(AA$9&gt;=14/24,AA$9&lt;20/24)</formula>
    </cfRule>
    <cfRule type="expression" dxfId="5562" priority="172">
      <formula>AND(AA$9&gt;=8/24,AA$9&lt;14/24)</formula>
    </cfRule>
    <cfRule type="expression" dxfId="5561" priority="173">
      <formula>AA$9&lt;8/24</formula>
    </cfRule>
  </conditionalFormatting>
  <conditionalFormatting sqref="AA18:AF18">
    <cfRule type="expression" dxfId="5560" priority="169">
      <formula>AA18&gt;$AG18</formula>
    </cfRule>
  </conditionalFormatting>
  <conditionalFormatting sqref="A35">
    <cfRule type="expression" dxfId="5559" priority="167">
      <formula>$AH35=0</formula>
    </cfRule>
  </conditionalFormatting>
  <conditionalFormatting sqref="AL3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5558" priority="163">
      <formula>AA$9&gt;=20/24</formula>
    </cfRule>
    <cfRule type="expression" dxfId="5557" priority="164">
      <formula>AND(AA$9&gt;=14/24,AA$9&lt;20/24)</formula>
    </cfRule>
    <cfRule type="expression" dxfId="5556" priority="165">
      <formula>AND(AA$9&gt;=8/24,AA$9&lt;14/24)</formula>
    </cfRule>
    <cfRule type="expression" dxfId="5555" priority="166">
      <formula>AA$9&lt;8/24</formula>
    </cfRule>
  </conditionalFormatting>
  <conditionalFormatting sqref="AA35:AF35">
    <cfRule type="expression" dxfId="5554" priority="162">
      <formula>AA35&gt;$AG35</formula>
    </cfRule>
  </conditionalFormatting>
  <conditionalFormatting sqref="A46">
    <cfRule type="expression" dxfId="5553" priority="160">
      <formula>$AH46=0</formula>
    </cfRule>
  </conditionalFormatting>
  <conditionalFormatting sqref="AL4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5552" priority="159">
      <formula>AA46&gt;$AG46</formula>
    </cfRule>
  </conditionalFormatting>
  <conditionalFormatting sqref="AA46:AF46">
    <cfRule type="expression" dxfId="5551" priority="155">
      <formula>AA$9&gt;=20/24</formula>
    </cfRule>
    <cfRule type="expression" dxfId="5550" priority="156">
      <formula>AND(AA$9&gt;=14/24,AA$9&lt;20/24)</formula>
    </cfRule>
    <cfRule type="expression" dxfId="5549" priority="157">
      <formula>AND(AA$9&gt;=8/24,AA$9&lt;14/24)</formula>
    </cfRule>
    <cfRule type="expression" dxfId="5548" priority="158">
      <formula>AA$9&lt;8/24</formula>
    </cfRule>
  </conditionalFormatting>
  <conditionalFormatting sqref="B120">
    <cfRule type="expression" dxfId="5547" priority="27">
      <formula>B$9&gt;=20/24</formula>
    </cfRule>
    <cfRule type="expression" dxfId="5546" priority="28">
      <formula>AND(B$9&gt;=14/24,B$9&lt;20/24)</formula>
    </cfRule>
    <cfRule type="expression" dxfId="5545" priority="29">
      <formula>AND(B$9&gt;=8/24,B$9&lt;14/24)</formula>
    </cfRule>
    <cfRule type="expression" dxfId="5544" priority="30">
      <formula>B$9&lt;8/24</formula>
    </cfRule>
  </conditionalFormatting>
  <conditionalFormatting sqref="D120:AF120">
    <cfRule type="expression" dxfId="5543" priority="151">
      <formula>D$9&gt;=20/24</formula>
    </cfRule>
    <cfRule type="expression" dxfId="5542" priority="152">
      <formula>AND(D$9&gt;=14/24,D$9&lt;20/24)</formula>
    </cfRule>
    <cfRule type="expression" dxfId="5541" priority="153">
      <formula>AND(D$9&gt;=8/24,D$9&lt;14/24)</formula>
    </cfRule>
    <cfRule type="expression" dxfId="5540" priority="154">
      <formula>D$9&lt;8/24</formula>
    </cfRule>
  </conditionalFormatting>
  <conditionalFormatting sqref="C120">
    <cfRule type="expression" dxfId="5539" priority="147">
      <formula>C$9&gt;=20/24</formula>
    </cfRule>
    <cfRule type="expression" dxfId="5538" priority="148">
      <formula>AND(C$9&gt;=14/24,C$9&lt;20/24)</formula>
    </cfRule>
    <cfRule type="expression" dxfId="5537" priority="149">
      <formula>AND(C$9&gt;=8/24,C$9&lt;14/24)</formula>
    </cfRule>
    <cfRule type="expression" dxfId="5536" priority="150">
      <formula>C$9&lt;8/24</formula>
    </cfRule>
  </conditionalFormatting>
  <conditionalFormatting sqref="B111 B113:B119">
    <cfRule type="expression" dxfId="5535" priority="143">
      <formula>B$9&gt;=20/24</formula>
    </cfRule>
    <cfRule type="expression" dxfId="5534" priority="144">
      <formula>AND(B$9&gt;=14/24,B$9&lt;20/24)</formula>
    </cfRule>
    <cfRule type="expression" dxfId="5533" priority="145">
      <formula>AND(B$9&gt;=8/24,B$9&lt;14/24)</formula>
    </cfRule>
    <cfRule type="expression" dxfId="5532" priority="146">
      <formula>B$9&lt;8/24</formula>
    </cfRule>
  </conditionalFormatting>
  <conditionalFormatting sqref="B101">
    <cfRule type="expression" dxfId="5531" priority="139">
      <formula>B$9&gt;=20/24</formula>
    </cfRule>
    <cfRule type="expression" dxfId="5530" priority="140">
      <formula>AND(B$9&gt;=14/24,B$9&lt;20/24)</formula>
    </cfRule>
    <cfRule type="expression" dxfId="5529" priority="141">
      <formula>AND(B$9&gt;=8/24,B$9&lt;14/24)</formula>
    </cfRule>
    <cfRule type="expression" dxfId="5528" priority="142">
      <formula>B$9&lt;8/24</formula>
    </cfRule>
  </conditionalFormatting>
  <conditionalFormatting sqref="B73 B56:C59 D58:M59">
    <cfRule type="expression" dxfId="5527" priority="135">
      <formula>B$9&gt;=20/24</formula>
    </cfRule>
    <cfRule type="expression" dxfId="5526" priority="136">
      <formula>AND(B$9&gt;=14/24,B$9&lt;20/24)</formula>
    </cfRule>
    <cfRule type="expression" dxfId="5525" priority="137">
      <formula>AND(B$9&gt;=8/24,B$9&lt;14/24)</formula>
    </cfRule>
    <cfRule type="expression" dxfId="5524" priority="138">
      <formula>B$9&lt;8/24</formula>
    </cfRule>
  </conditionalFormatting>
  <conditionalFormatting sqref="B55:C55">
    <cfRule type="expression" dxfId="5523" priority="131">
      <formula>B$9&gt;=20/24</formula>
    </cfRule>
    <cfRule type="expression" dxfId="5522" priority="132">
      <formula>AND(B$9&gt;=14/24,B$9&lt;20/24)</formula>
    </cfRule>
    <cfRule type="expression" dxfId="5521" priority="133">
      <formula>AND(B$9&gt;=8/24,B$9&lt;14/24)</formula>
    </cfRule>
    <cfRule type="expression" dxfId="5520" priority="134">
      <formula>B$9&lt;8/24</formula>
    </cfRule>
  </conditionalFormatting>
  <conditionalFormatting sqref="B55:C59 D58:M59">
    <cfRule type="expression" dxfId="5519" priority="130">
      <formula>B55&gt;$AG55</formula>
    </cfRule>
  </conditionalFormatting>
  <conditionalFormatting sqref="B69:C71 B49:D49 D70:D71">
    <cfRule type="expression" dxfId="5518" priority="125">
      <formula>B49&gt;$AG49</formula>
    </cfRule>
  </conditionalFormatting>
  <conditionalFormatting sqref="B99 B90:C90">
    <cfRule type="expression" dxfId="5517" priority="121">
      <formula>B$9&gt;=20/24</formula>
    </cfRule>
    <cfRule type="expression" dxfId="5516" priority="122">
      <formula>AND(B$9&gt;=14/24,B$9&lt;20/24)</formula>
    </cfRule>
    <cfRule type="expression" dxfId="5515" priority="123">
      <formula>AND(B$9&gt;=8/24,B$9&lt;14/24)</formula>
    </cfRule>
    <cfRule type="expression" dxfId="5514" priority="124">
      <formula>B$9&lt;8/24</formula>
    </cfRule>
  </conditionalFormatting>
  <conditionalFormatting sqref="B60:M60">
    <cfRule type="expression" dxfId="5513" priority="116">
      <formula>B60&gt;$AG60</formula>
    </cfRule>
  </conditionalFormatting>
  <conditionalFormatting sqref="B93:B97">
    <cfRule type="expression" dxfId="5512" priority="112">
      <formula>B$9&gt;=20/24</formula>
    </cfRule>
    <cfRule type="expression" dxfId="5511" priority="113">
      <formula>AND(B$9&gt;=14/24,B$9&lt;20/24)</formula>
    </cfRule>
    <cfRule type="expression" dxfId="5510" priority="114">
      <formula>AND(B$9&gt;=8/24,B$9&lt;14/24)</formula>
    </cfRule>
    <cfRule type="expression" dxfId="5509" priority="115">
      <formula>B$9&lt;8/24</formula>
    </cfRule>
  </conditionalFormatting>
  <conditionalFormatting sqref="B51:F53 G52:L53">
    <cfRule type="expression" dxfId="5508" priority="108">
      <formula>B$9&gt;=20/24</formula>
    </cfRule>
    <cfRule type="expression" dxfId="5507" priority="109">
      <formula>AND(B$9&gt;=14/24,B$9&lt;20/24)</formula>
    </cfRule>
    <cfRule type="expression" dxfId="5506" priority="110">
      <formula>AND(B$9&gt;=8/24,B$9&lt;14/24)</formula>
    </cfRule>
    <cfRule type="expression" dxfId="5505" priority="111">
      <formula>B$9&lt;8/24</formula>
    </cfRule>
  </conditionalFormatting>
  <conditionalFormatting sqref="B51:F53 G52:L53">
    <cfRule type="expression" dxfId="5504" priority="107">
      <formula>B51&gt;$AG51</formula>
    </cfRule>
  </conditionalFormatting>
  <conditionalFormatting sqref="B109">
    <cfRule type="expression" dxfId="5503" priority="103">
      <formula>B$9&gt;=20/24</formula>
    </cfRule>
    <cfRule type="expression" dxfId="5502" priority="104">
      <formula>AND(B$9&gt;=14/24,B$9&lt;20/24)</formula>
    </cfRule>
    <cfRule type="expression" dxfId="5501" priority="105">
      <formula>AND(B$9&gt;=8/24,B$9&lt;14/24)</formula>
    </cfRule>
    <cfRule type="expression" dxfId="5500" priority="106">
      <formula>B$9&lt;8/24</formula>
    </cfRule>
  </conditionalFormatting>
  <conditionalFormatting sqref="B112">
    <cfRule type="expression" dxfId="5499" priority="99">
      <formula>B$9&gt;=20/24</formula>
    </cfRule>
    <cfRule type="expression" dxfId="5498" priority="100">
      <formula>AND(B$9&gt;=14/24,B$9&lt;20/24)</formula>
    </cfRule>
    <cfRule type="expression" dxfId="5497" priority="101">
      <formula>AND(B$9&gt;=8/24,B$9&lt;14/24)</formula>
    </cfRule>
    <cfRule type="expression" dxfId="5496" priority="102">
      <formula>B$9&lt;8/24</formula>
    </cfRule>
  </conditionalFormatting>
  <conditionalFormatting sqref="B19:Z34 B36:Z45 AA31:AF31">
    <cfRule type="expression" dxfId="5495" priority="95">
      <formula>B$9&gt;=20/24</formula>
    </cfRule>
    <cfRule type="expression" dxfId="5494" priority="96">
      <formula>AND(B$9&gt;=14/24,B$9&lt;20/24)</formula>
    </cfRule>
    <cfRule type="expression" dxfId="5493" priority="97">
      <formula>AND(B$9&gt;=8/24,B$9&lt;14/24)</formula>
    </cfRule>
    <cfRule type="expression" dxfId="5492" priority="98">
      <formula>B$9&lt;8/24</formula>
    </cfRule>
  </conditionalFormatting>
  <conditionalFormatting sqref="B19:Z34 B36:Z45 AA31:AF31">
    <cfRule type="expression" dxfId="5491" priority="94">
      <formula>B19&gt;$AG19</formula>
    </cfRule>
  </conditionalFormatting>
  <conditionalFormatting sqref="B85:B87 B77:B83 C79:M83">
    <cfRule type="expression" dxfId="5490" priority="90">
      <formula>B$9&gt;=20/24</formula>
    </cfRule>
    <cfRule type="expression" dxfId="5489" priority="91">
      <formula>AND(B$9&gt;=14/24,B$9&lt;20/24)</formula>
    </cfRule>
    <cfRule type="expression" dxfId="5488" priority="92">
      <formula>AND(B$9&gt;=8/24,B$9&lt;14/24)</formula>
    </cfRule>
    <cfRule type="expression" dxfId="5487" priority="93">
      <formula>B$9&lt;8/24</formula>
    </cfRule>
  </conditionalFormatting>
  <conditionalFormatting sqref="B89 B91 B100 B72">
    <cfRule type="expression" dxfId="5486" priority="86">
      <formula>B$9&gt;=20/24</formula>
    </cfRule>
    <cfRule type="expression" dxfId="5485" priority="87">
      <formula>AND(B$9&gt;=14/24,B$9&lt;20/24)</formula>
    </cfRule>
    <cfRule type="expression" dxfId="5484" priority="88">
      <formula>AND(B$9&gt;=8/24,B$9&lt;14/24)</formula>
    </cfRule>
    <cfRule type="expression" dxfId="5483" priority="89">
      <formula>B$9&lt;8/24</formula>
    </cfRule>
  </conditionalFormatting>
  <conditionalFormatting sqref="B72 B67:C68">
    <cfRule type="expression" dxfId="5482" priority="85">
      <formula>B67&gt;$AG67</formula>
    </cfRule>
  </conditionalFormatting>
  <conditionalFormatting sqref="B84">
    <cfRule type="expression" dxfId="5481" priority="81">
      <formula>B$9&gt;=20/24</formula>
    </cfRule>
    <cfRule type="expression" dxfId="5480" priority="82">
      <formula>AND(B$9&gt;=14/24,B$9&lt;20/24)</formula>
    </cfRule>
    <cfRule type="expression" dxfId="5479" priority="83">
      <formula>AND(B$9&gt;=8/24,B$9&lt;14/24)</formula>
    </cfRule>
    <cfRule type="expression" dxfId="5478" priority="84">
      <formula>B$9&lt;8/24</formula>
    </cfRule>
  </conditionalFormatting>
  <conditionalFormatting sqref="B54:C54">
    <cfRule type="expression" dxfId="5477" priority="77">
      <formula>B$9&gt;=20/24</formula>
    </cfRule>
    <cfRule type="expression" dxfId="5476" priority="78">
      <formula>AND(B$9&gt;=14/24,B$9&lt;20/24)</formula>
    </cfRule>
    <cfRule type="expression" dxfId="5475" priority="79">
      <formula>AND(B$9&gt;=8/24,B$9&lt;14/24)</formula>
    </cfRule>
    <cfRule type="expression" dxfId="5474" priority="80">
      <formula>B$9&lt;8/24</formula>
    </cfRule>
  </conditionalFormatting>
  <conditionalFormatting sqref="B54:C54">
    <cfRule type="expression" dxfId="5473" priority="76">
      <formula>B54&gt;$AG54</formula>
    </cfRule>
  </conditionalFormatting>
  <conditionalFormatting sqref="B61:O66">
    <cfRule type="expression" dxfId="5472" priority="68">
      <formula>B$9&gt;=20/24</formula>
    </cfRule>
    <cfRule type="expression" dxfId="5471" priority="69">
      <formula>AND(B$9&gt;=14/24,B$9&lt;20/24)</formula>
    </cfRule>
    <cfRule type="expression" dxfId="5470" priority="70">
      <formula>AND(B$9&gt;=8/24,B$9&lt;14/24)</formula>
    </cfRule>
    <cfRule type="expression" dxfId="5469" priority="71">
      <formula>B$9&lt;8/24</formula>
    </cfRule>
  </conditionalFormatting>
  <conditionalFormatting sqref="B61:O66">
    <cfRule type="expression" dxfId="5468" priority="67">
      <formula>B61&gt;$AG61</formula>
    </cfRule>
  </conditionalFormatting>
  <conditionalFormatting sqref="B47:Z47">
    <cfRule type="expression" dxfId="5467" priority="66">
      <formula>B47&gt;$AG47</formula>
    </cfRule>
  </conditionalFormatting>
  <conditionalFormatting sqref="B13:Z13">
    <cfRule type="expression" dxfId="5466" priority="62">
      <formula>B$9&gt;=20/24</formula>
    </cfRule>
    <cfRule type="expression" dxfId="5465" priority="63">
      <formula>AND(B$9&gt;=14/24,B$9&lt;20/24)</formula>
    </cfRule>
    <cfRule type="expression" dxfId="5464" priority="64">
      <formula>AND(B$9&gt;=8/24,B$9&lt;14/24)</formula>
    </cfRule>
    <cfRule type="expression" dxfId="5463" priority="65">
      <formula>B$9&lt;8/24</formula>
    </cfRule>
  </conditionalFormatting>
  <conditionalFormatting sqref="B13:Z13">
    <cfRule type="expression" dxfId="5462" priority="61">
      <formula>B13&gt;$AG13</formula>
    </cfRule>
  </conditionalFormatting>
  <conditionalFormatting sqref="B47:Z47">
    <cfRule type="expression" dxfId="5461" priority="57">
      <formula>B$9&gt;=20/24</formula>
    </cfRule>
    <cfRule type="expression" dxfId="5460" priority="58">
      <formula>AND(B$9&gt;=14/24,B$9&lt;20/24)</formula>
    </cfRule>
    <cfRule type="expression" dxfId="5459" priority="59">
      <formula>AND(B$9&gt;=8/24,B$9&lt;14/24)</formula>
    </cfRule>
    <cfRule type="expression" dxfId="5458" priority="60">
      <formula>B$9&lt;8/24</formula>
    </cfRule>
  </conditionalFormatting>
  <conditionalFormatting sqref="B48:Z48">
    <cfRule type="expression" dxfId="5457" priority="53">
      <formula>B$9&gt;=20/24</formula>
    </cfRule>
    <cfRule type="expression" dxfId="5456" priority="54">
      <formula>AND(B$9&gt;=14/24,B$9&lt;20/24)</formula>
    </cfRule>
    <cfRule type="expression" dxfId="5455" priority="55">
      <formula>AND(B$9&gt;=8/24,B$9&lt;14/24)</formula>
    </cfRule>
    <cfRule type="expression" dxfId="5454" priority="56">
      <formula>B$9&lt;8/24</formula>
    </cfRule>
  </conditionalFormatting>
  <conditionalFormatting sqref="B48:Z48">
    <cfRule type="expression" dxfId="5453" priority="52">
      <formula>B48&gt;$AG48</formula>
    </cfRule>
  </conditionalFormatting>
  <conditionalFormatting sqref="B50:D50">
    <cfRule type="expression" dxfId="5452" priority="51">
      <formula>B50&gt;$AG50</formula>
    </cfRule>
  </conditionalFormatting>
  <conditionalFormatting sqref="B11:Z11">
    <cfRule type="expression" dxfId="5451" priority="47">
      <formula>B$9&gt;=20/24</formula>
    </cfRule>
    <cfRule type="expression" dxfId="5450" priority="48">
      <formula>AND(B$9&gt;=14/24,B$9&lt;20/24)</formula>
    </cfRule>
    <cfRule type="expression" dxfId="5449" priority="49">
      <formula>AND(B$9&gt;=8/24,B$9&lt;14/24)</formula>
    </cfRule>
    <cfRule type="expression" dxfId="5448" priority="50">
      <formula>B$9&lt;8/24</formula>
    </cfRule>
  </conditionalFormatting>
  <conditionalFormatting sqref="B11:Z11">
    <cfRule type="expression" dxfId="5447" priority="46">
      <formula>B11&gt;$AG11</formula>
    </cfRule>
  </conditionalFormatting>
  <conditionalFormatting sqref="B18:Z18">
    <cfRule type="expression" dxfId="5446" priority="42">
      <formula>B$9&gt;=20/24</formula>
    </cfRule>
    <cfRule type="expression" dxfId="5445" priority="43">
      <formula>AND(B$9&gt;=14/24,B$9&lt;20/24)</formula>
    </cfRule>
    <cfRule type="expression" dxfId="5444" priority="44">
      <formula>AND(B$9&gt;=8/24,B$9&lt;14/24)</formula>
    </cfRule>
    <cfRule type="expression" dxfId="5443" priority="45">
      <formula>B$9&lt;8/24</formula>
    </cfRule>
  </conditionalFormatting>
  <conditionalFormatting sqref="B18:Z18">
    <cfRule type="expression" dxfId="5442" priority="41">
      <formula>B18&gt;$AG18</formula>
    </cfRule>
  </conditionalFormatting>
  <conditionalFormatting sqref="B35:Z35">
    <cfRule type="expression" dxfId="5441" priority="37">
      <formula>B$9&gt;=20/24</formula>
    </cfRule>
    <cfRule type="expression" dxfId="5440" priority="38">
      <formula>AND(B$9&gt;=14/24,B$9&lt;20/24)</formula>
    </cfRule>
    <cfRule type="expression" dxfId="5439" priority="39">
      <formula>AND(B$9&gt;=8/24,B$9&lt;14/24)</formula>
    </cfRule>
    <cfRule type="expression" dxfId="5438" priority="40">
      <formula>B$9&lt;8/24</formula>
    </cfRule>
  </conditionalFormatting>
  <conditionalFormatting sqref="B35:Z35">
    <cfRule type="expression" dxfId="5437" priority="36">
      <formula>B35&gt;$AG35</formula>
    </cfRule>
  </conditionalFormatting>
  <conditionalFormatting sqref="B46:Z46">
    <cfRule type="expression" dxfId="5436" priority="35">
      <formula>B46&gt;$AG46</formula>
    </cfRule>
  </conditionalFormatting>
  <conditionalFormatting sqref="B46:Z46">
    <cfRule type="expression" dxfId="5435" priority="31">
      <formula>B$9&gt;=20/24</formula>
    </cfRule>
    <cfRule type="expression" dxfId="5434" priority="32">
      <formula>AND(B$9&gt;=14/24,B$9&lt;20/24)</formula>
    </cfRule>
    <cfRule type="expression" dxfId="5433" priority="33">
      <formula>AND(B$9&gt;=8/24,B$9&lt;14/24)</formula>
    </cfRule>
    <cfRule type="expression" dxfId="5432" priority="3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6" id="{CC0B14A4-FF6C-43FB-A5A9-AF8D02B9D33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7" id="{11FE0081-4F8F-497E-B59D-228FE19B412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8" id="{B2A0E49B-6AC2-4912-9EF7-6AB41E8416F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9" id="{898622BA-C087-4C39-A4FE-37AF8744DB2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2" id="{7345427D-3CB1-4420-8072-AF4B3FACA6E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55A9989F-E88C-445C-81FC-48CF279133D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DF410C51-0B0F-496D-828D-6FF1D389AB6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50C4CCB6-659E-4160-8341-4F9688B45DD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0"/>
  <dimension ref="A1:CJ281"/>
  <sheetViews>
    <sheetView topLeftCell="C1" workbookViewId="0">
      <pane ySplit="10" topLeftCell="A66" activePane="bottomLeft" state="frozen"/>
      <selection activeCell="Z85" sqref="Z85"/>
      <selection pane="bottomLef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2080/02/22</v>
      </c>
      <c r="C4" s="191"/>
      <c r="D4" s="191"/>
      <c r="E4" s="192" t="str">
        <f ca="1">"2079/"&amp;"12/"&amp;INT(MID(CELL("filename",G6),FIND("]",CELL("filename",G6))+1,200))</f>
        <v>2079/12/22</v>
      </c>
      <c r="F4" s="192"/>
      <c r="G4" s="192"/>
      <c r="H4" s="192" t="str">
        <f ca="1">TEXT(E4,"dddd")</f>
        <v>Friday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157.9</v>
      </c>
      <c r="C5" s="30">
        <f t="shared" si="0"/>
        <v>174.8</v>
      </c>
      <c r="D5" s="30">
        <f t="shared" si="0"/>
        <v>210.60000000000002</v>
      </c>
      <c r="E5" s="30">
        <f t="shared" si="0"/>
        <v>320</v>
      </c>
      <c r="F5" s="30">
        <f t="shared" si="0"/>
        <v>327</v>
      </c>
      <c r="G5" s="30">
        <f t="shared" si="0"/>
        <v>321.89999999999998</v>
      </c>
      <c r="H5" s="30">
        <f t="shared" si="0"/>
        <v>331</v>
      </c>
      <c r="I5" s="30">
        <f t="shared" si="0"/>
        <v>373</v>
      </c>
      <c r="J5" s="30">
        <f t="shared" si="0"/>
        <v>369.2</v>
      </c>
      <c r="K5" s="30">
        <f t="shared" si="0"/>
        <v>414.1</v>
      </c>
      <c r="L5" s="30">
        <f t="shared" si="0"/>
        <v>469.2</v>
      </c>
      <c r="M5" s="30">
        <f t="shared" si="0"/>
        <v>423.4</v>
      </c>
      <c r="N5" s="30">
        <f t="shared" si="0"/>
        <v>444.8</v>
      </c>
      <c r="O5" s="30">
        <f t="shared" si="0"/>
        <v>437.40000000000003</v>
      </c>
      <c r="P5" s="30">
        <f t="shared" si="0"/>
        <v>441.3</v>
      </c>
      <c r="Q5" s="30">
        <f t="shared" si="0"/>
        <v>532.29999999999995</v>
      </c>
      <c r="R5" s="30">
        <f t="shared" si="0"/>
        <v>545.9</v>
      </c>
      <c r="S5" s="30">
        <f t="shared" si="0"/>
        <v>537.5</v>
      </c>
      <c r="T5" s="30">
        <f t="shared" si="0"/>
        <v>546.69999999999993</v>
      </c>
      <c r="U5" s="30">
        <f t="shared" si="0"/>
        <v>332.9</v>
      </c>
      <c r="V5" s="30">
        <f t="shared" si="0"/>
        <v>287.24</v>
      </c>
      <c r="W5" s="30">
        <f t="shared" si="0"/>
        <v>277.7</v>
      </c>
      <c r="X5" s="30">
        <f t="shared" si="0"/>
        <v>333</v>
      </c>
      <c r="Y5" s="30">
        <f t="shared" si="0"/>
        <v>295.60000000000002</v>
      </c>
      <c r="Z5" s="30">
        <f t="shared" si="0"/>
        <v>295.60000000000002</v>
      </c>
      <c r="AA5" s="30">
        <f t="shared" si="0"/>
        <v>148</v>
      </c>
      <c r="AB5" s="30">
        <f t="shared" si="0"/>
        <v>201</v>
      </c>
      <c r="AC5" s="30">
        <f t="shared" si="0"/>
        <v>75</v>
      </c>
      <c r="AD5" s="30">
        <f t="shared" si="0"/>
        <v>96.3</v>
      </c>
      <c r="AE5" s="30">
        <f t="shared" si="0"/>
        <v>88.1</v>
      </c>
      <c r="AF5" s="30">
        <f>B84</f>
        <v>121.7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1798MW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Load=1594</v>
      </c>
      <c r="B7" s="35">
        <f t="shared" ref="B7:AF7" si="1">B91</f>
        <v>1638.64</v>
      </c>
      <c r="C7" s="35">
        <f t="shared" si="1"/>
        <v>1655.3400000000004</v>
      </c>
      <c r="D7" s="35">
        <f t="shared" si="1"/>
        <v>1661.0400000000002</v>
      </c>
      <c r="E7" s="35">
        <f t="shared" si="1"/>
        <v>1688.1400000000003</v>
      </c>
      <c r="F7" s="35">
        <f t="shared" si="1"/>
        <v>1604.5400000000002</v>
      </c>
      <c r="G7" s="35">
        <f t="shared" si="1"/>
        <v>1601.94</v>
      </c>
      <c r="H7" s="35">
        <f t="shared" si="1"/>
        <v>1593.7400000000002</v>
      </c>
      <c r="I7" s="35">
        <f t="shared" si="1"/>
        <v>1623.54</v>
      </c>
      <c r="J7" s="35">
        <f t="shared" si="1"/>
        <v>1680.94</v>
      </c>
      <c r="K7" s="35">
        <f t="shared" si="1"/>
        <v>1698.5400000000002</v>
      </c>
      <c r="L7" s="35">
        <f t="shared" si="1"/>
        <v>1723.8400000000001</v>
      </c>
      <c r="M7" s="35">
        <f t="shared" si="1"/>
        <v>1792.3400000000001</v>
      </c>
      <c r="N7" s="35">
        <f>N91</f>
        <v>1797.54</v>
      </c>
      <c r="O7" s="35">
        <f t="shared" si="1"/>
        <v>1846.24</v>
      </c>
      <c r="P7" s="35">
        <f t="shared" si="1"/>
        <v>1925.2400000000002</v>
      </c>
      <c r="Q7" s="35">
        <f t="shared" si="1"/>
        <v>1947.8400000000001</v>
      </c>
      <c r="R7" s="35">
        <f t="shared" si="1"/>
        <v>1935.14</v>
      </c>
      <c r="S7" s="35">
        <f t="shared" si="1"/>
        <v>1909.2400000000002</v>
      </c>
      <c r="T7" s="35">
        <f t="shared" si="1"/>
        <v>1915.0400000000002</v>
      </c>
      <c r="U7" s="35">
        <f t="shared" si="1"/>
        <v>1883.94</v>
      </c>
      <c r="V7" s="35">
        <f t="shared" si="1"/>
        <v>1772.8400000000001</v>
      </c>
      <c r="W7" s="35">
        <f t="shared" si="1"/>
        <v>1762.5800000000002</v>
      </c>
      <c r="X7" s="35">
        <f t="shared" si="1"/>
        <v>1782.7400000000002</v>
      </c>
      <c r="Y7" s="35">
        <f t="shared" si="1"/>
        <v>1667.44</v>
      </c>
      <c r="Z7" s="35">
        <f t="shared" si="1"/>
        <v>1694.8400000000001</v>
      </c>
      <c r="AA7" s="35">
        <f t="shared" si="1"/>
        <v>1694.8400000000001</v>
      </c>
      <c r="AB7" s="35">
        <f t="shared" si="1"/>
        <v>1925.6399999999999</v>
      </c>
      <c r="AC7" s="35">
        <f t="shared" si="1"/>
        <v>1992.94</v>
      </c>
      <c r="AD7" s="35">
        <f t="shared" si="1"/>
        <v>1914.44</v>
      </c>
      <c r="AE7" s="35">
        <f t="shared" si="1"/>
        <v>1844.5399999999997</v>
      </c>
      <c r="AF7" s="35">
        <f t="shared" si="1"/>
        <v>1774.9399999999998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28</v>
      </c>
      <c r="C11" s="45">
        <v>28</v>
      </c>
      <c r="D11" s="45">
        <v>28</v>
      </c>
      <c r="E11" s="45">
        <v>28</v>
      </c>
      <c r="F11" s="45">
        <v>28</v>
      </c>
      <c r="G11" s="45">
        <v>28</v>
      </c>
      <c r="H11" s="45">
        <v>28</v>
      </c>
      <c r="I11" s="45">
        <v>28</v>
      </c>
      <c r="J11" s="45">
        <v>28</v>
      </c>
      <c r="K11" s="45">
        <v>28</v>
      </c>
      <c r="L11" s="45">
        <v>28</v>
      </c>
      <c r="M11" s="45">
        <v>28</v>
      </c>
      <c r="N11" s="45">
        <v>28</v>
      </c>
      <c r="O11" s="45">
        <v>28</v>
      </c>
      <c r="P11" s="45">
        <v>28</v>
      </c>
      <c r="Q11" s="45">
        <v>28</v>
      </c>
      <c r="R11" s="45">
        <v>28</v>
      </c>
      <c r="S11" s="45">
        <v>28</v>
      </c>
      <c r="T11" s="45">
        <v>28</v>
      </c>
      <c r="U11" s="45">
        <v>28</v>
      </c>
      <c r="V11" s="45">
        <v>30</v>
      </c>
      <c r="W11" s="45">
        <v>30</v>
      </c>
      <c r="X11" s="45">
        <v>30</v>
      </c>
      <c r="Y11" s="45">
        <v>30</v>
      </c>
      <c r="Z11" s="45">
        <v>30</v>
      </c>
      <c r="AA11" s="45">
        <v>30</v>
      </c>
      <c r="AB11" s="45">
        <v>30</v>
      </c>
      <c r="AC11" s="45">
        <v>30</v>
      </c>
      <c r="AD11" s="45">
        <v>30</v>
      </c>
      <c r="AE11" s="45">
        <v>30</v>
      </c>
      <c r="AF11" s="45">
        <v>30</v>
      </c>
      <c r="AG11" s="46">
        <v>86</v>
      </c>
      <c r="AH11" s="47">
        <f t="shared" ref="AH11:AH76" si="2">MAX(B11:AF11)</f>
        <v>30</v>
      </c>
      <c r="AI11" s="48">
        <f t="shared" ref="AI11:AI76" si="3">MIN(B11:AF11)</f>
        <v>28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32</v>
      </c>
      <c r="C12" s="45">
        <v>32</v>
      </c>
      <c r="D12" s="45">
        <v>32</v>
      </c>
      <c r="E12" s="45">
        <v>32</v>
      </c>
      <c r="F12" s="45">
        <v>32</v>
      </c>
      <c r="G12" s="45">
        <v>30</v>
      </c>
      <c r="H12" s="45">
        <v>30</v>
      </c>
      <c r="I12" s="45">
        <v>30</v>
      </c>
      <c r="J12" s="45">
        <v>30</v>
      </c>
      <c r="K12" s="45">
        <v>30</v>
      </c>
      <c r="L12" s="45">
        <v>30</v>
      </c>
      <c r="M12" s="45">
        <v>30</v>
      </c>
      <c r="N12" s="45">
        <v>30</v>
      </c>
      <c r="O12" s="45">
        <v>30</v>
      </c>
      <c r="P12" s="45">
        <v>30</v>
      </c>
      <c r="Q12" s="45">
        <v>30</v>
      </c>
      <c r="R12" s="45">
        <v>30</v>
      </c>
      <c r="S12" s="45">
        <v>30</v>
      </c>
      <c r="T12" s="45">
        <v>30</v>
      </c>
      <c r="U12" s="45">
        <v>30</v>
      </c>
      <c r="V12" s="45">
        <v>30</v>
      </c>
      <c r="W12" s="45">
        <v>30</v>
      </c>
      <c r="X12" s="45">
        <v>33</v>
      </c>
      <c r="Y12" s="45">
        <v>33</v>
      </c>
      <c r="Z12" s="45">
        <v>31</v>
      </c>
      <c r="AA12" s="45">
        <v>31</v>
      </c>
      <c r="AB12" s="45">
        <v>31</v>
      </c>
      <c r="AC12" s="45">
        <v>31</v>
      </c>
      <c r="AD12" s="45">
        <v>31</v>
      </c>
      <c r="AE12" s="45">
        <v>31</v>
      </c>
      <c r="AF12" s="45">
        <v>31</v>
      </c>
      <c r="AG12" s="50">
        <v>54</v>
      </c>
      <c r="AH12" s="47">
        <f t="shared" si="2"/>
        <v>33</v>
      </c>
      <c r="AI12" s="48">
        <f t="shared" si="3"/>
        <v>30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19.2</v>
      </c>
      <c r="C13" s="45">
        <v>22.8</v>
      </c>
      <c r="D13" s="45">
        <v>24.3</v>
      </c>
      <c r="E13" s="45">
        <v>24.3</v>
      </c>
      <c r="F13" s="45">
        <v>24.3</v>
      </c>
      <c r="G13" s="45">
        <v>24.3</v>
      </c>
      <c r="H13" s="45">
        <v>24.3</v>
      </c>
      <c r="I13" s="45">
        <v>23.2</v>
      </c>
      <c r="J13" s="45">
        <v>23.2</v>
      </c>
      <c r="K13" s="45">
        <v>23.2</v>
      </c>
      <c r="L13" s="45">
        <v>23.2</v>
      </c>
      <c r="M13" s="45">
        <v>23.2</v>
      </c>
      <c r="N13" s="45">
        <v>23.2</v>
      </c>
      <c r="O13" s="45">
        <v>23.2</v>
      </c>
      <c r="P13" s="45">
        <v>23.2</v>
      </c>
      <c r="Q13" s="45">
        <v>23.2</v>
      </c>
      <c r="R13" s="45">
        <v>23.2</v>
      </c>
      <c r="S13" s="45">
        <v>20</v>
      </c>
      <c r="T13" s="45">
        <v>20</v>
      </c>
      <c r="U13" s="45">
        <v>20</v>
      </c>
      <c r="V13" s="45">
        <v>20</v>
      </c>
      <c r="W13" s="45">
        <v>20</v>
      </c>
      <c r="X13" s="45">
        <v>20</v>
      </c>
      <c r="Y13" s="45">
        <v>17.899999999999999</v>
      </c>
      <c r="Z13" s="45">
        <v>21</v>
      </c>
      <c r="AA13" s="45">
        <v>21</v>
      </c>
      <c r="AB13" s="45">
        <v>21</v>
      </c>
      <c r="AC13" s="45">
        <v>21</v>
      </c>
      <c r="AD13" s="45">
        <v>21</v>
      </c>
      <c r="AE13" s="45">
        <v>21</v>
      </c>
      <c r="AF13" s="45">
        <v>21</v>
      </c>
      <c r="AG13" s="46">
        <v>52.4</v>
      </c>
      <c r="AH13" s="47">
        <f t="shared" si="2"/>
        <v>24.3</v>
      </c>
      <c r="AI13" s="48">
        <f t="shared" si="3"/>
        <v>17.899999999999999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50.6</v>
      </c>
      <c r="C14" s="45">
        <v>50.7</v>
      </c>
      <c r="D14" s="45">
        <v>50.5</v>
      </c>
      <c r="E14" s="45">
        <v>50.5</v>
      </c>
      <c r="F14" s="45">
        <v>50.5</v>
      </c>
      <c r="G14" s="45">
        <v>50.5</v>
      </c>
      <c r="H14" s="45">
        <v>50.5</v>
      </c>
      <c r="I14" s="45">
        <v>50.5</v>
      </c>
      <c r="J14" s="45">
        <v>50.5</v>
      </c>
      <c r="K14" s="45">
        <v>50.5</v>
      </c>
      <c r="L14" s="45">
        <v>50.5</v>
      </c>
      <c r="M14" s="45">
        <v>50.5</v>
      </c>
      <c r="N14" s="45">
        <v>50.5</v>
      </c>
      <c r="O14" s="45">
        <v>50.5</v>
      </c>
      <c r="P14" s="45">
        <v>50.5</v>
      </c>
      <c r="Q14" s="45">
        <v>50.5</v>
      </c>
      <c r="R14" s="45">
        <v>50.5</v>
      </c>
      <c r="S14" s="45">
        <v>50.4</v>
      </c>
      <c r="T14" s="45">
        <v>50.4</v>
      </c>
      <c r="U14" s="45">
        <v>50.4</v>
      </c>
      <c r="V14" s="45">
        <v>50.4</v>
      </c>
      <c r="W14" s="45">
        <v>50.4</v>
      </c>
      <c r="X14" s="45">
        <v>50.4</v>
      </c>
      <c r="Y14" s="45">
        <v>50.4</v>
      </c>
      <c r="Z14" s="45">
        <v>50.6</v>
      </c>
      <c r="AA14" s="45">
        <v>50.6</v>
      </c>
      <c r="AB14" s="45">
        <v>50.6</v>
      </c>
      <c r="AC14" s="45">
        <v>50.6</v>
      </c>
      <c r="AD14" s="45">
        <v>50.6</v>
      </c>
      <c r="AE14" s="45">
        <v>50.6</v>
      </c>
      <c r="AF14" s="45">
        <v>50.6</v>
      </c>
      <c r="AG14" s="50">
        <v>50</v>
      </c>
      <c r="AH14" s="47">
        <f t="shared" si="2"/>
        <v>50.7</v>
      </c>
      <c r="AI14" s="48">
        <f t="shared" si="3"/>
        <v>50.4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33.5</v>
      </c>
      <c r="C15" s="45">
        <v>35.700000000000003</v>
      </c>
      <c r="D15" s="45">
        <v>32</v>
      </c>
      <c r="E15" s="45">
        <v>32</v>
      </c>
      <c r="F15" s="45">
        <v>32</v>
      </c>
      <c r="G15" s="45">
        <v>32</v>
      </c>
      <c r="H15" s="45">
        <v>31</v>
      </c>
      <c r="I15" s="45">
        <v>30.7</v>
      </c>
      <c r="J15" s="45">
        <v>30.7</v>
      </c>
      <c r="K15" s="45">
        <v>30.7</v>
      </c>
      <c r="L15" s="45">
        <v>30.7</v>
      </c>
      <c r="M15" s="45">
        <v>30.7</v>
      </c>
      <c r="N15" s="45">
        <v>30.7</v>
      </c>
      <c r="O15" s="45">
        <v>30.7</v>
      </c>
      <c r="P15" s="45">
        <v>30.7</v>
      </c>
      <c r="Q15" s="45">
        <v>30.7</v>
      </c>
      <c r="R15" s="45">
        <v>30.7</v>
      </c>
      <c r="S15" s="45">
        <v>26.8</v>
      </c>
      <c r="T15" s="45">
        <v>26.8</v>
      </c>
      <c r="U15" s="45">
        <v>26.8</v>
      </c>
      <c r="V15" s="45">
        <v>26.8</v>
      </c>
      <c r="W15" s="45">
        <v>26.8</v>
      </c>
      <c r="X15" s="45">
        <v>26.8</v>
      </c>
      <c r="Y15" s="45">
        <v>34.9</v>
      </c>
      <c r="Z15" s="45">
        <v>36.1</v>
      </c>
      <c r="AA15" s="45">
        <v>36.1</v>
      </c>
      <c r="AB15" s="45">
        <v>36.1</v>
      </c>
      <c r="AC15" s="45">
        <v>36.1</v>
      </c>
      <c r="AD15" s="45">
        <v>36.1</v>
      </c>
      <c r="AE15" s="45">
        <v>36.1</v>
      </c>
      <c r="AF15" s="45">
        <v>36.1</v>
      </c>
      <c r="AG15" s="50">
        <v>45</v>
      </c>
      <c r="AH15" s="47">
        <f t="shared" si="2"/>
        <v>36.1</v>
      </c>
      <c r="AI15" s="48">
        <f t="shared" si="3"/>
        <v>26.8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30.5</v>
      </c>
      <c r="C16" s="45">
        <v>30.5</v>
      </c>
      <c r="D16" s="45">
        <v>30.5</v>
      </c>
      <c r="E16" s="45">
        <v>30.5</v>
      </c>
      <c r="F16" s="45">
        <v>30.5</v>
      </c>
      <c r="G16" s="45">
        <v>30.5</v>
      </c>
      <c r="H16" s="45">
        <v>30.5</v>
      </c>
      <c r="I16" s="45">
        <v>30.5</v>
      </c>
      <c r="J16" s="45">
        <v>30.5</v>
      </c>
      <c r="K16" s="45">
        <v>30.5</v>
      </c>
      <c r="L16" s="45">
        <v>30.5</v>
      </c>
      <c r="M16" s="45">
        <v>30.5</v>
      </c>
      <c r="N16" s="45">
        <v>30.5</v>
      </c>
      <c r="O16" s="45">
        <v>30.5</v>
      </c>
      <c r="P16" s="45">
        <v>30.5</v>
      </c>
      <c r="Q16" s="45">
        <v>30.5</v>
      </c>
      <c r="R16" s="45">
        <v>30.5</v>
      </c>
      <c r="S16" s="45">
        <v>30.5</v>
      </c>
      <c r="T16" s="45">
        <v>40</v>
      </c>
      <c r="U16" s="45">
        <v>40</v>
      </c>
      <c r="V16" s="45">
        <v>40</v>
      </c>
      <c r="W16" s="45">
        <v>40</v>
      </c>
      <c r="X16" s="45">
        <v>40</v>
      </c>
      <c r="Y16" s="45">
        <v>40</v>
      </c>
      <c r="Z16" s="45">
        <v>40</v>
      </c>
      <c r="AA16" s="45">
        <v>40</v>
      </c>
      <c r="AB16" s="45">
        <v>34</v>
      </c>
      <c r="AC16" s="45">
        <v>34</v>
      </c>
      <c r="AD16" s="45">
        <v>34</v>
      </c>
      <c r="AE16" s="45">
        <v>34</v>
      </c>
      <c r="AF16" s="45">
        <v>34</v>
      </c>
      <c r="AG16" s="50">
        <v>44</v>
      </c>
      <c r="AH16" s="47">
        <f>MAX(B16:AG16)</f>
        <v>44</v>
      </c>
      <c r="AI16" s="48">
        <f>MIN(B16:AG16)</f>
        <v>30.5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31</v>
      </c>
      <c r="C17" s="45">
        <v>31</v>
      </c>
      <c r="D17" s="45">
        <v>31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28</v>
      </c>
      <c r="L17" s="45">
        <v>28</v>
      </c>
      <c r="M17" s="45">
        <v>28</v>
      </c>
      <c r="N17" s="45">
        <v>28</v>
      </c>
      <c r="O17" s="45">
        <v>28</v>
      </c>
      <c r="P17" s="45">
        <v>28</v>
      </c>
      <c r="Q17" s="45">
        <v>28</v>
      </c>
      <c r="R17" s="45">
        <v>28</v>
      </c>
      <c r="S17" s="45">
        <v>21.5</v>
      </c>
      <c r="T17" s="45">
        <v>22.5</v>
      </c>
      <c r="U17" s="45">
        <v>22.5</v>
      </c>
      <c r="V17" s="45">
        <v>22.5</v>
      </c>
      <c r="W17" s="45">
        <v>22.5</v>
      </c>
      <c r="X17" s="45">
        <v>22.5</v>
      </c>
      <c r="Y17" s="45">
        <v>27</v>
      </c>
      <c r="Z17" s="45">
        <v>27</v>
      </c>
      <c r="AA17" s="45">
        <v>27</v>
      </c>
      <c r="AB17" s="45">
        <v>27</v>
      </c>
      <c r="AC17" s="45">
        <v>27</v>
      </c>
      <c r="AD17" s="45">
        <v>27</v>
      </c>
      <c r="AE17" s="45">
        <v>27</v>
      </c>
      <c r="AF17" s="45">
        <v>27</v>
      </c>
      <c r="AG17" s="50">
        <v>42</v>
      </c>
      <c r="AH17" s="47">
        <f t="shared" si="2"/>
        <v>31</v>
      </c>
      <c r="AI17" s="48">
        <f t="shared" si="3"/>
        <v>21.5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22</v>
      </c>
      <c r="C19" s="45">
        <v>22</v>
      </c>
      <c r="D19" s="45">
        <v>22</v>
      </c>
      <c r="E19" s="45">
        <v>22</v>
      </c>
      <c r="F19" s="45">
        <v>22</v>
      </c>
      <c r="G19" s="45">
        <v>22</v>
      </c>
      <c r="H19" s="45">
        <v>22</v>
      </c>
      <c r="I19" s="45">
        <v>22</v>
      </c>
      <c r="J19" s="45">
        <v>22</v>
      </c>
      <c r="K19" s="45">
        <v>22</v>
      </c>
      <c r="L19" s="45">
        <v>22</v>
      </c>
      <c r="M19" s="45">
        <v>22</v>
      </c>
      <c r="N19" s="45">
        <v>22</v>
      </c>
      <c r="O19" s="45">
        <v>22</v>
      </c>
      <c r="P19" s="45">
        <v>22</v>
      </c>
      <c r="Q19" s="45">
        <v>22</v>
      </c>
      <c r="R19" s="45">
        <v>22</v>
      </c>
      <c r="S19" s="45">
        <v>21</v>
      </c>
      <c r="T19" s="45">
        <v>21</v>
      </c>
      <c r="U19" s="45">
        <v>21</v>
      </c>
      <c r="V19" s="45">
        <v>21</v>
      </c>
      <c r="W19" s="45">
        <v>21</v>
      </c>
      <c r="X19" s="45">
        <v>21</v>
      </c>
      <c r="Y19" s="45">
        <v>21</v>
      </c>
      <c r="Z19" s="45">
        <v>21</v>
      </c>
      <c r="AA19" s="45">
        <v>21</v>
      </c>
      <c r="AB19" s="45">
        <v>21</v>
      </c>
      <c r="AC19" s="45">
        <v>21</v>
      </c>
      <c r="AD19" s="45">
        <v>21</v>
      </c>
      <c r="AE19" s="45">
        <v>21</v>
      </c>
      <c r="AF19" s="45">
        <v>21</v>
      </c>
      <c r="AG19" s="50">
        <v>36</v>
      </c>
      <c r="AH19" s="47">
        <f t="shared" si="2"/>
        <v>22</v>
      </c>
      <c r="AI19" s="48">
        <f t="shared" si="3"/>
        <v>21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18.2</v>
      </c>
      <c r="C20" s="45">
        <v>18.3</v>
      </c>
      <c r="D20" s="45">
        <v>18.600000000000001</v>
      </c>
      <c r="E20" s="45">
        <v>18.600000000000001</v>
      </c>
      <c r="F20" s="45">
        <v>18.600000000000001</v>
      </c>
      <c r="G20" s="45">
        <v>18.600000000000001</v>
      </c>
      <c r="H20" s="45">
        <v>18.600000000000001</v>
      </c>
      <c r="I20" s="45">
        <v>18.600000000000001</v>
      </c>
      <c r="J20" s="45">
        <v>18.600000000000001</v>
      </c>
      <c r="K20" s="45">
        <v>18.600000000000001</v>
      </c>
      <c r="L20" s="45">
        <v>18.600000000000001</v>
      </c>
      <c r="M20" s="45">
        <v>18.600000000000001</v>
      </c>
      <c r="N20" s="45">
        <v>18.600000000000001</v>
      </c>
      <c r="O20" s="45">
        <v>18.600000000000001</v>
      </c>
      <c r="P20" s="45">
        <v>18.600000000000001</v>
      </c>
      <c r="Q20" s="45">
        <v>18.600000000000001</v>
      </c>
      <c r="R20" s="45">
        <v>18.600000000000001</v>
      </c>
      <c r="S20" s="45">
        <v>18.600000000000001</v>
      </c>
      <c r="T20" s="45">
        <v>18.600000000000001</v>
      </c>
      <c r="U20" s="45">
        <v>18.600000000000001</v>
      </c>
      <c r="V20" s="45">
        <v>18.600000000000001</v>
      </c>
      <c r="W20" s="45">
        <v>18.600000000000001</v>
      </c>
      <c r="X20" s="45">
        <v>23.9</v>
      </c>
      <c r="Y20" s="45">
        <v>23.4</v>
      </c>
      <c r="Z20" s="45">
        <v>23.4</v>
      </c>
      <c r="AA20" s="45">
        <v>23.4</v>
      </c>
      <c r="AB20" s="45">
        <v>23.4</v>
      </c>
      <c r="AC20" s="45">
        <v>23.4</v>
      </c>
      <c r="AD20" s="45">
        <v>23.4</v>
      </c>
      <c r="AE20" s="45">
        <v>23.4</v>
      </c>
      <c r="AF20" s="45">
        <v>23.4</v>
      </c>
      <c r="AG20" s="51">
        <v>30</v>
      </c>
      <c r="AH20" s="47">
        <f t="shared" si="2"/>
        <v>23.9</v>
      </c>
      <c r="AI20" s="48">
        <f t="shared" si="3"/>
        <v>18.2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13.2</v>
      </c>
      <c r="C21" s="45">
        <v>13.2</v>
      </c>
      <c r="D21" s="45">
        <v>13.2</v>
      </c>
      <c r="E21" s="45">
        <v>13.2</v>
      </c>
      <c r="F21" s="45">
        <v>13.2</v>
      </c>
      <c r="G21" s="45">
        <v>13.2</v>
      </c>
      <c r="H21" s="45">
        <v>13.2</v>
      </c>
      <c r="I21" s="45">
        <v>13.2</v>
      </c>
      <c r="J21" s="45">
        <v>13.2</v>
      </c>
      <c r="K21" s="45">
        <v>13.2</v>
      </c>
      <c r="L21" s="45">
        <v>13.2</v>
      </c>
      <c r="M21" s="45">
        <v>13.2</v>
      </c>
      <c r="N21" s="45">
        <v>13.2</v>
      </c>
      <c r="O21" s="45">
        <v>13.2</v>
      </c>
      <c r="P21" s="45">
        <v>13.2</v>
      </c>
      <c r="Q21" s="45">
        <v>13.2</v>
      </c>
      <c r="R21" s="45">
        <v>13.2</v>
      </c>
      <c r="S21" s="45">
        <v>13.2</v>
      </c>
      <c r="T21" s="45">
        <v>13.2</v>
      </c>
      <c r="U21" s="45">
        <v>13.2</v>
      </c>
      <c r="V21" s="45">
        <v>13.2</v>
      </c>
      <c r="W21" s="45">
        <v>13.2</v>
      </c>
      <c r="X21" s="45">
        <v>13.2</v>
      </c>
      <c r="Y21" s="45">
        <v>11.5</v>
      </c>
      <c r="Z21" s="45">
        <v>11.5</v>
      </c>
      <c r="AA21" s="45">
        <v>11.5</v>
      </c>
      <c r="AB21" s="45">
        <v>11.5</v>
      </c>
      <c r="AC21" s="45">
        <v>11.5</v>
      </c>
      <c r="AD21" s="45">
        <v>13</v>
      </c>
      <c r="AE21" s="45">
        <v>13</v>
      </c>
      <c r="AF21" s="45">
        <v>13</v>
      </c>
      <c r="AG21" s="50">
        <v>24.2</v>
      </c>
      <c r="AH21" s="47">
        <f t="shared" si="2"/>
        <v>13.2</v>
      </c>
      <c r="AI21" s="48">
        <f t="shared" si="3"/>
        <v>11.5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10.9</v>
      </c>
      <c r="C22" s="45">
        <v>10.9</v>
      </c>
      <c r="D22" s="45">
        <v>10.9</v>
      </c>
      <c r="E22" s="45">
        <v>10.9</v>
      </c>
      <c r="F22" s="45">
        <v>10.9</v>
      </c>
      <c r="G22" s="45">
        <v>10.9</v>
      </c>
      <c r="H22" s="45">
        <v>10.9</v>
      </c>
      <c r="I22" s="45">
        <v>10.9</v>
      </c>
      <c r="J22" s="45">
        <v>10.9</v>
      </c>
      <c r="K22" s="45">
        <v>10.9</v>
      </c>
      <c r="L22" s="45">
        <v>10.9</v>
      </c>
      <c r="M22" s="45">
        <v>10.9</v>
      </c>
      <c r="N22" s="45">
        <v>10.9</v>
      </c>
      <c r="O22" s="45">
        <v>10.9</v>
      </c>
      <c r="P22" s="45">
        <v>10.9</v>
      </c>
      <c r="Q22" s="45">
        <v>10.9</v>
      </c>
      <c r="R22" s="45">
        <v>10.9</v>
      </c>
      <c r="S22" s="45">
        <v>10.9</v>
      </c>
      <c r="T22" s="45">
        <v>10.9</v>
      </c>
      <c r="U22" s="45">
        <v>10.9</v>
      </c>
      <c r="V22" s="45">
        <v>10.9</v>
      </c>
      <c r="W22" s="45">
        <v>10.9</v>
      </c>
      <c r="X22" s="45">
        <v>10.9</v>
      </c>
      <c r="Y22" s="45">
        <v>10.9</v>
      </c>
      <c r="Z22" s="45">
        <v>10.9</v>
      </c>
      <c r="AA22" s="45">
        <v>10.9</v>
      </c>
      <c r="AB22" s="45">
        <v>10.9</v>
      </c>
      <c r="AC22" s="45">
        <v>10.9</v>
      </c>
      <c r="AD22" s="45">
        <v>10.9</v>
      </c>
      <c r="AE22" s="45">
        <v>10.9</v>
      </c>
      <c r="AF22" s="45">
        <v>10.9</v>
      </c>
      <c r="AG22" s="50">
        <v>28</v>
      </c>
      <c r="AH22" s="47">
        <f t="shared" si="2"/>
        <v>10.9</v>
      </c>
      <c r="AI22" s="48">
        <f t="shared" si="3"/>
        <v>10.9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14.1</v>
      </c>
      <c r="C23" s="45">
        <v>14.1</v>
      </c>
      <c r="D23" s="45">
        <v>14.1</v>
      </c>
      <c r="E23" s="45">
        <v>14.1</v>
      </c>
      <c r="F23" s="45">
        <v>14.1</v>
      </c>
      <c r="G23" s="45">
        <v>14.1</v>
      </c>
      <c r="H23" s="45">
        <v>14.1</v>
      </c>
      <c r="I23" s="45">
        <v>14.1</v>
      </c>
      <c r="J23" s="45">
        <v>14.1</v>
      </c>
      <c r="K23" s="45">
        <v>14.1</v>
      </c>
      <c r="L23" s="45">
        <v>14.1</v>
      </c>
      <c r="M23" s="45">
        <v>14.1</v>
      </c>
      <c r="N23" s="45">
        <v>14.1</v>
      </c>
      <c r="O23" s="45">
        <v>14.1</v>
      </c>
      <c r="P23" s="45">
        <v>14.1</v>
      </c>
      <c r="Q23" s="45">
        <v>14.1</v>
      </c>
      <c r="R23" s="45">
        <v>14.1</v>
      </c>
      <c r="S23" s="45">
        <v>12</v>
      </c>
      <c r="T23" s="45">
        <v>12</v>
      </c>
      <c r="U23" s="45">
        <v>12</v>
      </c>
      <c r="V23" s="45">
        <v>12</v>
      </c>
      <c r="W23" s="45">
        <v>12</v>
      </c>
      <c r="X23" s="45">
        <v>12</v>
      </c>
      <c r="Y23" s="45">
        <v>12</v>
      </c>
      <c r="Z23" s="45">
        <v>12</v>
      </c>
      <c r="AA23" s="45">
        <v>12</v>
      </c>
      <c r="AB23" s="45">
        <v>12</v>
      </c>
      <c r="AC23" s="45">
        <v>12</v>
      </c>
      <c r="AD23" s="45">
        <v>12</v>
      </c>
      <c r="AE23" s="45">
        <v>12</v>
      </c>
      <c r="AF23" s="45">
        <v>12</v>
      </c>
      <c r="AG23" s="51">
        <v>30</v>
      </c>
      <c r="AH23" s="47">
        <f t="shared" si="2"/>
        <v>14.1</v>
      </c>
      <c r="AI23" s="48">
        <f t="shared" si="3"/>
        <v>12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13.2</v>
      </c>
      <c r="C24" s="45">
        <v>13.2</v>
      </c>
      <c r="D24" s="45">
        <v>13.2</v>
      </c>
      <c r="E24" s="45">
        <v>13.2</v>
      </c>
      <c r="F24" s="45">
        <v>13.2</v>
      </c>
      <c r="G24" s="45">
        <v>13.2</v>
      </c>
      <c r="H24" s="45">
        <v>13.2</v>
      </c>
      <c r="I24" s="45">
        <v>13.2</v>
      </c>
      <c r="J24" s="45">
        <v>13.2</v>
      </c>
      <c r="K24" s="45">
        <v>13.2</v>
      </c>
      <c r="L24" s="45">
        <v>13.2</v>
      </c>
      <c r="M24" s="45">
        <v>13.2</v>
      </c>
      <c r="N24" s="45">
        <v>13.2</v>
      </c>
      <c r="O24" s="45">
        <v>13.2</v>
      </c>
      <c r="P24" s="45">
        <v>13.2</v>
      </c>
      <c r="Q24" s="45">
        <v>13.2</v>
      </c>
      <c r="R24" s="45">
        <v>13.2</v>
      </c>
      <c r="S24" s="45">
        <v>13.2</v>
      </c>
      <c r="T24" s="45">
        <v>13.2</v>
      </c>
      <c r="U24" s="45">
        <v>13.2</v>
      </c>
      <c r="V24" s="45">
        <v>13.2</v>
      </c>
      <c r="W24" s="45">
        <v>13.2</v>
      </c>
      <c r="X24" s="45">
        <v>13.2</v>
      </c>
      <c r="Y24" s="45">
        <v>13.2</v>
      </c>
      <c r="Z24" s="45">
        <v>13.2</v>
      </c>
      <c r="AA24" s="45">
        <v>13.2</v>
      </c>
      <c r="AB24" s="45">
        <v>13.2</v>
      </c>
      <c r="AC24" s="45">
        <v>13.2</v>
      </c>
      <c r="AD24" s="45">
        <v>13.2</v>
      </c>
      <c r="AE24" s="45">
        <v>13.2</v>
      </c>
      <c r="AF24" s="45">
        <v>13.2</v>
      </c>
      <c r="AG24" s="50">
        <v>25</v>
      </c>
      <c r="AH24" s="47">
        <f t="shared" si="2"/>
        <v>13.2</v>
      </c>
      <c r="AI24" s="48">
        <f t="shared" si="3"/>
        <v>13.2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14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</v>
      </c>
      <c r="C26" s="45">
        <v>6</v>
      </c>
      <c r="D26" s="45">
        <v>6</v>
      </c>
      <c r="E26" s="45">
        <v>6</v>
      </c>
      <c r="F26" s="45">
        <v>6</v>
      </c>
      <c r="G26" s="45">
        <v>6</v>
      </c>
      <c r="H26" s="45">
        <v>6</v>
      </c>
      <c r="I26" s="45">
        <v>6</v>
      </c>
      <c r="J26" s="45">
        <v>6</v>
      </c>
      <c r="K26" s="45">
        <v>6</v>
      </c>
      <c r="L26" s="45">
        <v>6</v>
      </c>
      <c r="M26" s="45">
        <v>6</v>
      </c>
      <c r="N26" s="45">
        <v>6</v>
      </c>
      <c r="O26" s="45">
        <v>6</v>
      </c>
      <c r="P26" s="45">
        <v>6</v>
      </c>
      <c r="Q26" s="45">
        <v>6</v>
      </c>
      <c r="R26" s="45">
        <v>6</v>
      </c>
      <c r="S26" s="45">
        <v>6</v>
      </c>
      <c r="T26" s="45">
        <v>6</v>
      </c>
      <c r="U26" s="45">
        <v>6</v>
      </c>
      <c r="V26" s="45">
        <v>6</v>
      </c>
      <c r="W26" s="45">
        <v>6</v>
      </c>
      <c r="X26" s="45">
        <v>6</v>
      </c>
      <c r="Y26" s="45">
        <v>6</v>
      </c>
      <c r="Z26" s="45">
        <v>6</v>
      </c>
      <c r="AA26" s="45">
        <v>6</v>
      </c>
      <c r="AB26" s="45">
        <v>6</v>
      </c>
      <c r="AC26" s="45">
        <v>6</v>
      </c>
      <c r="AD26" s="45">
        <v>6</v>
      </c>
      <c r="AE26" s="45">
        <v>6</v>
      </c>
      <c r="AF26" s="45">
        <v>6</v>
      </c>
      <c r="AG26" s="50">
        <v>25</v>
      </c>
      <c r="AH26" s="47">
        <f t="shared" si="2"/>
        <v>6</v>
      </c>
      <c r="AI26" s="48">
        <f t="shared" si="3"/>
        <v>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16</v>
      </c>
      <c r="C27" s="45">
        <v>16</v>
      </c>
      <c r="D27" s="45">
        <v>16</v>
      </c>
      <c r="E27" s="45">
        <v>16</v>
      </c>
      <c r="F27" s="45">
        <v>16</v>
      </c>
      <c r="G27" s="45">
        <v>16</v>
      </c>
      <c r="H27" s="45">
        <v>16</v>
      </c>
      <c r="I27" s="45">
        <v>16</v>
      </c>
      <c r="J27" s="45">
        <v>16</v>
      </c>
      <c r="K27" s="45">
        <v>16</v>
      </c>
      <c r="L27" s="45">
        <v>16</v>
      </c>
      <c r="M27" s="45">
        <v>16</v>
      </c>
      <c r="N27" s="45">
        <v>16</v>
      </c>
      <c r="O27" s="45">
        <v>16</v>
      </c>
      <c r="P27" s="45">
        <v>16</v>
      </c>
      <c r="Q27" s="45">
        <v>16</v>
      </c>
      <c r="R27" s="45">
        <v>16</v>
      </c>
      <c r="S27" s="45">
        <v>16</v>
      </c>
      <c r="T27" s="45">
        <v>16</v>
      </c>
      <c r="U27" s="45">
        <v>16</v>
      </c>
      <c r="V27" s="45">
        <v>16</v>
      </c>
      <c r="W27" s="45">
        <v>16</v>
      </c>
      <c r="X27" s="45">
        <v>16</v>
      </c>
      <c r="Y27" s="45">
        <v>18</v>
      </c>
      <c r="Z27" s="45">
        <v>18</v>
      </c>
      <c r="AA27" s="45">
        <v>18</v>
      </c>
      <c r="AB27" s="45">
        <v>18</v>
      </c>
      <c r="AC27" s="45">
        <v>18</v>
      </c>
      <c r="AD27" s="45">
        <v>18</v>
      </c>
      <c r="AE27" s="45">
        <v>18</v>
      </c>
      <c r="AF27" s="45">
        <v>18</v>
      </c>
      <c r="AG27" s="50">
        <v>25</v>
      </c>
      <c r="AH27" s="47">
        <f t="shared" si="2"/>
        <v>18</v>
      </c>
      <c r="AI27" s="48">
        <f t="shared" si="3"/>
        <v>16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8.1</v>
      </c>
      <c r="C28" s="45">
        <v>8.1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23.5</v>
      </c>
      <c r="AH28" s="47">
        <f t="shared" si="2"/>
        <v>8.1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4.5</v>
      </c>
      <c r="C29" s="45">
        <v>4.5</v>
      </c>
      <c r="D29" s="45">
        <v>4.5</v>
      </c>
      <c r="E29" s="45">
        <v>4.5</v>
      </c>
      <c r="F29" s="45">
        <v>4.5</v>
      </c>
      <c r="G29" s="45">
        <v>4.5</v>
      </c>
      <c r="H29" s="45">
        <v>4.5</v>
      </c>
      <c r="I29" s="45">
        <v>4.5</v>
      </c>
      <c r="J29" s="45">
        <v>4.5</v>
      </c>
      <c r="K29" s="45">
        <v>4.5</v>
      </c>
      <c r="L29" s="45">
        <v>4.5</v>
      </c>
      <c r="M29" s="45">
        <v>4.5</v>
      </c>
      <c r="N29" s="45">
        <v>4.5</v>
      </c>
      <c r="O29" s="45">
        <v>4.5</v>
      </c>
      <c r="P29" s="45">
        <v>4.5</v>
      </c>
      <c r="Q29" s="45">
        <v>4.5</v>
      </c>
      <c r="R29" s="45">
        <v>4.5</v>
      </c>
      <c r="S29" s="45">
        <v>4.5</v>
      </c>
      <c r="T29" s="45">
        <v>4.5</v>
      </c>
      <c r="U29" s="45">
        <v>4.5</v>
      </c>
      <c r="V29" s="45">
        <v>4.5</v>
      </c>
      <c r="W29" s="45">
        <v>4.5</v>
      </c>
      <c r="X29" s="45">
        <v>4.5</v>
      </c>
      <c r="Y29" s="45">
        <v>4.5</v>
      </c>
      <c r="Z29" s="45">
        <v>4.5</v>
      </c>
      <c r="AA29" s="45">
        <v>4.5</v>
      </c>
      <c r="AB29" s="45">
        <v>4.5</v>
      </c>
      <c r="AC29" s="45">
        <v>4.5</v>
      </c>
      <c r="AD29" s="45">
        <v>4.5</v>
      </c>
      <c r="AE29" s="45">
        <v>4.5</v>
      </c>
      <c r="AF29" s="45">
        <v>4.5</v>
      </c>
      <c r="AG29" s="50">
        <v>22.2</v>
      </c>
      <c r="AH29" s="47">
        <f t="shared" si="2"/>
        <v>4.5</v>
      </c>
      <c r="AI29" s="48">
        <f t="shared" si="3"/>
        <v>4.5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50">
        <v>22</v>
      </c>
      <c r="AH31" s="47">
        <f t="shared" si="2"/>
        <v>4.5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8.1</v>
      </c>
      <c r="C32" s="45">
        <v>7.9</v>
      </c>
      <c r="D32" s="45">
        <v>8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4.8</v>
      </c>
      <c r="T32" s="45">
        <v>4.8</v>
      </c>
      <c r="U32" s="45">
        <v>4.8</v>
      </c>
      <c r="V32" s="45">
        <v>4.8</v>
      </c>
      <c r="W32" s="45">
        <v>4.8</v>
      </c>
      <c r="X32" s="45">
        <v>6</v>
      </c>
      <c r="Y32" s="45">
        <v>6</v>
      </c>
      <c r="Z32" s="45">
        <v>6</v>
      </c>
      <c r="AA32" s="45">
        <v>6</v>
      </c>
      <c r="AB32" s="45">
        <v>6</v>
      </c>
      <c r="AC32" s="45">
        <v>6</v>
      </c>
      <c r="AD32" s="45">
        <v>6</v>
      </c>
      <c r="AE32" s="45">
        <v>6</v>
      </c>
      <c r="AF32" s="45">
        <v>6</v>
      </c>
      <c r="AG32" s="50">
        <v>22</v>
      </c>
      <c r="AH32" s="47">
        <f t="shared" si="2"/>
        <v>8.1</v>
      </c>
      <c r="AI32" s="48">
        <f t="shared" si="3"/>
        <v>4.8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14</v>
      </c>
      <c r="C33" s="45">
        <v>14</v>
      </c>
      <c r="D33" s="45">
        <v>14</v>
      </c>
      <c r="E33" s="45">
        <v>14</v>
      </c>
      <c r="F33" s="45">
        <v>14</v>
      </c>
      <c r="G33" s="45">
        <v>14</v>
      </c>
      <c r="H33" s="45">
        <v>14</v>
      </c>
      <c r="I33" s="45">
        <v>14</v>
      </c>
      <c r="J33" s="45">
        <v>14</v>
      </c>
      <c r="K33" s="45">
        <v>14</v>
      </c>
      <c r="L33" s="45">
        <v>14</v>
      </c>
      <c r="M33" s="45">
        <v>14</v>
      </c>
      <c r="N33" s="45">
        <v>14</v>
      </c>
      <c r="O33" s="45">
        <v>14</v>
      </c>
      <c r="P33" s="45">
        <v>14</v>
      </c>
      <c r="Q33" s="45">
        <v>14</v>
      </c>
      <c r="R33" s="45">
        <v>14</v>
      </c>
      <c r="S33" s="45">
        <v>14</v>
      </c>
      <c r="T33" s="45">
        <v>14</v>
      </c>
      <c r="U33" s="45">
        <v>14</v>
      </c>
      <c r="V33" s="45">
        <v>14</v>
      </c>
      <c r="W33" s="45">
        <v>14</v>
      </c>
      <c r="X33" s="45">
        <v>14</v>
      </c>
      <c r="Y33" s="45">
        <v>14</v>
      </c>
      <c r="Z33" s="45">
        <v>14</v>
      </c>
      <c r="AA33" s="45">
        <v>14</v>
      </c>
      <c r="AB33" s="45">
        <v>14</v>
      </c>
      <c r="AC33" s="45">
        <v>14</v>
      </c>
      <c r="AD33" s="45">
        <v>14</v>
      </c>
      <c r="AE33" s="45">
        <v>14</v>
      </c>
      <c r="AF33" s="45">
        <v>14</v>
      </c>
      <c r="AG33" s="50">
        <v>20</v>
      </c>
      <c r="AH33" s="47">
        <f t="shared" si="2"/>
        <v>14</v>
      </c>
      <c r="AI33" s="48">
        <f t="shared" si="3"/>
        <v>14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50">
        <v>18</v>
      </c>
      <c r="AH34" s="47">
        <f t="shared" si="2"/>
        <v>8.5</v>
      </c>
      <c r="AI34" s="48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50">
        <v>13</v>
      </c>
      <c r="AH38" s="47">
        <f t="shared" si="2"/>
        <v>6</v>
      </c>
      <c r="AI38" s="48">
        <f t="shared" si="3"/>
        <v>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6</v>
      </c>
      <c r="C39" s="45">
        <v>6</v>
      </c>
      <c r="D39" s="45">
        <v>6</v>
      </c>
      <c r="E39" s="45">
        <v>6</v>
      </c>
      <c r="F39" s="45">
        <v>6</v>
      </c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6.5</v>
      </c>
      <c r="T39" s="45">
        <v>6.5</v>
      </c>
      <c r="U39" s="45">
        <v>6.5</v>
      </c>
      <c r="V39" s="45">
        <v>6.5</v>
      </c>
      <c r="W39" s="45">
        <v>6.5</v>
      </c>
      <c r="X39" s="45">
        <v>6.5</v>
      </c>
      <c r="Y39" s="45">
        <v>6.5</v>
      </c>
      <c r="Z39" s="45">
        <v>6.5</v>
      </c>
      <c r="AA39" s="45">
        <v>6.5</v>
      </c>
      <c r="AB39" s="45">
        <v>6.5</v>
      </c>
      <c r="AC39" s="45">
        <v>6.5</v>
      </c>
      <c r="AD39" s="45">
        <v>6.5</v>
      </c>
      <c r="AE39" s="45">
        <v>6.5</v>
      </c>
      <c r="AF39" s="45">
        <v>6.5</v>
      </c>
      <c r="AG39" s="50">
        <v>12</v>
      </c>
      <c r="AH39" s="47">
        <f t="shared" si="2"/>
        <v>6.5</v>
      </c>
      <c r="AI39" s="48">
        <f t="shared" si="3"/>
        <v>6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>
        <v>3.6</v>
      </c>
      <c r="N45" s="45">
        <v>3.6</v>
      </c>
      <c r="O45" s="45">
        <v>3.6</v>
      </c>
      <c r="P45" s="45">
        <v>3.6</v>
      </c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3.6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5</v>
      </c>
      <c r="C46" s="45">
        <v>5</v>
      </c>
      <c r="D46" s="45">
        <v>5</v>
      </c>
      <c r="E46" s="45">
        <v>5</v>
      </c>
      <c r="F46" s="45">
        <v>5</v>
      </c>
      <c r="G46" s="45">
        <v>5</v>
      </c>
      <c r="H46" s="45">
        <v>5</v>
      </c>
      <c r="I46" s="45">
        <v>5</v>
      </c>
      <c r="J46" s="45">
        <v>5</v>
      </c>
      <c r="K46" s="45">
        <v>5</v>
      </c>
      <c r="L46" s="45">
        <v>5</v>
      </c>
      <c r="M46" s="45">
        <v>5</v>
      </c>
      <c r="N46" s="45">
        <v>5</v>
      </c>
      <c r="O46" s="45">
        <v>5</v>
      </c>
      <c r="P46" s="45">
        <v>5</v>
      </c>
      <c r="Q46" s="45">
        <v>5</v>
      </c>
      <c r="R46" s="45">
        <v>5</v>
      </c>
      <c r="S46" s="45">
        <v>5</v>
      </c>
      <c r="T46" s="45">
        <v>5</v>
      </c>
      <c r="U46" s="45">
        <v>5</v>
      </c>
      <c r="V46" s="45">
        <v>5</v>
      </c>
      <c r="W46" s="45">
        <v>5</v>
      </c>
      <c r="X46" s="45">
        <v>5</v>
      </c>
      <c r="Y46" s="45">
        <v>5</v>
      </c>
      <c r="Z46" s="45">
        <v>5</v>
      </c>
      <c r="AA46" s="45">
        <v>5</v>
      </c>
      <c r="AB46" s="45">
        <v>5</v>
      </c>
      <c r="AC46" s="45">
        <v>5</v>
      </c>
      <c r="AD46" s="45">
        <v>5</v>
      </c>
      <c r="AE46" s="45">
        <v>5</v>
      </c>
      <c r="AF46" s="45">
        <v>5</v>
      </c>
      <c r="AG46" s="54">
        <v>10</v>
      </c>
      <c r="AH46" s="47">
        <f t="shared" si="2"/>
        <v>5</v>
      </c>
      <c r="AI46" s="48">
        <f t="shared" si="3"/>
        <v>5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230</v>
      </c>
      <c r="C48" s="56">
        <v>230</v>
      </c>
      <c r="D48" s="56">
        <v>230</v>
      </c>
      <c r="E48" s="56">
        <v>230</v>
      </c>
      <c r="F48" s="56">
        <v>230</v>
      </c>
      <c r="G48" s="56">
        <v>230</v>
      </c>
      <c r="H48" s="56">
        <v>230</v>
      </c>
      <c r="I48" s="56">
        <v>230</v>
      </c>
      <c r="J48" s="56">
        <v>230</v>
      </c>
      <c r="K48" s="56">
        <v>230</v>
      </c>
      <c r="L48" s="56">
        <v>230</v>
      </c>
      <c r="M48" s="56">
        <v>230</v>
      </c>
      <c r="N48" s="56">
        <v>230</v>
      </c>
      <c r="O48" s="56">
        <v>230</v>
      </c>
      <c r="P48" s="56">
        <v>230</v>
      </c>
      <c r="Q48" s="56">
        <v>230</v>
      </c>
      <c r="R48" s="56">
        <v>230</v>
      </c>
      <c r="S48" s="56">
        <v>230</v>
      </c>
      <c r="T48" s="56">
        <v>230</v>
      </c>
      <c r="U48" s="56">
        <v>230</v>
      </c>
      <c r="V48" s="56">
        <v>230</v>
      </c>
      <c r="W48" s="56">
        <v>230</v>
      </c>
      <c r="X48" s="56">
        <v>230</v>
      </c>
      <c r="Y48" s="56">
        <v>230</v>
      </c>
      <c r="Z48" s="56">
        <v>230</v>
      </c>
      <c r="AA48" s="56">
        <v>230</v>
      </c>
      <c r="AB48" s="56">
        <v>230</v>
      </c>
      <c r="AC48" s="56">
        <v>230</v>
      </c>
      <c r="AD48" s="56">
        <v>230</v>
      </c>
      <c r="AE48" s="56">
        <v>230</v>
      </c>
      <c r="AF48" s="56">
        <v>230</v>
      </c>
      <c r="AG48" s="54">
        <v>85</v>
      </c>
      <c r="AH48" s="47">
        <f t="shared" si="2"/>
        <v>230</v>
      </c>
      <c r="AI48" s="48">
        <f t="shared" si="3"/>
        <v>230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>
        <v>42</v>
      </c>
      <c r="U49" s="58">
        <v>42</v>
      </c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42</v>
      </c>
      <c r="AI49" s="48">
        <f t="shared" si="3"/>
        <v>42</v>
      </c>
      <c r="AK49" s="49"/>
    </row>
    <row r="50" spans="1:41" ht="15.75" thickBot="1" x14ac:dyDescent="0.3">
      <c r="A50" s="59" t="s">
        <v>56</v>
      </c>
      <c r="B50" s="60">
        <f>SUM(B11:B48)</f>
        <v>719.60000000000014</v>
      </c>
      <c r="C50" s="60">
        <f>SUM(C11:C48)</f>
        <v>725.40000000000009</v>
      </c>
      <c r="D50" s="60">
        <f t="shared" ref="D50:AF50" si="4">SUM(D11:D48)</f>
        <v>723.30000000000007</v>
      </c>
      <c r="E50" s="60">
        <f t="shared" si="4"/>
        <v>720.30000000000007</v>
      </c>
      <c r="F50" s="60">
        <f t="shared" si="4"/>
        <v>720.30000000000007</v>
      </c>
      <c r="G50" s="60">
        <f t="shared" si="4"/>
        <v>718.30000000000007</v>
      </c>
      <c r="H50" s="60">
        <f t="shared" si="4"/>
        <v>717.30000000000007</v>
      </c>
      <c r="I50" s="60">
        <f t="shared" si="4"/>
        <v>707.40000000000009</v>
      </c>
      <c r="J50" s="60">
        <f t="shared" si="4"/>
        <v>707.40000000000009</v>
      </c>
      <c r="K50" s="60">
        <f t="shared" si="4"/>
        <v>707.40000000000009</v>
      </c>
      <c r="L50" s="60">
        <f t="shared" si="4"/>
        <v>707.40000000000009</v>
      </c>
      <c r="M50" s="60">
        <f t="shared" si="4"/>
        <v>707.40000000000009</v>
      </c>
      <c r="N50" s="60">
        <f t="shared" si="4"/>
        <v>707.40000000000009</v>
      </c>
      <c r="O50" s="60">
        <f t="shared" si="4"/>
        <v>707.40000000000009</v>
      </c>
      <c r="P50" s="60">
        <f t="shared" si="4"/>
        <v>707.40000000000009</v>
      </c>
      <c r="Q50" s="60">
        <f t="shared" si="4"/>
        <v>707.40000000000009</v>
      </c>
      <c r="R50" s="60">
        <f t="shared" si="4"/>
        <v>707.40000000000009</v>
      </c>
      <c r="S50" s="60">
        <f t="shared" si="4"/>
        <v>687.90000000000009</v>
      </c>
      <c r="T50" s="60">
        <f>SUM(T11:T48)</f>
        <v>698.40000000000009</v>
      </c>
      <c r="U50" s="60">
        <f t="shared" si="4"/>
        <v>698.40000000000009</v>
      </c>
      <c r="V50" s="60">
        <f t="shared" si="4"/>
        <v>700.40000000000009</v>
      </c>
      <c r="W50" s="60">
        <f t="shared" si="4"/>
        <v>700.40000000000009</v>
      </c>
      <c r="X50" s="60">
        <f t="shared" si="4"/>
        <v>709.90000000000009</v>
      </c>
      <c r="Y50" s="60">
        <f t="shared" si="4"/>
        <v>720.2</v>
      </c>
      <c r="Z50" s="60">
        <f t="shared" si="4"/>
        <v>722.7</v>
      </c>
      <c r="AA50" s="60">
        <f t="shared" si="4"/>
        <v>722.7</v>
      </c>
      <c r="AB50" s="60">
        <f t="shared" si="4"/>
        <v>716.7</v>
      </c>
      <c r="AC50" s="60">
        <f t="shared" si="4"/>
        <v>716.7</v>
      </c>
      <c r="AD50" s="60">
        <f t="shared" si="4"/>
        <v>718.2</v>
      </c>
      <c r="AE50" s="60">
        <f t="shared" si="4"/>
        <v>718.2</v>
      </c>
      <c r="AF50" s="60">
        <f t="shared" si="4"/>
        <v>718.2</v>
      </c>
      <c r="AG50" s="61">
        <f>SUM(AG13:AG48)</f>
        <v>922.14</v>
      </c>
      <c r="AH50" s="47">
        <f t="shared" si="2"/>
        <v>725.40000000000009</v>
      </c>
      <c r="AI50" s="48">
        <f t="shared" si="3"/>
        <v>687.90000000000009</v>
      </c>
      <c r="AK50" s="49"/>
    </row>
    <row r="51" spans="1:41" x14ac:dyDescent="0.25">
      <c r="A51" s="62" t="s">
        <v>57</v>
      </c>
      <c r="B51" s="45">
        <v>375</v>
      </c>
      <c r="C51" s="45">
        <v>365</v>
      </c>
      <c r="D51" s="45">
        <v>345</v>
      </c>
      <c r="E51" s="45">
        <v>350</v>
      </c>
      <c r="F51" s="45">
        <v>150</v>
      </c>
      <c r="G51" s="45">
        <v>150</v>
      </c>
      <c r="H51" s="45">
        <v>150</v>
      </c>
      <c r="I51" s="45">
        <v>150</v>
      </c>
      <c r="J51" s="45">
        <v>155</v>
      </c>
      <c r="K51" s="45">
        <v>150</v>
      </c>
      <c r="L51" s="45">
        <v>120</v>
      </c>
      <c r="M51" s="45">
        <v>120</v>
      </c>
      <c r="N51" s="45">
        <v>140</v>
      </c>
      <c r="O51" s="63">
        <v>160</v>
      </c>
      <c r="P51" s="63">
        <v>200</v>
      </c>
      <c r="Q51" s="63">
        <v>120</v>
      </c>
      <c r="R51" s="63">
        <v>85</v>
      </c>
      <c r="S51" s="45">
        <v>85.9</v>
      </c>
      <c r="T51" s="45">
        <v>80</v>
      </c>
      <c r="U51" s="45">
        <v>80</v>
      </c>
      <c r="V51" s="45">
        <v>235</v>
      </c>
      <c r="W51" s="45">
        <v>235</v>
      </c>
      <c r="X51" s="45">
        <v>235</v>
      </c>
      <c r="Y51" s="45">
        <v>220</v>
      </c>
      <c r="Z51" s="45">
        <v>220</v>
      </c>
      <c r="AA51" s="45">
        <v>220</v>
      </c>
      <c r="AB51" s="45">
        <v>410</v>
      </c>
      <c r="AC51" s="45">
        <v>410</v>
      </c>
      <c r="AD51" s="45">
        <v>440</v>
      </c>
      <c r="AE51" s="45">
        <v>420</v>
      </c>
      <c r="AF51" s="45">
        <v>350</v>
      </c>
      <c r="AG51" s="51">
        <v>456</v>
      </c>
      <c r="AH51" s="47">
        <f t="shared" si="2"/>
        <v>440</v>
      </c>
      <c r="AI51" s="48">
        <f t="shared" si="3"/>
        <v>80</v>
      </c>
      <c r="AK51" s="49"/>
    </row>
    <row r="52" spans="1:41" x14ac:dyDescent="0.25">
      <c r="A52" s="64" t="s">
        <v>58</v>
      </c>
      <c r="B52" s="65">
        <v>36</v>
      </c>
      <c r="C52" s="65">
        <v>36</v>
      </c>
      <c r="D52" s="65">
        <v>36</v>
      </c>
      <c r="E52" s="65">
        <v>36</v>
      </c>
      <c r="F52" s="65">
        <v>36</v>
      </c>
      <c r="G52" s="65">
        <v>36</v>
      </c>
      <c r="H52" s="65">
        <v>36</v>
      </c>
      <c r="I52" s="65">
        <v>36</v>
      </c>
      <c r="J52" s="65">
        <v>36</v>
      </c>
      <c r="K52" s="65">
        <v>36</v>
      </c>
      <c r="L52" s="65">
        <v>36</v>
      </c>
      <c r="M52" s="65">
        <v>36</v>
      </c>
      <c r="N52" s="65">
        <v>36</v>
      </c>
      <c r="O52" s="65">
        <v>36</v>
      </c>
      <c r="P52" s="65">
        <v>31</v>
      </c>
      <c r="Q52" s="65">
        <v>31</v>
      </c>
      <c r="R52" s="65">
        <v>31</v>
      </c>
      <c r="S52" s="65">
        <v>31</v>
      </c>
      <c r="T52" s="65">
        <v>31</v>
      </c>
      <c r="U52" s="65">
        <v>32</v>
      </c>
      <c r="V52" s="65">
        <v>32</v>
      </c>
      <c r="W52" s="65">
        <v>32</v>
      </c>
      <c r="X52" s="65">
        <v>32</v>
      </c>
      <c r="Y52" s="65">
        <v>32</v>
      </c>
      <c r="Z52" s="65">
        <v>40</v>
      </c>
      <c r="AA52" s="65">
        <v>40</v>
      </c>
      <c r="AB52" s="65">
        <v>40</v>
      </c>
      <c r="AC52" s="65">
        <v>40</v>
      </c>
      <c r="AD52" s="65">
        <v>40</v>
      </c>
      <c r="AE52" s="65">
        <v>40</v>
      </c>
      <c r="AF52" s="65">
        <v>40</v>
      </c>
      <c r="AG52" s="54">
        <v>60</v>
      </c>
      <c r="AH52" s="47">
        <f t="shared" si="2"/>
        <v>40</v>
      </c>
      <c r="AI52" s="48">
        <f t="shared" si="3"/>
        <v>31</v>
      </c>
      <c r="AK52" s="49"/>
    </row>
    <row r="53" spans="1:41" ht="15.75" thickBot="1" x14ac:dyDescent="0.3">
      <c r="A53" s="66" t="s">
        <v>59</v>
      </c>
      <c r="B53" s="67">
        <v>22</v>
      </c>
      <c r="C53" s="67">
        <v>22</v>
      </c>
      <c r="D53" s="67">
        <v>22</v>
      </c>
      <c r="E53" s="67">
        <v>22</v>
      </c>
      <c r="F53" s="67">
        <v>22</v>
      </c>
      <c r="G53" s="67">
        <v>22</v>
      </c>
      <c r="H53" s="67">
        <v>22</v>
      </c>
      <c r="I53" s="67">
        <v>22</v>
      </c>
      <c r="J53" s="67">
        <v>22</v>
      </c>
      <c r="K53" s="67">
        <v>22</v>
      </c>
      <c r="L53" s="67">
        <v>22</v>
      </c>
      <c r="M53" s="67">
        <v>22</v>
      </c>
      <c r="N53" s="67">
        <v>22</v>
      </c>
      <c r="O53" s="67">
        <v>22</v>
      </c>
      <c r="P53" s="67">
        <v>22</v>
      </c>
      <c r="Q53" s="67">
        <v>22</v>
      </c>
      <c r="R53" s="67">
        <v>22</v>
      </c>
      <c r="S53" s="67">
        <v>22</v>
      </c>
      <c r="T53" s="67">
        <v>22</v>
      </c>
      <c r="U53" s="67">
        <v>22</v>
      </c>
      <c r="V53" s="67">
        <v>22</v>
      </c>
      <c r="W53" s="67">
        <v>22</v>
      </c>
      <c r="X53" s="67">
        <v>22</v>
      </c>
      <c r="Y53" s="67">
        <v>22</v>
      </c>
      <c r="Z53" s="67">
        <v>22.4</v>
      </c>
      <c r="AA53" s="67">
        <v>22.4</v>
      </c>
      <c r="AB53" s="67">
        <v>22.4</v>
      </c>
      <c r="AC53" s="67">
        <v>22.4</v>
      </c>
      <c r="AD53" s="67">
        <v>22.4</v>
      </c>
      <c r="AE53" s="67">
        <v>22.4</v>
      </c>
      <c r="AF53" s="67">
        <v>22.4</v>
      </c>
      <c r="AG53" s="68">
        <v>22.1</v>
      </c>
      <c r="AH53" s="47">
        <f t="shared" si="2"/>
        <v>22.4</v>
      </c>
      <c r="AI53" s="48">
        <f t="shared" si="3"/>
        <v>22</v>
      </c>
      <c r="AK53" s="49"/>
    </row>
    <row r="54" spans="1:41" ht="15.75" thickBot="1" x14ac:dyDescent="0.3">
      <c r="A54" s="69" t="s">
        <v>60</v>
      </c>
      <c r="B54" s="60">
        <f>SUM(B51:B53)</f>
        <v>433</v>
      </c>
      <c r="C54" s="60">
        <f t="shared" ref="C54:AG54" si="5">SUM(C51:C53)</f>
        <v>423</v>
      </c>
      <c r="D54" s="60">
        <f t="shared" si="5"/>
        <v>403</v>
      </c>
      <c r="E54" s="60">
        <f t="shared" si="5"/>
        <v>408</v>
      </c>
      <c r="F54" s="60">
        <f t="shared" si="5"/>
        <v>208</v>
      </c>
      <c r="G54" s="60">
        <f t="shared" si="5"/>
        <v>208</v>
      </c>
      <c r="H54" s="60">
        <f t="shared" si="5"/>
        <v>208</v>
      </c>
      <c r="I54" s="60">
        <f t="shared" si="5"/>
        <v>208</v>
      </c>
      <c r="J54" s="60">
        <f t="shared" si="5"/>
        <v>213</v>
      </c>
      <c r="K54" s="60">
        <f t="shared" si="5"/>
        <v>208</v>
      </c>
      <c r="L54" s="60">
        <f t="shared" si="5"/>
        <v>178</v>
      </c>
      <c r="M54" s="60">
        <f t="shared" si="5"/>
        <v>178</v>
      </c>
      <c r="N54" s="60">
        <f t="shared" si="5"/>
        <v>198</v>
      </c>
      <c r="O54" s="60">
        <f t="shared" si="5"/>
        <v>218</v>
      </c>
      <c r="P54" s="60">
        <f t="shared" si="5"/>
        <v>253</v>
      </c>
      <c r="Q54" s="60">
        <f t="shared" si="5"/>
        <v>173</v>
      </c>
      <c r="R54" s="60">
        <f t="shared" si="5"/>
        <v>138</v>
      </c>
      <c r="S54" s="60">
        <f t="shared" si="5"/>
        <v>138.9</v>
      </c>
      <c r="T54" s="60">
        <f t="shared" si="5"/>
        <v>133</v>
      </c>
      <c r="U54" s="60">
        <f t="shared" si="5"/>
        <v>134</v>
      </c>
      <c r="V54" s="60">
        <f t="shared" si="5"/>
        <v>289</v>
      </c>
      <c r="W54" s="60">
        <f t="shared" si="5"/>
        <v>289</v>
      </c>
      <c r="X54" s="60">
        <f t="shared" si="5"/>
        <v>289</v>
      </c>
      <c r="Y54" s="60">
        <f t="shared" si="5"/>
        <v>274</v>
      </c>
      <c r="Z54" s="60">
        <f t="shared" si="5"/>
        <v>282.39999999999998</v>
      </c>
      <c r="AA54" s="60">
        <f t="shared" si="5"/>
        <v>282.39999999999998</v>
      </c>
      <c r="AB54" s="60">
        <f t="shared" si="5"/>
        <v>472.4</v>
      </c>
      <c r="AC54" s="60">
        <f t="shared" si="5"/>
        <v>472.4</v>
      </c>
      <c r="AD54" s="60">
        <f t="shared" si="5"/>
        <v>502.4</v>
      </c>
      <c r="AE54" s="60">
        <f t="shared" si="5"/>
        <v>482.4</v>
      </c>
      <c r="AF54" s="60">
        <f t="shared" si="5"/>
        <v>412.4</v>
      </c>
      <c r="AG54" s="61">
        <f t="shared" si="5"/>
        <v>538.1</v>
      </c>
      <c r="AH54" s="47">
        <f t="shared" si="2"/>
        <v>502.4</v>
      </c>
      <c r="AI54" s="48">
        <f t="shared" si="3"/>
        <v>133</v>
      </c>
      <c r="AK54" s="49"/>
    </row>
    <row r="55" spans="1:41" x14ac:dyDescent="0.25">
      <c r="A55" s="44" t="s">
        <v>61</v>
      </c>
      <c r="B55" s="45">
        <v>93.1</v>
      </c>
      <c r="C55" s="45">
        <v>95.6</v>
      </c>
      <c r="D55" s="45">
        <v>95.5</v>
      </c>
      <c r="E55" s="45">
        <v>85.5</v>
      </c>
      <c r="F55" s="45">
        <v>81.3</v>
      </c>
      <c r="G55" s="45">
        <v>75</v>
      </c>
      <c r="H55" s="45">
        <v>71.3</v>
      </c>
      <c r="I55" s="45">
        <v>81.5</v>
      </c>
      <c r="J55" s="45">
        <v>77</v>
      </c>
      <c r="K55" s="45">
        <v>70.599999999999994</v>
      </c>
      <c r="L55" s="45">
        <v>61.3</v>
      </c>
      <c r="M55" s="45">
        <v>61.3</v>
      </c>
      <c r="N55" s="45">
        <v>76.599999999999994</v>
      </c>
      <c r="O55" s="45">
        <v>76.400000000000006</v>
      </c>
      <c r="P55" s="45">
        <v>97.5</v>
      </c>
      <c r="Q55" s="45">
        <v>97.5</v>
      </c>
      <c r="R55" s="45">
        <v>139.19999999999999</v>
      </c>
      <c r="S55" s="45">
        <v>144</v>
      </c>
      <c r="T55" s="45">
        <v>145.80000000000001</v>
      </c>
      <c r="U55" s="45">
        <v>144</v>
      </c>
      <c r="V55" s="45">
        <v>130</v>
      </c>
      <c r="W55" s="45">
        <v>111</v>
      </c>
      <c r="X55" s="45">
        <v>107</v>
      </c>
      <c r="Y55" s="45">
        <v>101</v>
      </c>
      <c r="Z55" s="45">
        <v>132.9</v>
      </c>
      <c r="AA55" s="45">
        <v>132.9</v>
      </c>
      <c r="AB55" s="45">
        <v>141</v>
      </c>
      <c r="AC55" s="45">
        <v>141</v>
      </c>
      <c r="AD55" s="45">
        <v>135</v>
      </c>
      <c r="AE55" s="45">
        <v>102</v>
      </c>
      <c r="AF55" s="45">
        <v>105</v>
      </c>
      <c r="AG55" s="51">
        <v>144</v>
      </c>
      <c r="AH55" s="47">
        <f t="shared" si="2"/>
        <v>145.80000000000001</v>
      </c>
      <c r="AI55" s="48">
        <f t="shared" si="3"/>
        <v>61.3</v>
      </c>
      <c r="AK55" s="49"/>
    </row>
    <row r="56" spans="1:41" x14ac:dyDescent="0.25">
      <c r="A56" s="53" t="s">
        <v>62</v>
      </c>
      <c r="B56" s="45">
        <v>23.7</v>
      </c>
      <c r="C56" s="65">
        <v>34.700000000000003</v>
      </c>
      <c r="D56" s="65">
        <v>34.6</v>
      </c>
      <c r="E56" s="65">
        <v>34</v>
      </c>
      <c r="F56" s="65">
        <v>61.2</v>
      </c>
      <c r="G56" s="65">
        <v>70</v>
      </c>
      <c r="H56" s="65">
        <v>73.3</v>
      </c>
      <c r="I56" s="65">
        <v>72</v>
      </c>
      <c r="J56" s="65">
        <v>72.7</v>
      </c>
      <c r="K56" s="65">
        <v>71.900000000000006</v>
      </c>
      <c r="L56" s="65">
        <v>72.599999999999994</v>
      </c>
      <c r="M56" s="65">
        <v>72.599999999999994</v>
      </c>
      <c r="N56" s="65">
        <v>73.599999999999994</v>
      </c>
      <c r="O56" s="65">
        <v>74</v>
      </c>
      <c r="P56" s="65">
        <v>70.3</v>
      </c>
      <c r="Q56" s="65">
        <v>70.3</v>
      </c>
      <c r="R56" s="65">
        <v>70.3</v>
      </c>
      <c r="S56" s="45">
        <v>71.900000000000006</v>
      </c>
      <c r="T56" s="45">
        <v>70.5</v>
      </c>
      <c r="U56" s="45">
        <v>69.400000000000006</v>
      </c>
      <c r="V56" s="45">
        <v>69</v>
      </c>
      <c r="W56" s="45">
        <v>69</v>
      </c>
      <c r="X56" s="45">
        <v>70</v>
      </c>
      <c r="Y56" s="45">
        <v>70</v>
      </c>
      <c r="Z56" s="45">
        <v>70</v>
      </c>
      <c r="AA56" s="45">
        <v>70</v>
      </c>
      <c r="AB56" s="45">
        <v>70</v>
      </c>
      <c r="AC56" s="45">
        <v>70</v>
      </c>
      <c r="AD56" s="45">
        <v>70</v>
      </c>
      <c r="AE56" s="45">
        <v>70</v>
      </c>
      <c r="AF56" s="45">
        <v>70</v>
      </c>
      <c r="AG56" s="54">
        <v>70</v>
      </c>
      <c r="AH56" s="47">
        <f t="shared" si="2"/>
        <v>74</v>
      </c>
      <c r="AI56" s="48">
        <f t="shared" si="3"/>
        <v>23.7</v>
      </c>
      <c r="AK56" s="49"/>
    </row>
    <row r="57" spans="1:41" x14ac:dyDescent="0.25">
      <c r="A57" s="53" t="s">
        <v>63</v>
      </c>
      <c r="B57" s="45">
        <v>60.3</v>
      </c>
      <c r="C57" s="65">
        <v>60.5</v>
      </c>
      <c r="D57" s="65">
        <v>60.3</v>
      </c>
      <c r="E57" s="65">
        <v>60.1</v>
      </c>
      <c r="F57" s="65">
        <v>60</v>
      </c>
      <c r="G57" s="65">
        <v>60</v>
      </c>
      <c r="H57" s="65">
        <v>60</v>
      </c>
      <c r="I57" s="65">
        <v>60.1</v>
      </c>
      <c r="J57" s="65">
        <v>60</v>
      </c>
      <c r="K57" s="65">
        <v>60.1</v>
      </c>
      <c r="L57" s="65">
        <v>52.8</v>
      </c>
      <c r="M57" s="65">
        <v>52.8</v>
      </c>
      <c r="N57" s="65">
        <v>45.7</v>
      </c>
      <c r="O57" s="65">
        <v>45.7</v>
      </c>
      <c r="P57" s="65">
        <v>46.1</v>
      </c>
      <c r="Q57" s="65">
        <v>46.1</v>
      </c>
      <c r="R57" s="65">
        <v>60.7</v>
      </c>
      <c r="S57" s="45">
        <v>46.4</v>
      </c>
      <c r="T57" s="45">
        <v>69.8</v>
      </c>
      <c r="U57" s="45">
        <v>69.900000000000006</v>
      </c>
      <c r="V57" s="45">
        <v>67.2</v>
      </c>
      <c r="W57" s="45">
        <v>68.8</v>
      </c>
      <c r="X57" s="45">
        <v>69.5</v>
      </c>
      <c r="Y57" s="45">
        <v>60.4</v>
      </c>
      <c r="Z57" s="45">
        <v>60.4</v>
      </c>
      <c r="AA57" s="45">
        <v>60.4</v>
      </c>
      <c r="AB57" s="45">
        <v>69</v>
      </c>
      <c r="AC57" s="45">
        <v>69</v>
      </c>
      <c r="AD57" s="45">
        <v>69</v>
      </c>
      <c r="AE57" s="45">
        <v>69</v>
      </c>
      <c r="AF57" s="45">
        <v>51.4</v>
      </c>
      <c r="AG57" s="54">
        <v>69</v>
      </c>
      <c r="AH57" s="47">
        <f t="shared" si="2"/>
        <v>69.900000000000006</v>
      </c>
      <c r="AI57" s="48">
        <f t="shared" si="3"/>
        <v>45.7</v>
      </c>
      <c r="AK57" s="49"/>
    </row>
    <row r="58" spans="1:41" x14ac:dyDescent="0.25">
      <c r="A58" s="53" t="s">
        <v>64</v>
      </c>
      <c r="B58" s="45">
        <v>60.9</v>
      </c>
      <c r="C58" s="65">
        <v>60.9</v>
      </c>
      <c r="D58" s="65">
        <v>60.4</v>
      </c>
      <c r="E58" s="65">
        <v>60.4</v>
      </c>
      <c r="F58" s="65">
        <v>60.4</v>
      </c>
      <c r="G58" s="65">
        <v>60.4</v>
      </c>
      <c r="H58" s="65">
        <v>60.4</v>
      </c>
      <c r="I58" s="65">
        <v>60.4</v>
      </c>
      <c r="J58" s="56">
        <v>60.4</v>
      </c>
      <c r="K58" s="56">
        <v>60.4</v>
      </c>
      <c r="L58" s="56">
        <v>60.4</v>
      </c>
      <c r="M58" s="56">
        <v>60.4</v>
      </c>
      <c r="N58" s="56">
        <v>60.4</v>
      </c>
      <c r="O58" s="56">
        <v>60.4</v>
      </c>
      <c r="P58" s="56">
        <v>60.4</v>
      </c>
      <c r="Q58" s="56">
        <v>60.4</v>
      </c>
      <c r="R58" s="56">
        <v>60.4</v>
      </c>
      <c r="S58" s="45">
        <v>60.4</v>
      </c>
      <c r="T58" s="45">
        <v>60.4</v>
      </c>
      <c r="U58" s="45">
        <v>60</v>
      </c>
      <c r="V58" s="45">
        <v>58.7</v>
      </c>
      <c r="W58" s="45">
        <v>58.7</v>
      </c>
      <c r="X58" s="45">
        <v>60.2</v>
      </c>
      <c r="Y58" s="45">
        <v>60.2</v>
      </c>
      <c r="Z58" s="45">
        <v>60.2</v>
      </c>
      <c r="AA58" s="45">
        <v>60.2</v>
      </c>
      <c r="AB58" s="45">
        <v>60.2</v>
      </c>
      <c r="AC58" s="45">
        <v>60.2</v>
      </c>
      <c r="AD58" s="45">
        <v>60.2</v>
      </c>
      <c r="AE58" s="45">
        <v>60.2</v>
      </c>
      <c r="AF58" s="45">
        <v>60.2</v>
      </c>
      <c r="AG58" s="54">
        <v>60</v>
      </c>
      <c r="AH58" s="47">
        <f t="shared" si="2"/>
        <v>60.9</v>
      </c>
      <c r="AI58" s="48">
        <f t="shared" si="3"/>
        <v>58.7</v>
      </c>
      <c r="AK58" s="49"/>
    </row>
    <row r="59" spans="1:41" x14ac:dyDescent="0.25">
      <c r="A59" s="53" t="s">
        <v>65</v>
      </c>
      <c r="B59" s="45">
        <v>10</v>
      </c>
      <c r="C59" s="65">
        <v>10</v>
      </c>
      <c r="D59" s="65">
        <v>10</v>
      </c>
      <c r="E59" s="65">
        <v>10</v>
      </c>
      <c r="F59" s="65">
        <v>10</v>
      </c>
      <c r="G59" s="65">
        <v>10</v>
      </c>
      <c r="H59" s="65">
        <v>13</v>
      </c>
      <c r="I59" s="65">
        <v>13</v>
      </c>
      <c r="J59" s="56">
        <v>25</v>
      </c>
      <c r="K59" s="56">
        <v>25</v>
      </c>
      <c r="L59" s="56">
        <v>25</v>
      </c>
      <c r="M59" s="56">
        <v>15</v>
      </c>
      <c r="N59" s="56">
        <v>15</v>
      </c>
      <c r="O59" s="56">
        <v>15</v>
      </c>
      <c r="P59" s="56">
        <v>22</v>
      </c>
      <c r="Q59" s="56">
        <v>22</v>
      </c>
      <c r="R59" s="56">
        <v>22</v>
      </c>
      <c r="S59" s="45">
        <v>15</v>
      </c>
      <c r="T59" s="45">
        <v>10</v>
      </c>
      <c r="U59" s="45">
        <v>10</v>
      </c>
      <c r="V59" s="45">
        <v>0</v>
      </c>
      <c r="W59" s="45">
        <v>0</v>
      </c>
      <c r="X59" s="45">
        <v>0</v>
      </c>
      <c r="Y59" s="45">
        <v>0</v>
      </c>
      <c r="Z59" s="45">
        <v>22</v>
      </c>
      <c r="AA59" s="45">
        <v>22</v>
      </c>
      <c r="AB59" s="45">
        <v>15</v>
      </c>
      <c r="AC59" s="45">
        <v>15</v>
      </c>
      <c r="AD59" s="45">
        <v>15</v>
      </c>
      <c r="AE59" s="45">
        <v>15</v>
      </c>
      <c r="AF59" s="45">
        <v>15</v>
      </c>
      <c r="AG59" s="54">
        <v>30</v>
      </c>
      <c r="AH59" s="47">
        <f t="shared" si="2"/>
        <v>25</v>
      </c>
      <c r="AI59" s="48">
        <f t="shared" si="3"/>
        <v>0</v>
      </c>
      <c r="AK59" s="49"/>
    </row>
    <row r="60" spans="1:41" x14ac:dyDescent="0.25">
      <c r="A60" s="53" t="s">
        <v>66</v>
      </c>
      <c r="B60" s="4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2.4</v>
      </c>
      <c r="K60" s="65">
        <v>4.5999999999999996</v>
      </c>
      <c r="L60" s="65">
        <v>6.1</v>
      </c>
      <c r="M60" s="65">
        <v>9.5</v>
      </c>
      <c r="N60" s="65">
        <v>9.5</v>
      </c>
      <c r="O60" s="65">
        <v>9.5</v>
      </c>
      <c r="P60" s="65">
        <v>9.5</v>
      </c>
      <c r="Q60" s="65">
        <v>9.5</v>
      </c>
      <c r="R60" s="65">
        <v>9.5</v>
      </c>
      <c r="S60" s="45">
        <v>3.5</v>
      </c>
      <c r="T60" s="45">
        <v>3.9</v>
      </c>
      <c r="U60" s="45">
        <v>3.9</v>
      </c>
      <c r="V60" s="45">
        <v>2.2000000000000002</v>
      </c>
      <c r="W60" s="45">
        <v>1.6</v>
      </c>
      <c r="X60" s="45">
        <v>0.8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9.5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15</v>
      </c>
      <c r="C61" s="65">
        <v>15</v>
      </c>
      <c r="D61" s="65">
        <v>15</v>
      </c>
      <c r="E61" s="65">
        <v>15</v>
      </c>
      <c r="F61" s="65">
        <v>15</v>
      </c>
      <c r="G61" s="65">
        <v>15</v>
      </c>
      <c r="H61" s="65">
        <v>15</v>
      </c>
      <c r="I61" s="65">
        <v>15</v>
      </c>
      <c r="J61" s="65">
        <v>15</v>
      </c>
      <c r="K61" s="65">
        <v>15</v>
      </c>
      <c r="L61" s="65">
        <v>15</v>
      </c>
      <c r="M61" s="65">
        <v>15</v>
      </c>
      <c r="N61" s="65">
        <v>15</v>
      </c>
      <c r="O61" s="65">
        <v>15</v>
      </c>
      <c r="P61" s="65">
        <v>15</v>
      </c>
      <c r="Q61" s="65">
        <v>15</v>
      </c>
      <c r="R61" s="65">
        <v>15</v>
      </c>
      <c r="S61" s="65">
        <v>15</v>
      </c>
      <c r="T61" s="65">
        <v>17</v>
      </c>
      <c r="U61" s="65">
        <v>17</v>
      </c>
      <c r="V61" s="65">
        <v>17</v>
      </c>
      <c r="W61" s="65">
        <v>17</v>
      </c>
      <c r="X61" s="65">
        <v>17</v>
      </c>
      <c r="Y61" s="65">
        <v>17</v>
      </c>
      <c r="Z61" s="65">
        <v>17</v>
      </c>
      <c r="AA61" s="65">
        <v>17</v>
      </c>
      <c r="AB61" s="65">
        <v>17</v>
      </c>
      <c r="AC61" s="65">
        <v>17</v>
      </c>
      <c r="AD61" s="65">
        <v>17</v>
      </c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15</v>
      </c>
      <c r="AK61" s="49"/>
    </row>
    <row r="62" spans="1:41" x14ac:dyDescent="0.25">
      <c r="A62" s="53" t="s">
        <v>68</v>
      </c>
      <c r="B62" s="65">
        <v>2</v>
      </c>
      <c r="C62" s="65">
        <v>2</v>
      </c>
      <c r="D62" s="65">
        <v>2</v>
      </c>
      <c r="E62" s="65">
        <v>2</v>
      </c>
      <c r="F62" s="65">
        <v>2</v>
      </c>
      <c r="G62" s="65">
        <v>2</v>
      </c>
      <c r="H62" s="65">
        <v>2</v>
      </c>
      <c r="I62" s="65">
        <v>2</v>
      </c>
      <c r="J62" s="65">
        <v>2</v>
      </c>
      <c r="K62" s="65">
        <v>2</v>
      </c>
      <c r="L62" s="65">
        <v>2</v>
      </c>
      <c r="M62" s="65">
        <v>2</v>
      </c>
      <c r="N62" s="65">
        <v>2</v>
      </c>
      <c r="O62" s="65">
        <v>2</v>
      </c>
      <c r="P62" s="65">
        <v>2</v>
      </c>
      <c r="Q62" s="65">
        <v>2</v>
      </c>
      <c r="R62" s="65">
        <v>2</v>
      </c>
      <c r="S62" s="65">
        <v>2</v>
      </c>
      <c r="T62" s="65">
        <v>2</v>
      </c>
      <c r="U62" s="65">
        <v>2</v>
      </c>
      <c r="V62" s="65">
        <v>2</v>
      </c>
      <c r="W62" s="65">
        <v>2</v>
      </c>
      <c r="X62" s="65">
        <v>2</v>
      </c>
      <c r="Y62" s="65">
        <v>2</v>
      </c>
      <c r="Z62" s="65">
        <v>2</v>
      </c>
      <c r="AA62" s="65">
        <v>2</v>
      </c>
      <c r="AB62" s="65">
        <v>2</v>
      </c>
      <c r="AC62" s="65">
        <v>2</v>
      </c>
      <c r="AD62" s="65">
        <v>2</v>
      </c>
      <c r="AE62" s="65">
        <v>2</v>
      </c>
      <c r="AF62" s="65">
        <v>2</v>
      </c>
      <c r="AG62" s="54">
        <v>15</v>
      </c>
      <c r="AH62" s="47">
        <f t="shared" si="2"/>
        <v>2</v>
      </c>
      <c r="AI62" s="48">
        <f t="shared" si="3"/>
        <v>2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10.1</v>
      </c>
      <c r="C63" s="65">
        <v>10.1</v>
      </c>
      <c r="D63" s="65">
        <v>10.1</v>
      </c>
      <c r="E63" s="65">
        <v>10.1</v>
      </c>
      <c r="F63" s="65">
        <v>10.1</v>
      </c>
      <c r="G63" s="65">
        <v>10.1</v>
      </c>
      <c r="H63" s="65">
        <v>10.1</v>
      </c>
      <c r="I63" s="65">
        <v>10.1</v>
      </c>
      <c r="J63" s="65">
        <v>10.1</v>
      </c>
      <c r="K63" s="65">
        <v>10.1</v>
      </c>
      <c r="L63" s="65">
        <v>10.1</v>
      </c>
      <c r="M63" s="65">
        <v>10.1</v>
      </c>
      <c r="N63" s="65">
        <v>10.1</v>
      </c>
      <c r="O63" s="65">
        <v>10.1</v>
      </c>
      <c r="P63" s="65">
        <v>10.1</v>
      </c>
      <c r="Q63" s="65">
        <v>10.1</v>
      </c>
      <c r="R63" s="65">
        <v>10.1</v>
      </c>
      <c r="S63" s="65">
        <v>10.1</v>
      </c>
      <c r="T63" s="65">
        <v>10.1</v>
      </c>
      <c r="U63" s="65">
        <v>10.1</v>
      </c>
      <c r="V63" s="65">
        <v>10.1</v>
      </c>
      <c r="W63" s="65">
        <v>10.1</v>
      </c>
      <c r="X63" s="65">
        <v>10.1</v>
      </c>
      <c r="Y63" s="65">
        <v>10.1</v>
      </c>
      <c r="Z63" s="65">
        <v>10.1</v>
      </c>
      <c r="AA63" s="65">
        <v>10.1</v>
      </c>
      <c r="AB63" s="65">
        <v>10.1</v>
      </c>
      <c r="AC63" s="65">
        <v>10.1</v>
      </c>
      <c r="AD63" s="65">
        <v>10.1</v>
      </c>
      <c r="AE63" s="65">
        <v>10.1</v>
      </c>
      <c r="AF63" s="65">
        <v>10.1</v>
      </c>
      <c r="AG63" s="54">
        <v>14.1</v>
      </c>
      <c r="AH63" s="47">
        <f t="shared" si="2"/>
        <v>10.1</v>
      </c>
      <c r="AI63" s="48">
        <f t="shared" si="3"/>
        <v>10.1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13.6</v>
      </c>
      <c r="C64" s="65">
        <v>13.5</v>
      </c>
      <c r="D64" s="65">
        <v>11.8</v>
      </c>
      <c r="E64" s="65">
        <v>11.8</v>
      </c>
      <c r="F64" s="65">
        <v>11.8</v>
      </c>
      <c r="G64" s="65">
        <v>11.8</v>
      </c>
      <c r="H64" s="65">
        <v>10.4</v>
      </c>
      <c r="I64" s="65">
        <v>10.4</v>
      </c>
      <c r="J64" s="65">
        <v>10.4</v>
      </c>
      <c r="K64" s="65">
        <v>7.2</v>
      </c>
      <c r="L64" s="65">
        <v>7.2</v>
      </c>
      <c r="M64" s="65">
        <v>7.2</v>
      </c>
      <c r="N64" s="65">
        <v>7.2</v>
      </c>
      <c r="O64" s="65">
        <v>7.2</v>
      </c>
      <c r="P64" s="65">
        <v>7.2</v>
      </c>
      <c r="Q64" s="65">
        <v>7.2</v>
      </c>
      <c r="R64" s="65">
        <v>7.2</v>
      </c>
      <c r="S64" s="65">
        <v>7.2</v>
      </c>
      <c r="T64" s="65">
        <v>7.2</v>
      </c>
      <c r="U64" s="65">
        <v>7.2</v>
      </c>
      <c r="V64" s="65">
        <v>7.2</v>
      </c>
      <c r="W64" s="65">
        <v>7.2</v>
      </c>
      <c r="X64" s="65">
        <v>7.2</v>
      </c>
      <c r="Y64" s="65">
        <v>7.2</v>
      </c>
      <c r="Z64" s="65">
        <v>7.2</v>
      </c>
      <c r="AA64" s="65">
        <v>7.2</v>
      </c>
      <c r="AB64" s="65">
        <v>7.2</v>
      </c>
      <c r="AC64" s="65">
        <v>7.2</v>
      </c>
      <c r="AD64" s="65">
        <v>7.2</v>
      </c>
      <c r="AE64" s="65">
        <v>7.2</v>
      </c>
      <c r="AF64" s="65">
        <v>7.2</v>
      </c>
      <c r="AG64" s="54">
        <v>14</v>
      </c>
      <c r="AH64" s="47">
        <f t="shared" si="2"/>
        <v>13.6</v>
      </c>
      <c r="AI64" s="48">
        <f t="shared" si="3"/>
        <v>7.2</v>
      </c>
      <c r="AK64" s="49"/>
    </row>
    <row r="65" spans="1:40" x14ac:dyDescent="0.25">
      <c r="A65" s="53" t="s">
        <v>71</v>
      </c>
      <c r="B65" s="65">
        <v>3.8</v>
      </c>
      <c r="C65" s="65">
        <v>4.8</v>
      </c>
      <c r="D65" s="65">
        <v>4.8</v>
      </c>
      <c r="E65" s="65">
        <v>4.8</v>
      </c>
      <c r="F65" s="65">
        <v>4.8</v>
      </c>
      <c r="G65" s="65">
        <v>4.8</v>
      </c>
      <c r="H65" s="65">
        <v>4.8</v>
      </c>
      <c r="I65" s="65">
        <v>4.8</v>
      </c>
      <c r="J65" s="65">
        <v>4.8</v>
      </c>
      <c r="K65" s="65">
        <v>4.8</v>
      </c>
      <c r="L65" s="65">
        <v>4.8</v>
      </c>
      <c r="M65" s="65">
        <v>4.8</v>
      </c>
      <c r="N65" s="65">
        <v>4.8</v>
      </c>
      <c r="O65" s="65">
        <v>4.8</v>
      </c>
      <c r="P65" s="65">
        <v>4.8</v>
      </c>
      <c r="Q65" s="65">
        <v>4.8</v>
      </c>
      <c r="R65" s="65">
        <v>4.8</v>
      </c>
      <c r="S65" s="65">
        <v>4.8</v>
      </c>
      <c r="T65" s="65">
        <v>6.8</v>
      </c>
      <c r="U65" s="65">
        <v>6.8</v>
      </c>
      <c r="V65" s="65">
        <v>6.8</v>
      </c>
      <c r="W65" s="65">
        <v>6.8</v>
      </c>
      <c r="X65" s="65">
        <v>6.8</v>
      </c>
      <c r="Y65" s="65">
        <v>6.8</v>
      </c>
      <c r="Z65" s="65">
        <v>6.8</v>
      </c>
      <c r="AA65" s="65">
        <v>6.8</v>
      </c>
      <c r="AB65" s="65">
        <v>6.8</v>
      </c>
      <c r="AC65" s="65">
        <v>6.8</v>
      </c>
      <c r="AD65" s="65">
        <v>6.8</v>
      </c>
      <c r="AE65" s="65">
        <v>6.8</v>
      </c>
      <c r="AF65" s="65">
        <v>6.8</v>
      </c>
      <c r="AG65" s="54">
        <v>10.050000000000001</v>
      </c>
      <c r="AH65" s="47">
        <f t="shared" si="2"/>
        <v>6.8</v>
      </c>
      <c r="AI65" s="48">
        <f t="shared" si="3"/>
        <v>3.8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>SUM(B55:B67)</f>
        <v>298.04000000000008</v>
      </c>
      <c r="C68" s="60">
        <f t="shared" ref="C68:AG68" si="6">SUM(C55:C67)</f>
        <v>312.6400000000001</v>
      </c>
      <c r="D68" s="60">
        <f t="shared" si="6"/>
        <v>310.04000000000002</v>
      </c>
      <c r="E68" s="60">
        <f t="shared" si="6"/>
        <v>299.24000000000007</v>
      </c>
      <c r="F68" s="60">
        <f t="shared" si="6"/>
        <v>322.14000000000004</v>
      </c>
      <c r="G68" s="60">
        <f t="shared" si="6"/>
        <v>324.64000000000004</v>
      </c>
      <c r="H68" s="60">
        <f t="shared" si="6"/>
        <v>325.84000000000003</v>
      </c>
      <c r="I68" s="60">
        <f t="shared" si="6"/>
        <v>334.84000000000003</v>
      </c>
      <c r="J68" s="60">
        <f t="shared" si="6"/>
        <v>345.34</v>
      </c>
      <c r="K68" s="60">
        <f t="shared" si="6"/>
        <v>337.24000000000007</v>
      </c>
      <c r="L68" s="60">
        <f t="shared" si="6"/>
        <v>322.84000000000009</v>
      </c>
      <c r="M68" s="60">
        <f t="shared" si="6"/>
        <v>316.24000000000007</v>
      </c>
      <c r="N68" s="60">
        <f t="shared" si="6"/>
        <v>325.44</v>
      </c>
      <c r="O68" s="60">
        <f t="shared" si="6"/>
        <v>325.64000000000004</v>
      </c>
      <c r="P68" s="60">
        <f t="shared" si="6"/>
        <v>350.44000000000005</v>
      </c>
      <c r="Q68" s="60">
        <f t="shared" si="6"/>
        <v>350.44000000000005</v>
      </c>
      <c r="R68" s="60">
        <f t="shared" si="6"/>
        <v>406.74</v>
      </c>
      <c r="S68" s="60">
        <f t="shared" si="6"/>
        <v>385.84000000000003</v>
      </c>
      <c r="T68" s="60">
        <f t="shared" si="6"/>
        <v>409.04</v>
      </c>
      <c r="U68" s="60">
        <f t="shared" si="6"/>
        <v>405.84000000000003</v>
      </c>
      <c r="V68" s="60">
        <f t="shared" si="6"/>
        <v>375.74</v>
      </c>
      <c r="W68" s="60">
        <f t="shared" si="6"/>
        <v>357.74000000000007</v>
      </c>
      <c r="X68" s="60">
        <f t="shared" si="6"/>
        <v>356.14000000000004</v>
      </c>
      <c r="Y68" s="60">
        <f t="shared" si="6"/>
        <v>340.24000000000007</v>
      </c>
      <c r="Z68" s="60">
        <f t="shared" si="6"/>
        <v>394.14000000000004</v>
      </c>
      <c r="AA68" s="60">
        <f t="shared" si="6"/>
        <v>394.14000000000004</v>
      </c>
      <c r="AB68" s="60">
        <f t="shared" si="6"/>
        <v>403.84000000000003</v>
      </c>
      <c r="AC68" s="60">
        <f t="shared" si="6"/>
        <v>403.84000000000003</v>
      </c>
      <c r="AD68" s="60">
        <f t="shared" si="6"/>
        <v>397.84000000000003</v>
      </c>
      <c r="AE68" s="60">
        <f t="shared" si="6"/>
        <v>364.84000000000003</v>
      </c>
      <c r="AF68" s="60">
        <f t="shared" si="6"/>
        <v>350.24000000000007</v>
      </c>
      <c r="AG68" s="61">
        <f t="shared" si="6"/>
        <v>489.91</v>
      </c>
      <c r="AH68" s="47">
        <f t="shared" si="2"/>
        <v>409.04</v>
      </c>
      <c r="AI68" s="48">
        <f t="shared" si="3"/>
        <v>298.04000000000008</v>
      </c>
      <c r="AK68" s="49"/>
    </row>
    <row r="69" spans="1:40" x14ac:dyDescent="0.25">
      <c r="A69" s="44" t="s">
        <v>75</v>
      </c>
      <c r="B69" s="45">
        <v>40</v>
      </c>
      <c r="C69" s="45">
        <v>20</v>
      </c>
      <c r="D69" s="45">
        <v>30</v>
      </c>
      <c r="E69" s="45">
        <v>30</v>
      </c>
      <c r="F69" s="45">
        <v>14</v>
      </c>
      <c r="G69" s="45">
        <v>14</v>
      </c>
      <c r="H69" s="45">
        <v>14</v>
      </c>
      <c r="I69" s="45">
        <v>25</v>
      </c>
      <c r="J69" s="45">
        <v>25</v>
      </c>
      <c r="K69" s="45">
        <v>14</v>
      </c>
      <c r="L69" s="45">
        <v>14</v>
      </c>
      <c r="M69" s="45">
        <v>14</v>
      </c>
      <c r="N69" s="45">
        <v>30</v>
      </c>
      <c r="O69" s="45">
        <v>30</v>
      </c>
      <c r="P69" s="45">
        <v>40</v>
      </c>
      <c r="Q69" s="45">
        <v>60</v>
      </c>
      <c r="R69" s="45">
        <v>60</v>
      </c>
      <c r="S69" s="45">
        <v>60</v>
      </c>
      <c r="T69" s="45">
        <v>50</v>
      </c>
      <c r="U69" s="45">
        <v>30</v>
      </c>
      <c r="V69" s="45">
        <v>14</v>
      </c>
      <c r="W69" s="45">
        <v>10</v>
      </c>
      <c r="X69" s="45">
        <v>0</v>
      </c>
      <c r="Y69" s="45">
        <v>0</v>
      </c>
      <c r="Z69" s="45">
        <v>0</v>
      </c>
      <c r="AA69" s="45">
        <v>0</v>
      </c>
      <c r="AB69" s="45">
        <v>20</v>
      </c>
      <c r="AC69" s="45">
        <v>30</v>
      </c>
      <c r="AD69" s="45">
        <v>40</v>
      </c>
      <c r="AE69" s="45">
        <v>20</v>
      </c>
      <c r="AF69" s="45">
        <v>34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65">
        <v>19.3</v>
      </c>
      <c r="C70" s="45">
        <v>12</v>
      </c>
      <c r="D70" s="65">
        <v>14.6</v>
      </c>
      <c r="E70" s="65">
        <v>14.8</v>
      </c>
      <c r="F70" s="65">
        <v>14.7</v>
      </c>
      <c r="G70" s="65">
        <v>7</v>
      </c>
      <c r="H70" s="65">
        <v>4.9000000000000004</v>
      </c>
      <c r="I70" s="65">
        <v>12.7</v>
      </c>
      <c r="J70" s="65">
        <v>12.6</v>
      </c>
      <c r="K70" s="65">
        <v>9.4</v>
      </c>
      <c r="L70" s="65">
        <v>5.5</v>
      </c>
      <c r="M70" s="65">
        <v>5.5</v>
      </c>
      <c r="N70" s="65">
        <v>10</v>
      </c>
      <c r="O70" s="65">
        <v>15</v>
      </c>
      <c r="P70" s="65">
        <v>29</v>
      </c>
      <c r="Q70" s="65">
        <v>30</v>
      </c>
      <c r="R70" s="65">
        <v>30</v>
      </c>
      <c r="S70" s="65">
        <v>30</v>
      </c>
      <c r="T70" s="65">
        <v>27.1</v>
      </c>
      <c r="U70" s="65">
        <v>13.9</v>
      </c>
      <c r="V70" s="65">
        <v>7.9</v>
      </c>
      <c r="W70" s="65">
        <v>6</v>
      </c>
      <c r="X70" s="65">
        <v>0</v>
      </c>
      <c r="Y70" s="65">
        <v>0</v>
      </c>
      <c r="Z70" s="65">
        <v>0</v>
      </c>
      <c r="AA70" s="65">
        <v>0</v>
      </c>
      <c r="AB70" s="65">
        <v>10.8</v>
      </c>
      <c r="AC70" s="65">
        <v>14</v>
      </c>
      <c r="AD70" s="65">
        <v>22.7</v>
      </c>
      <c r="AE70" s="65">
        <v>9.4</v>
      </c>
      <c r="AF70" s="65">
        <v>16.100000000000001</v>
      </c>
      <c r="AG70" s="54">
        <v>32</v>
      </c>
      <c r="AH70" s="47">
        <f t="shared" si="2"/>
        <v>30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67">
        <v>7</v>
      </c>
      <c r="C71" s="45">
        <v>4.4000000000000004</v>
      </c>
      <c r="D71" s="67">
        <v>5.3</v>
      </c>
      <c r="E71" s="67">
        <v>5.2</v>
      </c>
      <c r="F71" s="67">
        <v>5.4</v>
      </c>
      <c r="G71" s="67">
        <v>3</v>
      </c>
      <c r="H71" s="67">
        <v>1.8</v>
      </c>
      <c r="I71" s="67">
        <v>4.5999999999999996</v>
      </c>
      <c r="J71" s="67">
        <v>4.5999999999999996</v>
      </c>
      <c r="K71" s="67">
        <v>3.3</v>
      </c>
      <c r="L71" s="67">
        <v>2</v>
      </c>
      <c r="M71" s="67">
        <v>2</v>
      </c>
      <c r="N71" s="67">
        <v>3.3</v>
      </c>
      <c r="O71" s="67">
        <v>5.4</v>
      </c>
      <c r="P71" s="67">
        <v>8</v>
      </c>
      <c r="Q71" s="67">
        <v>10.7</v>
      </c>
      <c r="R71" s="67">
        <v>10.7</v>
      </c>
      <c r="S71" s="67">
        <v>10.7</v>
      </c>
      <c r="T71" s="67">
        <v>10</v>
      </c>
      <c r="U71" s="67">
        <v>5.0999999999999996</v>
      </c>
      <c r="V71" s="67">
        <v>2.9</v>
      </c>
      <c r="W71" s="67">
        <v>2.2000000000000002</v>
      </c>
      <c r="X71" s="67">
        <v>0</v>
      </c>
      <c r="Y71" s="67">
        <v>0</v>
      </c>
      <c r="Z71" s="67">
        <v>0</v>
      </c>
      <c r="AA71" s="67">
        <v>0</v>
      </c>
      <c r="AB71" s="67">
        <v>3.9</v>
      </c>
      <c r="AC71" s="67">
        <v>5</v>
      </c>
      <c r="AD71" s="67">
        <v>8.3000000000000007</v>
      </c>
      <c r="AE71" s="67">
        <v>3.4</v>
      </c>
      <c r="AF71" s="67">
        <v>5.9</v>
      </c>
      <c r="AG71" s="68">
        <v>14</v>
      </c>
      <c r="AH71" s="47">
        <f t="shared" si="2"/>
        <v>10.7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 t="shared" ref="B72:L72" si="7">B69+B70+B71</f>
        <v>66.3</v>
      </c>
      <c r="C72" s="60">
        <f t="shared" si="7"/>
        <v>36.4</v>
      </c>
      <c r="D72" s="60">
        <f t="shared" si="7"/>
        <v>49.9</v>
      </c>
      <c r="E72" s="60">
        <f t="shared" si="7"/>
        <v>50</v>
      </c>
      <c r="F72" s="60">
        <f t="shared" si="7"/>
        <v>34.1</v>
      </c>
      <c r="G72" s="60">
        <f t="shared" si="7"/>
        <v>24</v>
      </c>
      <c r="H72" s="60">
        <f t="shared" si="7"/>
        <v>20.7</v>
      </c>
      <c r="I72" s="60">
        <f t="shared" si="7"/>
        <v>42.300000000000004</v>
      </c>
      <c r="J72" s="60">
        <f t="shared" si="7"/>
        <v>42.2</v>
      </c>
      <c r="K72" s="60">
        <f t="shared" si="7"/>
        <v>26.7</v>
      </c>
      <c r="L72" s="60">
        <f t="shared" si="7"/>
        <v>21.5</v>
      </c>
      <c r="M72" s="60">
        <f t="shared" ref="M72:AF72" si="8">M69+M70+M71</f>
        <v>21.5</v>
      </c>
      <c r="N72" s="60">
        <f t="shared" si="8"/>
        <v>43.3</v>
      </c>
      <c r="O72" s="60">
        <f t="shared" si="8"/>
        <v>50.4</v>
      </c>
      <c r="P72" s="60">
        <f t="shared" si="8"/>
        <v>77</v>
      </c>
      <c r="Q72" s="60">
        <f t="shared" si="8"/>
        <v>100.7</v>
      </c>
      <c r="R72" s="60">
        <f t="shared" si="8"/>
        <v>100.7</v>
      </c>
      <c r="S72" s="60">
        <f t="shared" si="8"/>
        <v>100.7</v>
      </c>
      <c r="T72" s="60">
        <f t="shared" si="8"/>
        <v>87.1</v>
      </c>
      <c r="U72" s="60">
        <f t="shared" si="8"/>
        <v>49</v>
      </c>
      <c r="V72" s="60">
        <f t="shared" si="8"/>
        <v>24.799999999999997</v>
      </c>
      <c r="W72" s="60">
        <f t="shared" si="8"/>
        <v>18.2</v>
      </c>
      <c r="X72" s="60">
        <f t="shared" si="8"/>
        <v>0</v>
      </c>
      <c r="Y72" s="60">
        <f t="shared" si="8"/>
        <v>0</v>
      </c>
      <c r="Z72" s="60">
        <f t="shared" si="8"/>
        <v>0</v>
      </c>
      <c r="AA72" s="60">
        <f t="shared" si="8"/>
        <v>0</v>
      </c>
      <c r="AB72" s="60">
        <f t="shared" si="8"/>
        <v>34.700000000000003</v>
      </c>
      <c r="AC72" s="60">
        <f t="shared" si="8"/>
        <v>49</v>
      </c>
      <c r="AD72" s="60">
        <f t="shared" si="8"/>
        <v>71</v>
      </c>
      <c r="AE72" s="60">
        <f t="shared" si="8"/>
        <v>32.799999999999997</v>
      </c>
      <c r="AF72" s="60">
        <f t="shared" si="8"/>
        <v>56</v>
      </c>
      <c r="AG72" s="61">
        <f>SUM(AG69:AG71)</f>
        <v>106</v>
      </c>
      <c r="AH72" s="47">
        <f t="shared" si="2"/>
        <v>100.7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55.2</v>
      </c>
      <c r="C73" s="45">
        <v>50.3</v>
      </c>
      <c r="D73" s="45">
        <v>60.2</v>
      </c>
      <c r="E73" s="45">
        <v>62.4</v>
      </c>
      <c r="F73" s="45">
        <v>55.2</v>
      </c>
      <c r="G73" s="45">
        <v>45</v>
      </c>
      <c r="H73" s="45">
        <v>37</v>
      </c>
      <c r="I73" s="45">
        <v>44</v>
      </c>
      <c r="J73" s="45">
        <v>49.3</v>
      </c>
      <c r="K73" s="45">
        <v>48.2</v>
      </c>
      <c r="L73" s="45">
        <v>47</v>
      </c>
      <c r="M73" s="45">
        <v>59.2</v>
      </c>
      <c r="N73" s="45">
        <v>69.7</v>
      </c>
      <c r="O73" s="45">
        <v>60.7</v>
      </c>
      <c r="P73" s="45">
        <v>66.3</v>
      </c>
      <c r="Q73" s="45">
        <v>56.3</v>
      </c>
      <c r="R73" s="45">
        <v>52.4</v>
      </c>
      <c r="S73" s="45">
        <v>61</v>
      </c>
      <c r="T73" s="45">
        <v>57</v>
      </c>
      <c r="U73" s="45">
        <v>58.5</v>
      </c>
      <c r="V73" s="45">
        <v>64.400000000000006</v>
      </c>
      <c r="W73" s="45">
        <v>54.9</v>
      </c>
      <c r="X73" s="45">
        <v>56.7</v>
      </c>
      <c r="Y73" s="45">
        <v>40</v>
      </c>
      <c r="Z73" s="45">
        <v>46.6</v>
      </c>
      <c r="AA73" s="45">
        <v>46.6</v>
      </c>
      <c r="AB73" s="45">
        <v>58</v>
      </c>
      <c r="AC73" s="45">
        <v>46</v>
      </c>
      <c r="AD73" s="45">
        <v>48</v>
      </c>
      <c r="AE73" s="45">
        <v>66.3</v>
      </c>
      <c r="AF73" s="45">
        <v>56.1</v>
      </c>
      <c r="AG73" s="51"/>
      <c r="AH73" s="47">
        <f t="shared" si="2"/>
        <v>69.7</v>
      </c>
      <c r="AI73" s="48">
        <f t="shared" si="3"/>
        <v>37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93.4</v>
      </c>
      <c r="S74" s="65">
        <v>104</v>
      </c>
      <c r="T74" s="65">
        <v>105</v>
      </c>
      <c r="U74" s="65">
        <v>108.8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72</v>
      </c>
      <c r="AC74" s="65">
        <v>92</v>
      </c>
      <c r="AD74" s="65">
        <v>0</v>
      </c>
      <c r="AE74" s="65">
        <v>0</v>
      </c>
      <c r="AF74" s="65">
        <v>0</v>
      </c>
      <c r="AG74" s="54"/>
      <c r="AH74" s="47">
        <f t="shared" si="2"/>
        <v>108.8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14</v>
      </c>
      <c r="C75" s="65">
        <v>54</v>
      </c>
      <c r="D75" s="65">
        <v>65.3</v>
      </c>
      <c r="E75" s="65">
        <v>97.5</v>
      </c>
      <c r="F75" s="65">
        <v>213.8</v>
      </c>
      <c r="G75" s="65">
        <v>232</v>
      </c>
      <c r="H75" s="65">
        <v>243.9</v>
      </c>
      <c r="I75" s="65">
        <v>245</v>
      </c>
      <c r="J75" s="65">
        <v>283</v>
      </c>
      <c r="K75" s="65">
        <v>280</v>
      </c>
      <c r="L75" s="65">
        <v>323.10000000000002</v>
      </c>
      <c r="M75" s="65">
        <v>363</v>
      </c>
      <c r="N75" s="65">
        <v>320</v>
      </c>
      <c r="O75" s="65">
        <v>324</v>
      </c>
      <c r="P75" s="65">
        <v>303</v>
      </c>
      <c r="Q75" s="65">
        <v>328</v>
      </c>
      <c r="R75" s="65">
        <v>335</v>
      </c>
      <c r="S75" s="65">
        <v>330</v>
      </c>
      <c r="T75" s="65">
        <v>330</v>
      </c>
      <c r="U75" s="65">
        <v>337</v>
      </c>
      <c r="V75" s="65">
        <v>226.6</v>
      </c>
      <c r="W75" s="65">
        <v>189.6</v>
      </c>
      <c r="X75" s="65">
        <v>203</v>
      </c>
      <c r="Y75" s="65">
        <v>275</v>
      </c>
      <c r="Z75" s="65">
        <v>236</v>
      </c>
      <c r="AA75" s="65">
        <v>236</v>
      </c>
      <c r="AB75" s="65">
        <v>5</v>
      </c>
      <c r="AC75" s="65">
        <v>50</v>
      </c>
      <c r="AD75" s="65">
        <v>0</v>
      </c>
      <c r="AE75" s="65">
        <v>3</v>
      </c>
      <c r="AF75" s="65">
        <v>5</v>
      </c>
      <c r="AG75" s="75"/>
      <c r="AH75" s="47">
        <f t="shared" si="2"/>
        <v>363</v>
      </c>
      <c r="AI75" s="48">
        <f t="shared" si="3"/>
        <v>0</v>
      </c>
      <c r="AK75" s="49"/>
    </row>
    <row r="76" spans="1:40" x14ac:dyDescent="0.25">
      <c r="A76" s="53" t="s">
        <v>82</v>
      </c>
      <c r="B76" s="65">
        <v>38.5</v>
      </c>
      <c r="C76" s="65">
        <v>39.6</v>
      </c>
      <c r="D76" s="65">
        <v>35.299999999999997</v>
      </c>
      <c r="E76" s="76">
        <v>36.700000000000003</v>
      </c>
      <c r="F76" s="76">
        <v>37</v>
      </c>
      <c r="G76" s="76">
        <v>36</v>
      </c>
      <c r="H76" s="76">
        <v>32</v>
      </c>
      <c r="I76" s="76">
        <v>33</v>
      </c>
      <c r="J76" s="76">
        <v>31.7</v>
      </c>
      <c r="K76" s="76">
        <v>32</v>
      </c>
      <c r="L76" s="76">
        <v>35</v>
      </c>
      <c r="M76" s="76">
        <v>38</v>
      </c>
      <c r="N76" s="76">
        <v>24.7</v>
      </c>
      <c r="O76" s="76">
        <v>32</v>
      </c>
      <c r="P76" s="76">
        <v>40</v>
      </c>
      <c r="Q76" s="76">
        <v>12</v>
      </c>
      <c r="R76" s="76">
        <v>12</v>
      </c>
      <c r="S76" s="76">
        <v>13</v>
      </c>
      <c r="T76" s="76">
        <v>13</v>
      </c>
      <c r="U76" s="76">
        <v>13</v>
      </c>
      <c r="V76" s="76">
        <v>13</v>
      </c>
      <c r="W76" s="76">
        <v>13</v>
      </c>
      <c r="X76" s="76">
        <v>13</v>
      </c>
      <c r="Y76" s="76">
        <v>13</v>
      </c>
      <c r="Z76" s="76">
        <v>13</v>
      </c>
      <c r="AA76" s="76">
        <v>13</v>
      </c>
      <c r="AB76" s="76">
        <v>13</v>
      </c>
      <c r="AC76" s="76">
        <v>13</v>
      </c>
      <c r="AD76" s="76">
        <v>13</v>
      </c>
      <c r="AE76" s="76">
        <v>13</v>
      </c>
      <c r="AF76" s="76">
        <v>13</v>
      </c>
      <c r="AG76" s="75"/>
      <c r="AH76" s="47">
        <f t="shared" si="2"/>
        <v>40</v>
      </c>
      <c r="AI76" s="48">
        <f t="shared" si="3"/>
        <v>12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6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19.100000000000001</v>
      </c>
      <c r="P77" s="45">
        <v>19.100000000000001</v>
      </c>
      <c r="Q77" s="45">
        <v>36</v>
      </c>
      <c r="R77" s="45">
        <v>34.5</v>
      </c>
      <c r="S77" s="45">
        <v>32.9</v>
      </c>
      <c r="T77" s="45">
        <v>27.5</v>
      </c>
      <c r="U77" s="45">
        <v>24.4</v>
      </c>
      <c r="V77" s="45">
        <v>23.9</v>
      </c>
      <c r="W77" s="45">
        <v>24.74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9">MAX(B77:AF77)</f>
        <v>36</v>
      </c>
      <c r="AI77" s="48">
        <f t="shared" ref="AI77:AI120" si="10">MIN(B77:AF77)</f>
        <v>0</v>
      </c>
      <c r="AK77" s="49"/>
    </row>
    <row r="78" spans="1:40" x14ac:dyDescent="0.25">
      <c r="A78" s="53" t="s">
        <v>84</v>
      </c>
      <c r="B78" s="77">
        <v>5</v>
      </c>
      <c r="C78" s="77">
        <v>5</v>
      </c>
      <c r="D78" s="65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0</v>
      </c>
      <c r="AA78" s="77">
        <v>0</v>
      </c>
      <c r="AB78" s="77">
        <v>0</v>
      </c>
      <c r="AC78" s="77">
        <v>0</v>
      </c>
      <c r="AD78" s="77">
        <v>5</v>
      </c>
      <c r="AE78" s="77">
        <v>5</v>
      </c>
      <c r="AF78" s="77">
        <v>5</v>
      </c>
      <c r="AG78" s="75"/>
      <c r="AH78" s="47">
        <f t="shared" si="9"/>
        <v>5</v>
      </c>
      <c r="AI78" s="48">
        <f t="shared" si="10"/>
        <v>0</v>
      </c>
      <c r="AK78" s="49"/>
    </row>
    <row r="79" spans="1:40" ht="15.75" thickBot="1" x14ac:dyDescent="0.3">
      <c r="A79" s="53" t="s">
        <v>85</v>
      </c>
      <c r="B79" s="77">
        <v>5</v>
      </c>
      <c r="C79" s="77">
        <v>5</v>
      </c>
      <c r="D79" s="65">
        <v>5</v>
      </c>
      <c r="E79" s="77">
        <v>5</v>
      </c>
      <c r="F79" s="77">
        <v>5</v>
      </c>
      <c r="G79" s="77">
        <v>5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5</v>
      </c>
      <c r="AE79" s="77">
        <v>5</v>
      </c>
      <c r="AF79" s="77">
        <v>5</v>
      </c>
      <c r="AG79" s="75"/>
      <c r="AH79" s="47">
        <f t="shared" si="9"/>
        <v>5</v>
      </c>
      <c r="AI79" s="48">
        <f t="shared" si="10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77">
        <v>0</v>
      </c>
      <c r="C80" s="77">
        <v>0</v>
      </c>
      <c r="D80" s="65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9"/>
        <v>0</v>
      </c>
      <c r="AI80" s="48">
        <f t="shared" si="10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77">
        <v>4</v>
      </c>
      <c r="C81" s="77">
        <v>4</v>
      </c>
      <c r="D81" s="65">
        <v>4</v>
      </c>
      <c r="E81" s="77">
        <v>4</v>
      </c>
      <c r="F81" s="77">
        <v>4</v>
      </c>
      <c r="G81" s="77">
        <v>4</v>
      </c>
      <c r="H81" s="77">
        <v>4</v>
      </c>
      <c r="I81" s="77">
        <v>4</v>
      </c>
      <c r="J81" s="77">
        <v>4</v>
      </c>
      <c r="K81" s="77">
        <v>4</v>
      </c>
      <c r="L81" s="77">
        <v>4</v>
      </c>
      <c r="M81" s="77">
        <v>4</v>
      </c>
      <c r="N81" s="77">
        <v>4</v>
      </c>
      <c r="O81" s="77">
        <v>4</v>
      </c>
      <c r="P81" s="77">
        <v>4</v>
      </c>
      <c r="Q81" s="77">
        <v>4</v>
      </c>
      <c r="R81" s="77">
        <v>0</v>
      </c>
      <c r="S81" s="77">
        <v>0</v>
      </c>
      <c r="T81" s="77"/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4</v>
      </c>
      <c r="AE81" s="77">
        <v>4</v>
      </c>
      <c r="AF81" s="77">
        <v>4</v>
      </c>
      <c r="AG81" s="75"/>
      <c r="AH81" s="47">
        <f t="shared" si="9"/>
        <v>4</v>
      </c>
      <c r="AI81" s="48">
        <f t="shared" si="10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77">
        <v>0</v>
      </c>
      <c r="C82" s="77">
        <v>0</v>
      </c>
      <c r="D82" s="65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9"/>
        <v>0</v>
      </c>
      <c r="AI82" s="48">
        <f t="shared" si="10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77">
        <v>0</v>
      </c>
      <c r="C83" s="77">
        <v>0</v>
      </c>
      <c r="D83" s="65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9"/>
        <v>0</v>
      </c>
      <c r="AI83" s="48">
        <f t="shared" si="10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>SUMIF(B73:B83,"&gt;0")</f>
        <v>121.7</v>
      </c>
      <c r="C84" s="60">
        <f t="shared" ref="C84:AF84" si="11">SUMIF(C73:C83,"&gt;0")</f>
        <v>157.9</v>
      </c>
      <c r="D84" s="60">
        <f t="shared" si="11"/>
        <v>174.8</v>
      </c>
      <c r="E84" s="60">
        <f t="shared" si="11"/>
        <v>210.60000000000002</v>
      </c>
      <c r="F84" s="60">
        <f t="shared" si="11"/>
        <v>320</v>
      </c>
      <c r="G84" s="60">
        <f t="shared" si="11"/>
        <v>327</v>
      </c>
      <c r="H84" s="60">
        <f t="shared" si="11"/>
        <v>321.89999999999998</v>
      </c>
      <c r="I84" s="60">
        <f t="shared" si="11"/>
        <v>331</v>
      </c>
      <c r="J84" s="60">
        <f t="shared" si="11"/>
        <v>373</v>
      </c>
      <c r="K84" s="60">
        <f t="shared" si="11"/>
        <v>369.2</v>
      </c>
      <c r="L84" s="60">
        <f t="shared" si="11"/>
        <v>414.1</v>
      </c>
      <c r="M84" s="60">
        <f t="shared" si="11"/>
        <v>469.2</v>
      </c>
      <c r="N84" s="60">
        <f t="shared" si="11"/>
        <v>423.4</v>
      </c>
      <c r="O84" s="60">
        <f t="shared" si="11"/>
        <v>444.8</v>
      </c>
      <c r="P84" s="60">
        <f t="shared" si="11"/>
        <v>437.40000000000003</v>
      </c>
      <c r="Q84" s="60">
        <f t="shared" si="11"/>
        <v>441.3</v>
      </c>
      <c r="R84" s="60">
        <f t="shared" si="11"/>
        <v>532.29999999999995</v>
      </c>
      <c r="S84" s="60">
        <f t="shared" si="11"/>
        <v>545.9</v>
      </c>
      <c r="T84" s="60">
        <f t="shared" si="11"/>
        <v>537.5</v>
      </c>
      <c r="U84" s="60">
        <f t="shared" si="11"/>
        <v>546.69999999999993</v>
      </c>
      <c r="V84" s="60">
        <f t="shared" si="11"/>
        <v>332.9</v>
      </c>
      <c r="W84" s="60">
        <f t="shared" si="11"/>
        <v>287.24</v>
      </c>
      <c r="X84" s="60">
        <f t="shared" si="11"/>
        <v>277.7</v>
      </c>
      <c r="Y84" s="60">
        <f t="shared" si="11"/>
        <v>333</v>
      </c>
      <c r="Z84" s="60">
        <f t="shared" si="11"/>
        <v>295.60000000000002</v>
      </c>
      <c r="AA84" s="60">
        <f t="shared" si="11"/>
        <v>295.60000000000002</v>
      </c>
      <c r="AB84" s="60">
        <f t="shared" si="11"/>
        <v>148</v>
      </c>
      <c r="AC84" s="60">
        <f t="shared" si="11"/>
        <v>201</v>
      </c>
      <c r="AD84" s="60">
        <f t="shared" si="11"/>
        <v>75</v>
      </c>
      <c r="AE84" s="60">
        <f t="shared" si="11"/>
        <v>96.3</v>
      </c>
      <c r="AF84" s="60">
        <f t="shared" si="11"/>
        <v>88.1</v>
      </c>
      <c r="AG84" s="88">
        <f>SUM(AG73:AG83)</f>
        <v>0</v>
      </c>
      <c r="AH84" s="47">
        <f t="shared" si="9"/>
        <v>546.69999999999993</v>
      </c>
      <c r="AI84" s="48">
        <f t="shared" si="10"/>
        <v>75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9"/>
        <v>0</v>
      </c>
      <c r="AI85" s="48">
        <f t="shared" si="10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9"/>
        <v>0</v>
      </c>
      <c r="AI86" s="48">
        <f t="shared" si="10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9"/>
        <v>0</v>
      </c>
      <c r="AI87" s="48">
        <f t="shared" si="10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9"/>
        <v>0</v>
      </c>
      <c r="AI88" s="48">
        <f t="shared" si="10"/>
        <v>0</v>
      </c>
    </row>
    <row r="89" spans="1:40" ht="15.75" thickBot="1" x14ac:dyDescent="0.3">
      <c r="A89" s="74" t="s">
        <v>98</v>
      </c>
      <c r="B89" s="95">
        <f>B50+B54+B72+B68+B84+B88</f>
        <v>1638.64</v>
      </c>
      <c r="C89" s="95">
        <f t="shared" ref="C89:AG89" si="12">C50+C54+C72+C68+C84+C88</f>
        <v>1655.3400000000004</v>
      </c>
      <c r="D89" s="95">
        <f t="shared" si="12"/>
        <v>1661.0400000000002</v>
      </c>
      <c r="E89" s="95">
        <f t="shared" si="12"/>
        <v>1688.1400000000003</v>
      </c>
      <c r="F89" s="95">
        <f t="shared" si="12"/>
        <v>1604.5400000000002</v>
      </c>
      <c r="G89" s="95">
        <f t="shared" si="12"/>
        <v>1601.94</v>
      </c>
      <c r="H89" s="95">
        <f t="shared" si="12"/>
        <v>1593.7400000000002</v>
      </c>
      <c r="I89" s="95">
        <f t="shared" si="12"/>
        <v>1623.54</v>
      </c>
      <c r="J89" s="95">
        <f t="shared" si="12"/>
        <v>1680.94</v>
      </c>
      <c r="K89" s="95">
        <f t="shared" si="12"/>
        <v>1648.5400000000002</v>
      </c>
      <c r="L89" s="95">
        <f t="shared" si="12"/>
        <v>1643.8400000000001</v>
      </c>
      <c r="M89" s="95">
        <f t="shared" si="12"/>
        <v>1692.3400000000001</v>
      </c>
      <c r="N89" s="95">
        <f t="shared" si="12"/>
        <v>1697.54</v>
      </c>
      <c r="O89" s="95">
        <f t="shared" si="12"/>
        <v>1746.24</v>
      </c>
      <c r="P89" s="95">
        <f t="shared" si="12"/>
        <v>1825.2400000000002</v>
      </c>
      <c r="Q89" s="95">
        <f t="shared" si="12"/>
        <v>1772.8400000000001</v>
      </c>
      <c r="R89" s="95">
        <f t="shared" si="12"/>
        <v>1885.14</v>
      </c>
      <c r="S89" s="95">
        <f t="shared" si="12"/>
        <v>1859.2400000000002</v>
      </c>
      <c r="T89" s="95">
        <f t="shared" si="12"/>
        <v>1865.0400000000002</v>
      </c>
      <c r="U89" s="95">
        <f t="shared" si="12"/>
        <v>1833.94</v>
      </c>
      <c r="V89" s="95">
        <f t="shared" si="12"/>
        <v>1722.8400000000001</v>
      </c>
      <c r="W89" s="95">
        <f t="shared" si="12"/>
        <v>1652.5800000000002</v>
      </c>
      <c r="X89" s="95">
        <f t="shared" si="12"/>
        <v>1632.7400000000002</v>
      </c>
      <c r="Y89" s="95">
        <f t="shared" si="12"/>
        <v>1667.44</v>
      </c>
      <c r="Z89" s="95">
        <f t="shared" si="12"/>
        <v>1694.8400000000001</v>
      </c>
      <c r="AA89" s="95">
        <f t="shared" si="12"/>
        <v>1694.8400000000001</v>
      </c>
      <c r="AB89" s="95">
        <f t="shared" si="12"/>
        <v>1775.6399999999999</v>
      </c>
      <c r="AC89" s="95">
        <f t="shared" si="12"/>
        <v>1842.94</v>
      </c>
      <c r="AD89" s="95">
        <f t="shared" si="12"/>
        <v>1764.44</v>
      </c>
      <c r="AE89" s="95">
        <f t="shared" si="12"/>
        <v>1694.5399999999997</v>
      </c>
      <c r="AF89" s="95">
        <f t="shared" si="12"/>
        <v>1624.9399999999998</v>
      </c>
      <c r="AG89" s="61">
        <f t="shared" si="12"/>
        <v>2111.5500000000002</v>
      </c>
      <c r="AH89" s="47">
        <f t="shared" si="9"/>
        <v>1885.14</v>
      </c>
      <c r="AI89" s="48">
        <f t="shared" si="10"/>
        <v>1593.7400000000002</v>
      </c>
    </row>
    <row r="90" spans="1:40" ht="15.75" thickBot="1" x14ac:dyDescent="0.3">
      <c r="A90" s="96" t="s">
        <v>99</v>
      </c>
      <c r="B90" s="97">
        <v>0</v>
      </c>
      <c r="C90" s="97"/>
      <c r="D90" s="97"/>
      <c r="E90" s="97"/>
      <c r="F90" s="97"/>
      <c r="G90" s="97"/>
      <c r="H90" s="97"/>
      <c r="I90" s="97"/>
      <c r="J90" s="97"/>
      <c r="K90" s="97">
        <v>50</v>
      </c>
      <c r="L90" s="97">
        <v>80</v>
      </c>
      <c r="M90" s="97">
        <v>100</v>
      </c>
      <c r="N90" s="97">
        <v>100</v>
      </c>
      <c r="O90" s="97">
        <v>100</v>
      </c>
      <c r="P90" s="97">
        <v>100</v>
      </c>
      <c r="Q90" s="97">
        <v>175</v>
      </c>
      <c r="R90" s="97">
        <v>50</v>
      </c>
      <c r="S90" s="97">
        <v>50</v>
      </c>
      <c r="T90" s="97">
        <v>50</v>
      </c>
      <c r="U90" s="97">
        <v>50</v>
      </c>
      <c r="V90" s="97">
        <v>50</v>
      </c>
      <c r="W90" s="97">
        <v>110</v>
      </c>
      <c r="X90" s="97">
        <v>150</v>
      </c>
      <c r="Y90" s="97"/>
      <c r="Z90" s="97"/>
      <c r="AA90" s="97"/>
      <c r="AB90" s="97">
        <v>150</v>
      </c>
      <c r="AC90" s="97">
        <v>150</v>
      </c>
      <c r="AD90" s="97">
        <v>150</v>
      </c>
      <c r="AE90" s="97">
        <v>150</v>
      </c>
      <c r="AF90" s="97">
        <v>150</v>
      </c>
      <c r="AG90" s="88"/>
      <c r="AH90" s="47">
        <f t="shared" si="9"/>
        <v>175</v>
      </c>
      <c r="AI90" s="48">
        <f t="shared" si="10"/>
        <v>0</v>
      </c>
    </row>
    <row r="91" spans="1:40" ht="15.75" thickBot="1" x14ac:dyDescent="0.3">
      <c r="A91" s="74" t="s">
        <v>100</v>
      </c>
      <c r="B91" s="95">
        <f>B89+B90</f>
        <v>1638.64</v>
      </c>
      <c r="C91" s="95">
        <f t="shared" ref="C91:AF91" si="13">C89+C90</f>
        <v>1655.3400000000004</v>
      </c>
      <c r="D91" s="95">
        <f t="shared" si="13"/>
        <v>1661.0400000000002</v>
      </c>
      <c r="E91" s="95">
        <f t="shared" si="13"/>
        <v>1688.1400000000003</v>
      </c>
      <c r="F91" s="95">
        <f t="shared" si="13"/>
        <v>1604.5400000000002</v>
      </c>
      <c r="G91" s="95">
        <f t="shared" si="13"/>
        <v>1601.94</v>
      </c>
      <c r="H91" s="95">
        <f t="shared" si="13"/>
        <v>1593.7400000000002</v>
      </c>
      <c r="I91" s="95">
        <f t="shared" si="13"/>
        <v>1623.54</v>
      </c>
      <c r="J91" s="95">
        <f t="shared" si="13"/>
        <v>1680.94</v>
      </c>
      <c r="K91" s="95">
        <f t="shared" si="13"/>
        <v>1698.5400000000002</v>
      </c>
      <c r="L91" s="95">
        <f t="shared" si="13"/>
        <v>1723.8400000000001</v>
      </c>
      <c r="M91" s="95">
        <f t="shared" si="13"/>
        <v>1792.3400000000001</v>
      </c>
      <c r="N91" s="95">
        <f t="shared" si="13"/>
        <v>1797.54</v>
      </c>
      <c r="O91" s="95">
        <f t="shared" si="13"/>
        <v>1846.24</v>
      </c>
      <c r="P91" s="95">
        <f t="shared" si="13"/>
        <v>1925.2400000000002</v>
      </c>
      <c r="Q91" s="95">
        <f t="shared" si="13"/>
        <v>1947.8400000000001</v>
      </c>
      <c r="R91" s="95">
        <f t="shared" si="13"/>
        <v>1935.14</v>
      </c>
      <c r="S91" s="95">
        <f t="shared" si="13"/>
        <v>1909.2400000000002</v>
      </c>
      <c r="T91" s="95">
        <f t="shared" si="13"/>
        <v>1915.0400000000002</v>
      </c>
      <c r="U91" s="95">
        <f t="shared" si="13"/>
        <v>1883.94</v>
      </c>
      <c r="V91" s="95">
        <f t="shared" si="13"/>
        <v>1772.8400000000001</v>
      </c>
      <c r="W91" s="95">
        <f t="shared" si="13"/>
        <v>1762.5800000000002</v>
      </c>
      <c r="X91" s="95">
        <f t="shared" si="13"/>
        <v>1782.7400000000002</v>
      </c>
      <c r="Y91" s="95">
        <f t="shared" si="13"/>
        <v>1667.44</v>
      </c>
      <c r="Z91" s="95">
        <f t="shared" si="13"/>
        <v>1694.8400000000001</v>
      </c>
      <c r="AA91" s="95">
        <f t="shared" si="13"/>
        <v>1694.8400000000001</v>
      </c>
      <c r="AB91" s="95">
        <f t="shared" si="13"/>
        <v>1925.6399999999999</v>
      </c>
      <c r="AC91" s="95">
        <f t="shared" si="13"/>
        <v>1992.94</v>
      </c>
      <c r="AD91" s="95">
        <f t="shared" si="13"/>
        <v>1914.44</v>
      </c>
      <c r="AE91" s="95">
        <f t="shared" si="13"/>
        <v>1844.5399999999997</v>
      </c>
      <c r="AF91" s="95">
        <f t="shared" si="13"/>
        <v>1774.9399999999998</v>
      </c>
      <c r="AG91" s="88">
        <f>AG88+AG84+AG72+AG68+AG50+AG90</f>
        <v>1573.45</v>
      </c>
      <c r="AH91" s="47">
        <f t="shared" si="9"/>
        <v>1992.94</v>
      </c>
      <c r="AI91" s="48">
        <f t="shared" si="10"/>
        <v>1593.7400000000002</v>
      </c>
    </row>
    <row r="92" spans="1:40" ht="15.75" thickBot="1" x14ac:dyDescent="0.3">
      <c r="A92" s="74" t="s">
        <v>101</v>
      </c>
      <c r="B92" s="95">
        <f>B91-B99</f>
        <v>1638.64</v>
      </c>
      <c r="C92" s="95">
        <f t="shared" ref="C92:AF92" si="14">C91-C99</f>
        <v>1655.3400000000004</v>
      </c>
      <c r="D92" s="95">
        <f t="shared" si="14"/>
        <v>1661.0400000000002</v>
      </c>
      <c r="E92" s="95">
        <f t="shared" si="14"/>
        <v>1688.1400000000003</v>
      </c>
      <c r="F92" s="95">
        <f t="shared" si="14"/>
        <v>1604.5400000000002</v>
      </c>
      <c r="G92" s="95">
        <f t="shared" si="14"/>
        <v>1601.94</v>
      </c>
      <c r="H92" s="95">
        <f t="shared" si="14"/>
        <v>1593.7400000000002</v>
      </c>
      <c r="I92" s="95">
        <f t="shared" si="14"/>
        <v>1623.54</v>
      </c>
      <c r="J92" s="95">
        <f t="shared" si="14"/>
        <v>1680.94</v>
      </c>
      <c r="K92" s="95">
        <f t="shared" si="14"/>
        <v>1698.5400000000002</v>
      </c>
      <c r="L92" s="95">
        <f t="shared" si="14"/>
        <v>1723.8400000000001</v>
      </c>
      <c r="M92" s="95">
        <f t="shared" si="14"/>
        <v>1792.3400000000001</v>
      </c>
      <c r="N92" s="95">
        <f t="shared" si="14"/>
        <v>1797.54</v>
      </c>
      <c r="O92" s="95">
        <f t="shared" si="14"/>
        <v>1846.24</v>
      </c>
      <c r="P92" s="95">
        <f t="shared" si="14"/>
        <v>1925.2400000000002</v>
      </c>
      <c r="Q92" s="95">
        <f t="shared" si="14"/>
        <v>1947.8400000000001</v>
      </c>
      <c r="R92" s="95">
        <f t="shared" si="14"/>
        <v>1935.14</v>
      </c>
      <c r="S92" s="95">
        <f t="shared" si="14"/>
        <v>1909.2400000000002</v>
      </c>
      <c r="T92" s="95">
        <f t="shared" si="14"/>
        <v>1915.0400000000002</v>
      </c>
      <c r="U92" s="95">
        <f t="shared" si="14"/>
        <v>1883.94</v>
      </c>
      <c r="V92" s="95">
        <f t="shared" si="14"/>
        <v>1772.8400000000001</v>
      </c>
      <c r="W92" s="95">
        <f t="shared" si="14"/>
        <v>1762.5800000000002</v>
      </c>
      <c r="X92" s="95">
        <f t="shared" si="14"/>
        <v>1782.7400000000002</v>
      </c>
      <c r="Y92" s="95">
        <f t="shared" si="14"/>
        <v>1667.44</v>
      </c>
      <c r="Z92" s="95">
        <f t="shared" si="14"/>
        <v>1694.8400000000001</v>
      </c>
      <c r="AA92" s="95">
        <f t="shared" si="14"/>
        <v>1694.8400000000001</v>
      </c>
      <c r="AB92" s="95">
        <f t="shared" si="14"/>
        <v>1925.6399999999999</v>
      </c>
      <c r="AC92" s="95">
        <f t="shared" si="14"/>
        <v>1992.94</v>
      </c>
      <c r="AD92" s="95">
        <f t="shared" si="14"/>
        <v>1914.44</v>
      </c>
      <c r="AE92" s="95">
        <f t="shared" si="14"/>
        <v>1844.5399999999997</v>
      </c>
      <c r="AF92" s="95">
        <f t="shared" si="14"/>
        <v>1774.9399999999998</v>
      </c>
      <c r="AG92" s="88"/>
      <c r="AH92" s="47">
        <f t="shared" si="9"/>
        <v>1992.94</v>
      </c>
      <c r="AI92" s="48">
        <f t="shared" si="10"/>
        <v>1593.7400000000002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9"/>
        <v>0</v>
      </c>
      <c r="AI93" s="48">
        <f t="shared" si="10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9"/>
        <v>0</v>
      </c>
      <c r="AI94" s="48">
        <f t="shared" si="10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9"/>
        <v>0</v>
      </c>
      <c r="AI95" s="48">
        <f t="shared" si="10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9"/>
        <v>0</v>
      </c>
      <c r="AI96" s="48">
        <f t="shared" si="10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9"/>
        <v>0</v>
      </c>
      <c r="AI97" s="48">
        <f t="shared" si="10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9"/>
        <v>0</v>
      </c>
      <c r="AI98" s="48">
        <f t="shared" si="10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9"/>
        <v>0</v>
      </c>
      <c r="AI99" s="48">
        <f t="shared" si="10"/>
        <v>0</v>
      </c>
      <c r="AK99" s="49"/>
    </row>
    <row r="100" spans="1:37" ht="15.75" thickBot="1" x14ac:dyDescent="0.3">
      <c r="A100" s="74" t="s">
        <v>106</v>
      </c>
      <c r="B100" s="60">
        <f>B84-B99</f>
        <v>121.7</v>
      </c>
      <c r="C100" s="60">
        <f t="shared" ref="C100:AF100" si="15">C84-C99</f>
        <v>157.9</v>
      </c>
      <c r="D100" s="60">
        <f t="shared" si="15"/>
        <v>174.8</v>
      </c>
      <c r="E100" s="60">
        <f t="shared" si="15"/>
        <v>210.60000000000002</v>
      </c>
      <c r="F100" s="60">
        <f t="shared" si="15"/>
        <v>320</v>
      </c>
      <c r="G100" s="60">
        <f t="shared" si="15"/>
        <v>327</v>
      </c>
      <c r="H100" s="60">
        <f t="shared" si="15"/>
        <v>321.89999999999998</v>
      </c>
      <c r="I100" s="60">
        <f t="shared" si="15"/>
        <v>331</v>
      </c>
      <c r="J100" s="60">
        <f t="shared" si="15"/>
        <v>373</v>
      </c>
      <c r="K100" s="60">
        <f t="shared" si="15"/>
        <v>369.2</v>
      </c>
      <c r="L100" s="60">
        <f t="shared" si="15"/>
        <v>414.1</v>
      </c>
      <c r="M100" s="60">
        <f t="shared" si="15"/>
        <v>469.2</v>
      </c>
      <c r="N100" s="60">
        <f t="shared" si="15"/>
        <v>423.4</v>
      </c>
      <c r="O100" s="60">
        <f t="shared" si="15"/>
        <v>444.8</v>
      </c>
      <c r="P100" s="60">
        <f t="shared" si="15"/>
        <v>437.40000000000003</v>
      </c>
      <c r="Q100" s="60">
        <f t="shared" si="15"/>
        <v>441.3</v>
      </c>
      <c r="R100" s="60">
        <f t="shared" si="15"/>
        <v>532.29999999999995</v>
      </c>
      <c r="S100" s="60">
        <f t="shared" si="15"/>
        <v>545.9</v>
      </c>
      <c r="T100" s="60">
        <f t="shared" si="15"/>
        <v>537.5</v>
      </c>
      <c r="U100" s="60">
        <f t="shared" si="15"/>
        <v>546.69999999999993</v>
      </c>
      <c r="V100" s="60">
        <f t="shared" si="15"/>
        <v>332.9</v>
      </c>
      <c r="W100" s="60">
        <f t="shared" si="15"/>
        <v>287.24</v>
      </c>
      <c r="X100" s="60">
        <f t="shared" si="15"/>
        <v>277.7</v>
      </c>
      <c r="Y100" s="60">
        <f t="shared" si="15"/>
        <v>333</v>
      </c>
      <c r="Z100" s="60">
        <f t="shared" si="15"/>
        <v>295.60000000000002</v>
      </c>
      <c r="AA100" s="60">
        <f t="shared" si="15"/>
        <v>295.60000000000002</v>
      </c>
      <c r="AB100" s="60">
        <f t="shared" si="15"/>
        <v>148</v>
      </c>
      <c r="AC100" s="60">
        <f t="shared" si="15"/>
        <v>201</v>
      </c>
      <c r="AD100" s="60">
        <f t="shared" si="15"/>
        <v>75</v>
      </c>
      <c r="AE100" s="60">
        <f t="shared" si="15"/>
        <v>96.3</v>
      </c>
      <c r="AF100" s="60">
        <f t="shared" si="15"/>
        <v>88.1</v>
      </c>
      <c r="AG100" s="88"/>
      <c r="AH100" s="47">
        <f t="shared" si="9"/>
        <v>546.69999999999993</v>
      </c>
      <c r="AI100" s="48">
        <f t="shared" si="10"/>
        <v>75</v>
      </c>
    </row>
    <row r="101" spans="1:37" x14ac:dyDescent="0.25">
      <c r="A101" s="100" t="s">
        <v>107</v>
      </c>
      <c r="B101" s="101">
        <v>49.9</v>
      </c>
      <c r="C101" s="101">
        <v>50</v>
      </c>
      <c r="D101" s="101">
        <v>50.03</v>
      </c>
      <c r="E101" s="101">
        <v>50.094000000000001</v>
      </c>
      <c r="F101" s="101">
        <v>50.055999999999997</v>
      </c>
      <c r="G101" s="101">
        <v>50.055999999999997</v>
      </c>
      <c r="H101" s="101">
        <v>50.018000000000001</v>
      </c>
      <c r="I101" s="101">
        <v>50.091999999999999</v>
      </c>
      <c r="J101" s="101">
        <v>50.036999999999999</v>
      </c>
      <c r="K101" s="101">
        <v>50.048999999999999</v>
      </c>
      <c r="L101" s="101">
        <v>50.003999999999998</v>
      </c>
      <c r="M101" s="101">
        <v>50.133000000000003</v>
      </c>
      <c r="N101" s="101">
        <v>50</v>
      </c>
      <c r="O101" s="101">
        <v>49.972999999999999</v>
      </c>
      <c r="P101" s="101">
        <v>50.128999999999998</v>
      </c>
      <c r="Q101" s="101">
        <v>49.996000000000002</v>
      </c>
      <c r="R101" s="101">
        <v>49.933999999999997</v>
      </c>
      <c r="S101" s="101">
        <v>50.09</v>
      </c>
      <c r="T101" s="101">
        <v>49.887</v>
      </c>
      <c r="U101" s="101">
        <v>49.978000000000002</v>
      </c>
      <c r="V101" s="101">
        <v>50</v>
      </c>
      <c r="W101" s="101">
        <v>49.991</v>
      </c>
      <c r="X101" s="101">
        <v>49.9</v>
      </c>
      <c r="Y101" s="101">
        <v>50.074100000000001</v>
      </c>
      <c r="Z101" s="101">
        <v>49.963000000000001</v>
      </c>
      <c r="AA101" s="101">
        <v>49.963000000000001</v>
      </c>
      <c r="AB101" s="101">
        <v>50.052</v>
      </c>
      <c r="AC101" s="101">
        <v>50.069000000000003</v>
      </c>
      <c r="AD101" s="101">
        <v>50.012999999999998</v>
      </c>
      <c r="AE101" s="101">
        <v>50.012999999999998</v>
      </c>
      <c r="AF101" s="101">
        <v>49.994999999999997</v>
      </c>
      <c r="AG101" s="102"/>
      <c r="AH101" s="47">
        <f t="shared" si="9"/>
        <v>50.133000000000003</v>
      </c>
      <c r="AI101" s="48">
        <f t="shared" si="10"/>
        <v>49.887</v>
      </c>
    </row>
    <row r="102" spans="1:37" x14ac:dyDescent="0.25">
      <c r="A102" s="103" t="s">
        <v>108</v>
      </c>
      <c r="B102" s="65">
        <v>123</v>
      </c>
      <c r="C102" s="65">
        <v>121.7</v>
      </c>
      <c r="D102" s="65">
        <v>123.1</v>
      </c>
      <c r="E102" s="65">
        <v>122.4</v>
      </c>
      <c r="F102" s="65">
        <v>124.6</v>
      </c>
      <c r="G102" s="65">
        <v>124.6</v>
      </c>
      <c r="H102" s="65">
        <v>121.9</v>
      </c>
      <c r="I102" s="65">
        <v>122.4</v>
      </c>
      <c r="J102" s="65">
        <v>122.9</v>
      </c>
      <c r="K102" s="65">
        <v>124.8</v>
      </c>
      <c r="L102" s="65">
        <v>124.4</v>
      </c>
      <c r="M102" s="65">
        <v>121.6</v>
      </c>
      <c r="N102" s="65">
        <v>120.1</v>
      </c>
      <c r="O102" s="65">
        <v>120.8</v>
      </c>
      <c r="P102" s="65">
        <v>122.2</v>
      </c>
      <c r="Q102" s="65">
        <v>122.2</v>
      </c>
      <c r="R102" s="65">
        <v>119.8</v>
      </c>
      <c r="S102" s="65">
        <v>121</v>
      </c>
      <c r="T102" s="65">
        <v>121.7</v>
      </c>
      <c r="U102" s="65">
        <v>121.6</v>
      </c>
      <c r="V102" s="65">
        <v>120.8</v>
      </c>
      <c r="W102" s="65">
        <v>120.8</v>
      </c>
      <c r="X102" s="65">
        <v>121.5</v>
      </c>
      <c r="Y102" s="65">
        <v>122.4</v>
      </c>
      <c r="Z102" s="65">
        <v>122.2</v>
      </c>
      <c r="AA102" s="65">
        <v>122.2</v>
      </c>
      <c r="AB102" s="65">
        <v>123.5</v>
      </c>
      <c r="AC102" s="65">
        <v>123.9</v>
      </c>
      <c r="AD102" s="65">
        <v>124.6</v>
      </c>
      <c r="AE102" s="65">
        <v>124.6</v>
      </c>
      <c r="AF102" s="65">
        <v>124.9</v>
      </c>
      <c r="AG102" s="104"/>
      <c r="AH102" s="47">
        <f t="shared" si="9"/>
        <v>124.9</v>
      </c>
      <c r="AI102" s="48">
        <f t="shared" si="10"/>
        <v>119.8</v>
      </c>
    </row>
    <row r="103" spans="1:37" x14ac:dyDescent="0.25">
      <c r="A103" s="103" t="s">
        <v>109</v>
      </c>
      <c r="B103" s="65">
        <v>128.80000000000001</v>
      </c>
      <c r="C103" s="65">
        <v>128.30000000000001</v>
      </c>
      <c r="D103" s="65">
        <v>129</v>
      </c>
      <c r="E103" s="65">
        <v>128.6</v>
      </c>
      <c r="F103" s="65">
        <v>129.69999999999999</v>
      </c>
      <c r="G103" s="65">
        <v>129.69999999999999</v>
      </c>
      <c r="H103" s="65">
        <v>127.7</v>
      </c>
      <c r="I103" s="65">
        <v>127.2</v>
      </c>
      <c r="J103" s="65">
        <v>127.3</v>
      </c>
      <c r="K103" s="65">
        <v>128.1</v>
      </c>
      <c r="L103" s="65">
        <v>127.7</v>
      </c>
      <c r="M103" s="65">
        <v>125.6</v>
      </c>
      <c r="N103" s="65">
        <v>125</v>
      </c>
      <c r="O103" s="65">
        <v>124.6</v>
      </c>
      <c r="P103" s="65">
        <v>126.5</v>
      </c>
      <c r="Q103" s="65">
        <v>126.5</v>
      </c>
      <c r="R103" s="65">
        <v>124.6</v>
      </c>
      <c r="S103" s="65">
        <v>125</v>
      </c>
      <c r="T103" s="65">
        <v>126.8</v>
      </c>
      <c r="U103" s="65">
        <v>126.5</v>
      </c>
      <c r="V103" s="65">
        <v>125.8</v>
      </c>
      <c r="W103" s="65">
        <v>125.6</v>
      </c>
      <c r="X103" s="65">
        <v>125.96</v>
      </c>
      <c r="Y103" s="65">
        <v>127</v>
      </c>
      <c r="Z103" s="65">
        <v>126.3</v>
      </c>
      <c r="AA103" s="65">
        <v>126.3</v>
      </c>
      <c r="AB103" s="65">
        <v>127.8</v>
      </c>
      <c r="AC103" s="65">
        <v>128</v>
      </c>
      <c r="AD103" s="65">
        <v>129</v>
      </c>
      <c r="AE103" s="65">
        <v>129</v>
      </c>
      <c r="AF103" s="65">
        <v>129.6</v>
      </c>
      <c r="AG103" s="104"/>
      <c r="AH103" s="47">
        <f t="shared" si="9"/>
        <v>129.69999999999999</v>
      </c>
      <c r="AI103" s="48">
        <f t="shared" si="10"/>
        <v>124.6</v>
      </c>
    </row>
    <row r="104" spans="1:37" x14ac:dyDescent="0.25">
      <c r="A104" s="103" t="s">
        <v>110</v>
      </c>
      <c r="B104" s="65">
        <v>124.2</v>
      </c>
      <c r="C104" s="65">
        <v>123.2</v>
      </c>
      <c r="D104" s="65">
        <v>126.2</v>
      </c>
      <c r="E104" s="65">
        <v>126.6</v>
      </c>
      <c r="F104" s="65">
        <v>126.7</v>
      </c>
      <c r="G104" s="65">
        <v>126.7</v>
      </c>
      <c r="H104" s="65">
        <v>127.5</v>
      </c>
      <c r="I104" s="65">
        <v>125.7</v>
      </c>
      <c r="J104" s="65">
        <v>125.8</v>
      </c>
      <c r="K104" s="65">
        <v>123.9</v>
      </c>
      <c r="L104" s="65">
        <v>125.1</v>
      </c>
      <c r="M104" s="65">
        <v>120.6</v>
      </c>
      <c r="N104" s="65">
        <v>127.3</v>
      </c>
      <c r="O104" s="65">
        <v>124.6</v>
      </c>
      <c r="P104" s="65">
        <v>133</v>
      </c>
      <c r="Q104" s="65">
        <v>133</v>
      </c>
      <c r="R104" s="65">
        <v>125.6</v>
      </c>
      <c r="S104" s="65">
        <v>130.5</v>
      </c>
      <c r="T104" s="65">
        <v>130.30000000000001</v>
      </c>
      <c r="U104" s="65">
        <v>129.80000000000001</v>
      </c>
      <c r="V104" s="65">
        <v>124.6</v>
      </c>
      <c r="W104" s="65">
        <v>123</v>
      </c>
      <c r="X104" s="65">
        <v>127</v>
      </c>
      <c r="Y104" s="65">
        <v>128.19999999999999</v>
      </c>
      <c r="Z104" s="65">
        <v>125.1</v>
      </c>
      <c r="AA104" s="65">
        <v>125.1</v>
      </c>
      <c r="AB104" s="65">
        <v>127.5</v>
      </c>
      <c r="AC104" s="65">
        <v>125</v>
      </c>
      <c r="AD104" s="65">
        <v>126.1</v>
      </c>
      <c r="AE104" s="65">
        <v>126.1</v>
      </c>
      <c r="AF104" s="65">
        <v>125.8</v>
      </c>
      <c r="AG104" s="104"/>
      <c r="AH104" s="47">
        <f t="shared" si="9"/>
        <v>133</v>
      </c>
      <c r="AI104" s="48">
        <f t="shared" si="10"/>
        <v>120.6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9"/>
        <v>0</v>
      </c>
      <c r="AI105" s="48">
        <f t="shared" si="10"/>
        <v>0</v>
      </c>
    </row>
    <row r="106" spans="1:37" x14ac:dyDescent="0.25">
      <c r="A106" s="105" t="s">
        <v>112</v>
      </c>
      <c r="B106" s="106">
        <v>133.1</v>
      </c>
      <c r="C106" s="106">
        <v>132.80000000000001</v>
      </c>
      <c r="D106" s="106">
        <v>133</v>
      </c>
      <c r="E106" s="106">
        <v>129.69999999999999</v>
      </c>
      <c r="F106" s="106">
        <v>131.1</v>
      </c>
      <c r="G106" s="106">
        <v>131.1</v>
      </c>
      <c r="H106" s="106">
        <v>128.5</v>
      </c>
      <c r="I106" s="106">
        <v>129.6</v>
      </c>
      <c r="J106" s="106">
        <v>131.9</v>
      </c>
      <c r="K106" s="106">
        <v>136.19999999999999</v>
      </c>
      <c r="L106" s="106">
        <v>134.5</v>
      </c>
      <c r="M106" s="106">
        <v>133.80000000000001</v>
      </c>
      <c r="N106" s="106">
        <v>133.30000000000001</v>
      </c>
      <c r="O106" s="106">
        <v>131.1</v>
      </c>
      <c r="P106" s="106">
        <v>135.69999999999999</v>
      </c>
      <c r="Q106" s="106">
        <v>135.69999999999999</v>
      </c>
      <c r="R106" s="106">
        <v>130.19999999999999</v>
      </c>
      <c r="S106" s="106">
        <v>132</v>
      </c>
      <c r="T106" s="106">
        <v>135.4</v>
      </c>
      <c r="U106" s="106">
        <v>132.6</v>
      </c>
      <c r="V106" s="106">
        <v>134.5</v>
      </c>
      <c r="W106" s="106">
        <v>131.69999999999999</v>
      </c>
      <c r="X106" s="106">
        <v>129</v>
      </c>
      <c r="Y106" s="106">
        <v>132.69999999999999</v>
      </c>
      <c r="Z106" s="106">
        <v>134.1</v>
      </c>
      <c r="AA106" s="106">
        <v>134.1</v>
      </c>
      <c r="AB106" s="106">
        <v>133.19999999999999</v>
      </c>
      <c r="AC106" s="106">
        <v>134.19999999999999</v>
      </c>
      <c r="AD106" s="106">
        <v>133</v>
      </c>
      <c r="AE106" s="106">
        <v>130.19999999999999</v>
      </c>
      <c r="AF106" s="106">
        <v>130.19999999999999</v>
      </c>
      <c r="AG106" s="107"/>
      <c r="AH106" s="47">
        <f t="shared" si="9"/>
        <v>136.19999999999999</v>
      </c>
      <c r="AI106" s="48">
        <f t="shared" si="10"/>
        <v>128.5</v>
      </c>
    </row>
    <row r="107" spans="1:37" x14ac:dyDescent="0.25">
      <c r="A107" s="103" t="s">
        <v>113</v>
      </c>
      <c r="B107" s="65">
        <v>133</v>
      </c>
      <c r="C107" s="65">
        <v>126.9</v>
      </c>
      <c r="D107" s="65">
        <v>130.1</v>
      </c>
      <c r="E107" s="65">
        <v>128.1</v>
      </c>
      <c r="F107" s="65">
        <v>130.6</v>
      </c>
      <c r="G107" s="65">
        <v>130.6</v>
      </c>
      <c r="H107" s="65">
        <v>126.5</v>
      </c>
      <c r="I107" s="65">
        <v>126.9</v>
      </c>
      <c r="J107" s="65">
        <v>129.5</v>
      </c>
      <c r="K107" s="65">
        <v>126.8</v>
      </c>
      <c r="L107" s="65">
        <v>125.8</v>
      </c>
      <c r="M107" s="65">
        <v>129.5</v>
      </c>
      <c r="N107" s="65">
        <v>123.2</v>
      </c>
      <c r="O107" s="65">
        <v>125.5</v>
      </c>
      <c r="P107" s="65">
        <v>134.6</v>
      </c>
      <c r="Q107" s="65">
        <v>134.6</v>
      </c>
      <c r="R107" s="65">
        <v>131.80000000000001</v>
      </c>
      <c r="S107" s="65">
        <v>127</v>
      </c>
      <c r="T107" s="65">
        <v>123.7</v>
      </c>
      <c r="U107" s="65">
        <v>124.54</v>
      </c>
      <c r="V107" s="65">
        <v>132</v>
      </c>
      <c r="W107" s="65">
        <v>128.9</v>
      </c>
      <c r="X107" s="65">
        <v>133</v>
      </c>
      <c r="Y107" s="65">
        <v>133.4</v>
      </c>
      <c r="Z107" s="65">
        <v>129.5</v>
      </c>
      <c r="AA107" s="65">
        <v>129.5</v>
      </c>
      <c r="AB107" s="65">
        <v>130.1</v>
      </c>
      <c r="AC107" s="65">
        <v>132</v>
      </c>
      <c r="AD107" s="65">
        <v>129.6</v>
      </c>
      <c r="AE107" s="65">
        <v>128.19999999999999</v>
      </c>
      <c r="AF107" s="65">
        <v>128.19999999999999</v>
      </c>
      <c r="AG107" s="104"/>
      <c r="AH107" s="47">
        <f t="shared" si="9"/>
        <v>134.6</v>
      </c>
      <c r="AI107" s="48">
        <f t="shared" si="10"/>
        <v>123.2</v>
      </c>
    </row>
    <row r="108" spans="1:37" ht="15.75" thickBot="1" x14ac:dyDescent="0.3">
      <c r="A108" s="103" t="s">
        <v>114</v>
      </c>
      <c r="B108" s="92">
        <v>65</v>
      </c>
      <c r="C108" s="92">
        <v>64.400000000000006</v>
      </c>
      <c r="D108" s="92">
        <v>64.7</v>
      </c>
      <c r="E108" s="92">
        <v>64.400000000000006</v>
      </c>
      <c r="F108" s="92">
        <v>65.099999999999994</v>
      </c>
      <c r="G108" s="92">
        <v>65.099999999999994</v>
      </c>
      <c r="H108" s="92">
        <v>64</v>
      </c>
      <c r="I108" s="92">
        <v>63.6</v>
      </c>
      <c r="J108" s="92">
        <v>63.9</v>
      </c>
      <c r="K108" s="92">
        <v>64</v>
      </c>
      <c r="L108" s="92">
        <v>63.8</v>
      </c>
      <c r="M108" s="92">
        <v>62.8</v>
      </c>
      <c r="N108" s="92">
        <v>62.3</v>
      </c>
      <c r="O108" s="92">
        <v>61.9</v>
      </c>
      <c r="P108" s="92">
        <v>63.1</v>
      </c>
      <c r="Q108" s="92">
        <v>63.1</v>
      </c>
      <c r="R108" s="92">
        <v>61.9</v>
      </c>
      <c r="S108" s="92">
        <v>62.4</v>
      </c>
      <c r="T108" s="92">
        <v>63</v>
      </c>
      <c r="U108" s="92">
        <v>62.7</v>
      </c>
      <c r="V108" s="92">
        <v>63</v>
      </c>
      <c r="W108" s="92">
        <v>62.7</v>
      </c>
      <c r="X108" s="92">
        <v>63.3</v>
      </c>
      <c r="Y108" s="92">
        <v>63.6</v>
      </c>
      <c r="Z108" s="92">
        <v>63.3</v>
      </c>
      <c r="AA108" s="92">
        <v>63.3</v>
      </c>
      <c r="AB108" s="92">
        <v>64.3</v>
      </c>
      <c r="AC108" s="92">
        <v>64.3</v>
      </c>
      <c r="AD108" s="92">
        <v>64.900000000000006</v>
      </c>
      <c r="AE108" s="92">
        <v>65.400000000000006</v>
      </c>
      <c r="AF108" s="92">
        <v>65.400000000000006</v>
      </c>
      <c r="AG108" s="108"/>
      <c r="AH108" s="47">
        <f t="shared" si="9"/>
        <v>65.400000000000006</v>
      </c>
      <c r="AI108" s="48">
        <f t="shared" si="10"/>
        <v>61.9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9"/>
        <v>0</v>
      </c>
      <c r="AI109" s="48">
        <f t="shared" si="10"/>
        <v>0</v>
      </c>
    </row>
    <row r="110" spans="1:37" ht="15.75" thickBot="1" x14ac:dyDescent="0.3">
      <c r="A110" s="110" t="s">
        <v>116</v>
      </c>
      <c r="B110" s="111">
        <f>SUM(B20,B26,B29:B30,B58,B60:B61,B63,B65,B111:B115,B138,B144,B150,B159,B161,B173,B180,B183:B184,B191,B193,B195,B199:B201,B203:B205,B210,B216:B217,B219:B221,B229,B234)</f>
        <v>103.29999999999997</v>
      </c>
      <c r="C110" s="111">
        <f t="shared" ref="C110:O110" si="16">SUM(C20,C26,C29:C30,C58,C60:C61,C63,C65,C111:C115,C138,C144,C150,C159,C161,C173,C180,C183:C184,C191,C193,C195,C199:C201,C203:C205,C210,C216:C217,C219:C221,C229,C234)</f>
        <v>97.639999999999972</v>
      </c>
      <c r="D110" s="111">
        <f t="shared" si="16"/>
        <v>92.539999999999992</v>
      </c>
      <c r="E110" s="111">
        <f t="shared" si="16"/>
        <v>69.039999999999978</v>
      </c>
      <c r="F110" s="111">
        <f t="shared" si="16"/>
        <v>72.740000000000009</v>
      </c>
      <c r="G110" s="111">
        <f t="shared" si="16"/>
        <v>72.740000000000009</v>
      </c>
      <c r="H110" s="111">
        <f t="shared" si="16"/>
        <v>137.34</v>
      </c>
      <c r="I110" s="111">
        <f t="shared" si="16"/>
        <v>175.04</v>
      </c>
      <c r="J110" s="111">
        <f t="shared" si="16"/>
        <v>201.33999999999997</v>
      </c>
      <c r="K110" s="111">
        <f t="shared" si="16"/>
        <v>237.74</v>
      </c>
      <c r="L110" s="111">
        <f t="shared" si="16"/>
        <v>248.73999999999998</v>
      </c>
      <c r="M110" s="111">
        <f t="shared" si="16"/>
        <v>245.34000000000003</v>
      </c>
      <c r="N110" s="111">
        <f t="shared" si="16"/>
        <v>263.23999999999995</v>
      </c>
      <c r="O110" s="111">
        <f t="shared" si="16"/>
        <v>287.54000000000002</v>
      </c>
      <c r="P110" s="111">
        <v>42</v>
      </c>
      <c r="Q110" s="111">
        <v>42</v>
      </c>
      <c r="R110" s="111">
        <f t="shared" ref="R110:AF110" si="17">SUM(R20,R26,R29:R30,R58,R60:R61,R63,R65,R111:R115,R138,R144,R150,R159,R161,R173,R180,R183:R184,R191,R193,R195,R199:R201,R203:R205,R210,R216:R217,R219:R221,R229,R234)</f>
        <v>267.5</v>
      </c>
      <c r="S110" s="111">
        <f t="shared" si="17"/>
        <v>237.89999999999995</v>
      </c>
      <c r="T110" s="111">
        <f t="shared" si="17"/>
        <v>239.39999999999998</v>
      </c>
      <c r="U110" s="111">
        <f t="shared" si="17"/>
        <v>233.19999999999996</v>
      </c>
      <c r="V110" s="111">
        <f t="shared" si="17"/>
        <v>247.00000000000003</v>
      </c>
      <c r="W110" s="111">
        <f t="shared" si="17"/>
        <v>247.39999999999998</v>
      </c>
      <c r="X110" s="111">
        <f t="shared" si="17"/>
        <v>241.8</v>
      </c>
      <c r="Y110" s="111">
        <f t="shared" si="17"/>
        <v>253.9</v>
      </c>
      <c r="Z110" s="111">
        <f t="shared" si="17"/>
        <v>289.89999999999998</v>
      </c>
      <c r="AA110" s="111">
        <f t="shared" si="17"/>
        <v>289.89999999999998</v>
      </c>
      <c r="AB110" s="111">
        <f t="shared" si="17"/>
        <v>303.10000000000002</v>
      </c>
      <c r="AC110" s="111">
        <f t="shared" si="17"/>
        <v>252.6</v>
      </c>
      <c r="AD110" s="111"/>
      <c r="AE110" s="111">
        <f t="shared" si="17"/>
        <v>208.6</v>
      </c>
      <c r="AF110" s="111">
        <f t="shared" si="17"/>
        <v>134.6</v>
      </c>
      <c r="AG110" s="112"/>
      <c r="AH110" s="47">
        <f t="shared" si="9"/>
        <v>303.10000000000002</v>
      </c>
      <c r="AI110" s="48">
        <f t="shared" si="10"/>
        <v>42</v>
      </c>
    </row>
    <row r="111" spans="1:37" x14ac:dyDescent="0.25">
      <c r="A111" s="100" t="s">
        <v>117</v>
      </c>
      <c r="B111" s="113">
        <v>12.9</v>
      </c>
      <c r="C111" s="113">
        <v>26.1</v>
      </c>
      <c r="D111" s="113">
        <v>23.8</v>
      </c>
      <c r="E111" s="113">
        <v>11.9</v>
      </c>
      <c r="F111" s="113">
        <v>25.5</v>
      </c>
      <c r="G111" s="113">
        <v>25.5</v>
      </c>
      <c r="H111" s="113">
        <v>31.3</v>
      </c>
      <c r="I111" s="113">
        <v>23.7</v>
      </c>
      <c r="J111" s="113">
        <v>27.5</v>
      </c>
      <c r="K111" s="113">
        <v>35.4</v>
      </c>
      <c r="L111" s="113">
        <v>33.1</v>
      </c>
      <c r="M111" s="113">
        <v>37.4</v>
      </c>
      <c r="N111" s="113">
        <v>40.4</v>
      </c>
      <c r="O111" s="113">
        <v>30.9</v>
      </c>
      <c r="P111" s="113">
        <v>25.5</v>
      </c>
      <c r="Q111" s="113">
        <v>25.5</v>
      </c>
      <c r="R111" s="113">
        <v>20.9</v>
      </c>
      <c r="S111" s="113">
        <v>21.8</v>
      </c>
      <c r="T111" s="113">
        <v>49.3</v>
      </c>
      <c r="U111" s="113">
        <v>32</v>
      </c>
      <c r="V111" s="113">
        <v>42.4</v>
      </c>
      <c r="W111" s="113">
        <v>45.8</v>
      </c>
      <c r="X111" s="113">
        <v>43.3</v>
      </c>
      <c r="Y111" s="113">
        <v>42.1</v>
      </c>
      <c r="Z111" s="113">
        <v>53.3</v>
      </c>
      <c r="AA111" s="113">
        <v>53.3</v>
      </c>
      <c r="AB111" s="113">
        <v>39.4</v>
      </c>
      <c r="AC111" s="113">
        <v>39</v>
      </c>
      <c r="AD111" s="113">
        <v>40.700000000000003</v>
      </c>
      <c r="AE111" s="113">
        <v>27</v>
      </c>
      <c r="AF111" s="113">
        <v>27</v>
      </c>
      <c r="AG111" s="114">
        <v>75</v>
      </c>
      <c r="AH111" s="47">
        <f t="shared" si="9"/>
        <v>53.3</v>
      </c>
      <c r="AI111" s="48">
        <f t="shared" si="10"/>
        <v>11.9</v>
      </c>
    </row>
    <row r="112" spans="1:37" x14ac:dyDescent="0.25">
      <c r="A112" s="103" t="s">
        <v>118</v>
      </c>
      <c r="B112" s="115">
        <v>26.6</v>
      </c>
      <c r="C112" s="115">
        <v>45.3</v>
      </c>
      <c r="D112" s="115">
        <v>40.9</v>
      </c>
      <c r="E112" s="115">
        <v>25.9</v>
      </c>
      <c r="F112" s="115">
        <v>44.8</v>
      </c>
      <c r="G112" s="115">
        <v>44.8</v>
      </c>
      <c r="H112" s="115">
        <v>52.7</v>
      </c>
      <c r="I112" s="115">
        <v>45.9</v>
      </c>
      <c r="J112" s="115">
        <v>48.5</v>
      </c>
      <c r="K112" s="115">
        <v>55.3</v>
      </c>
      <c r="L112" s="115">
        <v>53.1</v>
      </c>
      <c r="M112" s="115">
        <v>54.7</v>
      </c>
      <c r="N112" s="115">
        <v>59.8</v>
      </c>
      <c r="O112" s="115">
        <v>45.7</v>
      </c>
      <c r="P112" s="115">
        <v>38.5</v>
      </c>
      <c r="Q112" s="115">
        <v>38.5</v>
      </c>
      <c r="R112" s="115">
        <v>24.9</v>
      </c>
      <c r="S112" s="115">
        <v>36.299999999999997</v>
      </c>
      <c r="T112" s="115">
        <v>71.7</v>
      </c>
      <c r="U112" s="115">
        <v>47.7</v>
      </c>
      <c r="V112" s="115">
        <v>62.4</v>
      </c>
      <c r="W112" s="115">
        <v>65.5</v>
      </c>
      <c r="X112" s="115">
        <v>63.9</v>
      </c>
      <c r="Y112" s="115">
        <v>61.9</v>
      </c>
      <c r="Z112" s="115">
        <v>77.900000000000006</v>
      </c>
      <c r="AA112" s="115">
        <v>77.900000000000006</v>
      </c>
      <c r="AB112" s="115">
        <v>56.1</v>
      </c>
      <c r="AC112" s="115">
        <v>55</v>
      </c>
      <c r="AD112" s="115">
        <v>59</v>
      </c>
      <c r="AE112" s="115">
        <v>45</v>
      </c>
      <c r="AF112" s="115">
        <v>45</v>
      </c>
      <c r="AG112" s="114">
        <v>240</v>
      </c>
      <c r="AH112" s="47">
        <f t="shared" si="9"/>
        <v>77.900000000000006</v>
      </c>
      <c r="AI112" s="48">
        <f t="shared" si="10"/>
        <v>24.9</v>
      </c>
    </row>
    <row r="113" spans="1:37" x14ac:dyDescent="0.25">
      <c r="A113" s="103" t="s">
        <v>119</v>
      </c>
      <c r="B113" s="115">
        <f>-34-42.1</f>
        <v>-76.099999999999994</v>
      </c>
      <c r="C113" s="115">
        <f>-46.7-52.4</f>
        <v>-99.1</v>
      </c>
      <c r="D113" s="115">
        <f>-45.2-53.9</f>
        <v>-99.1</v>
      </c>
      <c r="E113" s="115">
        <v>-98</v>
      </c>
      <c r="F113" s="115">
        <v>-117</v>
      </c>
      <c r="G113" s="115">
        <v>-117</v>
      </c>
      <c r="H113" s="115">
        <v>-79</v>
      </c>
      <c r="I113" s="115">
        <v>-101</v>
      </c>
      <c r="J113" s="115">
        <v>-90</v>
      </c>
      <c r="K113" s="115">
        <v>-66</v>
      </c>
      <c r="L113" s="115">
        <v>-58</v>
      </c>
      <c r="M113" s="115">
        <v>-70</v>
      </c>
      <c r="N113" s="115">
        <v>-68</v>
      </c>
      <c r="O113" s="115">
        <v>-40</v>
      </c>
      <c r="P113" s="115">
        <v>-40</v>
      </c>
      <c r="Q113" s="115">
        <v>-40</v>
      </c>
      <c r="R113" s="115">
        <v>-29</v>
      </c>
      <c r="S113" s="115">
        <v>-74.099999999999994</v>
      </c>
      <c r="T113" s="115">
        <v>-105.2</v>
      </c>
      <c r="U113" s="115">
        <v>-77.8</v>
      </c>
      <c r="V113" s="115">
        <v>-78</v>
      </c>
      <c r="W113" s="115">
        <v>-74</v>
      </c>
      <c r="X113" s="115">
        <v>-78.400000000000006</v>
      </c>
      <c r="Y113" s="115">
        <v>-70.5</v>
      </c>
      <c r="Z113" s="115">
        <v>-68.599999999999994</v>
      </c>
      <c r="AA113" s="115">
        <v>-68.599999999999994</v>
      </c>
      <c r="AB113" s="115">
        <v>-55</v>
      </c>
      <c r="AC113" s="115">
        <v>-80</v>
      </c>
      <c r="AD113" s="115">
        <v>-89</v>
      </c>
      <c r="AE113" s="115">
        <v>-82</v>
      </c>
      <c r="AF113" s="115">
        <v>-82</v>
      </c>
      <c r="AG113" s="114">
        <v>240</v>
      </c>
      <c r="AH113" s="47">
        <f t="shared" si="9"/>
        <v>-29</v>
      </c>
      <c r="AI113" s="48">
        <f t="shared" si="10"/>
        <v>-117</v>
      </c>
    </row>
    <row r="114" spans="1:37" x14ac:dyDescent="0.25">
      <c r="A114" s="103" t="s">
        <v>120</v>
      </c>
      <c r="B114" s="115">
        <v>16.8</v>
      </c>
      <c r="C114" s="115">
        <v>0.2</v>
      </c>
      <c r="D114" s="115">
        <v>2</v>
      </c>
      <c r="E114" s="115">
        <v>4.3</v>
      </c>
      <c r="F114" s="115">
        <v>-5.5</v>
      </c>
      <c r="G114" s="115">
        <v>-5.5</v>
      </c>
      <c r="H114" s="115">
        <v>7.4</v>
      </c>
      <c r="I114" s="115">
        <v>6.2</v>
      </c>
      <c r="J114" s="115">
        <v>9.5</v>
      </c>
      <c r="K114" s="115">
        <v>4.9000000000000004</v>
      </c>
      <c r="L114" s="115">
        <v>6.4</v>
      </c>
      <c r="M114" s="115">
        <v>2.1</v>
      </c>
      <c r="N114" s="115">
        <v>13.7</v>
      </c>
      <c r="O114" s="115">
        <v>21</v>
      </c>
      <c r="P114" s="115">
        <v>24.4</v>
      </c>
      <c r="Q114" s="115">
        <v>24.4</v>
      </c>
      <c r="R114" s="115">
        <v>37</v>
      </c>
      <c r="S114" s="115">
        <v>33.299999999999997</v>
      </c>
      <c r="T114" s="115">
        <v>20.6</v>
      </c>
      <c r="U114" s="115">
        <v>14.2</v>
      </c>
      <c r="V114" s="115">
        <v>2.8</v>
      </c>
      <c r="W114" s="115">
        <v>-7.4</v>
      </c>
      <c r="X114" s="115">
        <v>-4.5999999999999996</v>
      </c>
      <c r="Y114" s="115">
        <v>-1.1000000000000001</v>
      </c>
      <c r="Z114" s="115">
        <v>1.7</v>
      </c>
      <c r="AA114" s="115">
        <v>1.7</v>
      </c>
      <c r="AB114" s="115">
        <v>16</v>
      </c>
      <c r="AC114" s="115">
        <v>18</v>
      </c>
      <c r="AD114" s="115">
        <v>19</v>
      </c>
      <c r="AE114" s="115">
        <v>12</v>
      </c>
      <c r="AF114" s="115">
        <v>12</v>
      </c>
      <c r="AG114" s="114">
        <v>60</v>
      </c>
      <c r="AH114" s="47">
        <f t="shared" si="9"/>
        <v>37</v>
      </c>
      <c r="AI114" s="48">
        <f t="shared" si="10"/>
        <v>-7.4</v>
      </c>
    </row>
    <row r="115" spans="1:37" x14ac:dyDescent="0.25">
      <c r="A115" s="116" t="s">
        <v>121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75.3</v>
      </c>
      <c r="J115" s="117">
        <v>78.5</v>
      </c>
      <c r="K115" s="117">
        <v>78.599999999999994</v>
      </c>
      <c r="L115" s="117">
        <v>83.1</v>
      </c>
      <c r="M115" s="117">
        <v>86.7</v>
      </c>
      <c r="N115" s="117">
        <v>82.9</v>
      </c>
      <c r="O115" s="117">
        <v>95.5</v>
      </c>
      <c r="P115" s="117">
        <v>95.4</v>
      </c>
      <c r="Q115" s="117">
        <v>95.4</v>
      </c>
      <c r="R115" s="117">
        <v>80.2</v>
      </c>
      <c r="S115" s="117">
        <v>93.1</v>
      </c>
      <c r="T115" s="117">
        <v>71.099999999999994</v>
      </c>
      <c r="U115" s="117">
        <v>85.6</v>
      </c>
      <c r="V115" s="117">
        <v>88.9</v>
      </c>
      <c r="W115" s="117">
        <v>89.6</v>
      </c>
      <c r="X115" s="117">
        <v>83.7</v>
      </c>
      <c r="Y115" s="117">
        <v>88.9</v>
      </c>
      <c r="Z115" s="117">
        <v>93</v>
      </c>
      <c r="AA115" s="117">
        <v>93</v>
      </c>
      <c r="AB115" s="117">
        <v>114</v>
      </c>
      <c r="AC115" s="117">
        <v>88</v>
      </c>
      <c r="AD115" s="117">
        <v>74</v>
      </c>
      <c r="AE115" s="117">
        <v>74</v>
      </c>
      <c r="AF115" s="117">
        <v>0</v>
      </c>
      <c r="AG115" s="118">
        <v>120</v>
      </c>
      <c r="AH115" s="47">
        <f t="shared" si="9"/>
        <v>114</v>
      </c>
      <c r="AI115" s="48">
        <f t="shared" si="10"/>
        <v>0</v>
      </c>
    </row>
    <row r="116" spans="1:37" x14ac:dyDescent="0.25">
      <c r="A116" s="116" t="s">
        <v>122</v>
      </c>
      <c r="B116" s="117">
        <v>91.2</v>
      </c>
      <c r="C116" s="117">
        <v>94.5</v>
      </c>
      <c r="D116" s="117">
        <v>85.7</v>
      </c>
      <c r="E116" s="117">
        <v>104</v>
      </c>
      <c r="F116" s="117">
        <v>81.2</v>
      </c>
      <c r="G116" s="117">
        <v>81.2</v>
      </c>
      <c r="H116" s="117">
        <v>101.8</v>
      </c>
      <c r="I116" s="117">
        <v>90.5</v>
      </c>
      <c r="J116" s="117">
        <v>88.8</v>
      </c>
      <c r="K116" s="117">
        <v>82.9</v>
      </c>
      <c r="L116" s="117">
        <v>80.400000000000006</v>
      </c>
      <c r="M116" s="117">
        <v>89.3</v>
      </c>
      <c r="N116" s="117">
        <v>97.8</v>
      </c>
      <c r="O116" s="117">
        <v>95.3</v>
      </c>
      <c r="P116" s="117">
        <v>104</v>
      </c>
      <c r="Q116" s="117">
        <v>104</v>
      </c>
      <c r="R116" s="117">
        <v>95.6</v>
      </c>
      <c r="S116" s="117">
        <v>103</v>
      </c>
      <c r="T116" s="117">
        <v>92</v>
      </c>
      <c r="U116" s="117">
        <v>100.8</v>
      </c>
      <c r="V116" s="117">
        <v>93.9</v>
      </c>
      <c r="W116" s="117">
        <v>92.4</v>
      </c>
      <c r="X116" s="117">
        <v>86.6</v>
      </c>
      <c r="Y116" s="117">
        <v>86.4</v>
      </c>
      <c r="Z116" s="117">
        <v>86.2</v>
      </c>
      <c r="AA116" s="117">
        <v>86.2</v>
      </c>
      <c r="AB116" s="117">
        <v>96</v>
      </c>
      <c r="AC116" s="117">
        <v>78</v>
      </c>
      <c r="AD116" s="117">
        <v>73</v>
      </c>
      <c r="AE116" s="117">
        <v>73</v>
      </c>
      <c r="AF116" s="117">
        <v>86</v>
      </c>
      <c r="AG116" s="118"/>
      <c r="AH116" s="47">
        <f t="shared" si="9"/>
        <v>104</v>
      </c>
      <c r="AI116" s="48">
        <f t="shared" si="10"/>
        <v>73</v>
      </c>
    </row>
    <row r="117" spans="1:37" x14ac:dyDescent="0.25">
      <c r="A117" s="116" t="s">
        <v>123</v>
      </c>
      <c r="B117" s="117">
        <v>60.8</v>
      </c>
      <c r="C117" s="117">
        <v>61</v>
      </c>
      <c r="D117" s="117"/>
      <c r="E117" s="117">
        <v>60</v>
      </c>
      <c r="F117" s="117"/>
      <c r="G117" s="117"/>
      <c r="H117" s="117"/>
      <c r="I117" s="117"/>
      <c r="J117" s="117">
        <v>49.6</v>
      </c>
      <c r="K117" s="117"/>
      <c r="L117" s="117"/>
      <c r="M117" s="117"/>
      <c r="N117" s="117">
        <v>38.6</v>
      </c>
      <c r="O117" s="117"/>
      <c r="P117" s="117">
        <v>48.9</v>
      </c>
      <c r="Q117" s="117">
        <v>48.9</v>
      </c>
      <c r="R117" s="117"/>
      <c r="S117" s="117"/>
      <c r="T117" s="117">
        <v>29.9</v>
      </c>
      <c r="U117" s="117">
        <v>53.7</v>
      </c>
      <c r="V117" s="117">
        <v>45.7</v>
      </c>
      <c r="W117" s="117">
        <v>50.4</v>
      </c>
      <c r="X117" s="117">
        <v>51.4</v>
      </c>
      <c r="Y117" s="117">
        <v>50.5</v>
      </c>
      <c r="Z117" s="117">
        <v>32.5</v>
      </c>
      <c r="AA117" s="117">
        <v>32.5</v>
      </c>
      <c r="AB117" s="117">
        <v>53</v>
      </c>
      <c r="AC117" s="117">
        <v>44</v>
      </c>
      <c r="AD117" s="117">
        <v>43</v>
      </c>
      <c r="AE117" s="117">
        <v>43</v>
      </c>
      <c r="AF117" s="117">
        <v>56</v>
      </c>
      <c r="AG117" s="119"/>
      <c r="AH117" s="47">
        <f t="shared" si="9"/>
        <v>61</v>
      </c>
      <c r="AI117" s="48">
        <f t="shared" si="10"/>
        <v>29.9</v>
      </c>
    </row>
    <row r="118" spans="1:37" x14ac:dyDescent="0.25">
      <c r="A118" s="120" t="s">
        <v>124</v>
      </c>
      <c r="B118" s="106">
        <v>-29.4</v>
      </c>
      <c r="C118" s="106">
        <v>-28.3</v>
      </c>
      <c r="D118" s="106">
        <v>-28.3</v>
      </c>
      <c r="E118" s="106">
        <v>-25.5</v>
      </c>
      <c r="F118" s="106">
        <v>-23.3</v>
      </c>
      <c r="G118" s="106">
        <v>-23.3</v>
      </c>
      <c r="H118" s="106">
        <v>-18.899999999999999</v>
      </c>
      <c r="I118" s="106">
        <v>-20</v>
      </c>
      <c r="J118" s="106">
        <v>-23.2</v>
      </c>
      <c r="K118" s="106">
        <v>-26.6</v>
      </c>
      <c r="L118" s="106">
        <v>-32.1</v>
      </c>
      <c r="M118" s="106">
        <v>26.3</v>
      </c>
      <c r="N118" s="106">
        <v>-6.7</v>
      </c>
      <c r="O118" s="106">
        <v>-27</v>
      </c>
      <c r="P118" s="106">
        <v>-20.5</v>
      </c>
      <c r="Q118" s="106">
        <v>-20.5</v>
      </c>
      <c r="R118" s="106">
        <v>-38.299999999999997</v>
      </c>
      <c r="S118" s="106">
        <v>-38.200000000000003</v>
      </c>
      <c r="T118" s="106">
        <v>-42.5</v>
      </c>
      <c r="U118" s="106">
        <v>-36</v>
      </c>
      <c r="V118" s="106">
        <v>-26.7</v>
      </c>
      <c r="W118" s="106">
        <v>-29.4</v>
      </c>
      <c r="X118" s="106">
        <v>-34</v>
      </c>
      <c r="Y118" s="106">
        <v>-39.799999999999997</v>
      </c>
      <c r="Z118" s="106">
        <v>-42.2</v>
      </c>
      <c r="AA118" s="106">
        <v>-42.2</v>
      </c>
      <c r="AB118" s="106">
        <v>-45</v>
      </c>
      <c r="AC118" s="106">
        <v>-48</v>
      </c>
      <c r="AD118" s="106">
        <v>-44</v>
      </c>
      <c r="AE118" s="106">
        <v>-44</v>
      </c>
      <c r="AF118" s="106">
        <v>-30</v>
      </c>
      <c r="AG118" s="119"/>
      <c r="AH118" s="47">
        <f t="shared" si="9"/>
        <v>26.3</v>
      </c>
      <c r="AI118" s="48">
        <f t="shared" si="10"/>
        <v>-48</v>
      </c>
    </row>
    <row r="119" spans="1:37" x14ac:dyDescent="0.25">
      <c r="A119" s="175" t="s">
        <v>265</v>
      </c>
      <c r="B119" s="106">
        <v>97.8</v>
      </c>
      <c r="C119" s="106">
        <v>85.9</v>
      </c>
      <c r="D119" s="106">
        <v>94</v>
      </c>
      <c r="E119" s="106">
        <v>71.400000000000006</v>
      </c>
      <c r="F119" s="106">
        <v>86.8</v>
      </c>
      <c r="G119" s="106">
        <v>86.8</v>
      </c>
      <c r="H119" s="106">
        <v>53</v>
      </c>
      <c r="I119" s="106">
        <v>64.5</v>
      </c>
      <c r="J119" s="106">
        <v>56.5</v>
      </c>
      <c r="K119" s="106">
        <v>25.7</v>
      </c>
      <c r="L119" s="106">
        <v>12.2</v>
      </c>
      <c r="M119" s="106">
        <v>115.2</v>
      </c>
      <c r="N119" s="106">
        <v>48.5</v>
      </c>
      <c r="O119" s="106">
        <v>20.5</v>
      </c>
      <c r="P119" s="106">
        <v>36.700000000000003</v>
      </c>
      <c r="Q119" s="106">
        <v>36.700000000000003</v>
      </c>
      <c r="R119" s="106">
        <v>29.8</v>
      </c>
      <c r="S119" s="106">
        <v>32.770000000000003</v>
      </c>
      <c r="T119" s="106">
        <v>62.7</v>
      </c>
      <c r="U119" s="106">
        <v>35.700000000000003</v>
      </c>
      <c r="V119" s="106">
        <v>46</v>
      </c>
      <c r="W119" s="106">
        <v>33.799999999999997</v>
      </c>
      <c r="X119" s="106">
        <v>35.799999999999997</v>
      </c>
      <c r="Y119" s="106">
        <v>29.2</v>
      </c>
      <c r="Z119" s="106">
        <v>24</v>
      </c>
      <c r="AA119" s="106">
        <v>24</v>
      </c>
      <c r="AB119" s="106">
        <v>32</v>
      </c>
      <c r="AC119" s="106">
        <v>65</v>
      </c>
      <c r="AD119" s="106">
        <v>88</v>
      </c>
      <c r="AE119" s="106">
        <v>88</v>
      </c>
      <c r="AF119" s="106">
        <v>73</v>
      </c>
      <c r="AG119" s="119"/>
      <c r="AH119" s="47">
        <f t="shared" si="9"/>
        <v>115.2</v>
      </c>
      <c r="AI119" s="48">
        <f t="shared" si="10"/>
        <v>12.2</v>
      </c>
    </row>
    <row r="120" spans="1:37" ht="15.75" thickBot="1" x14ac:dyDescent="0.3">
      <c r="A120" s="120" t="s">
        <v>125</v>
      </c>
      <c r="B120" s="106">
        <v>118</v>
      </c>
      <c r="C120" s="106">
        <v>119.7</v>
      </c>
      <c r="D120" s="106">
        <v>118.4</v>
      </c>
      <c r="E120" s="106">
        <v>114.6</v>
      </c>
      <c r="F120" s="106">
        <v>108.9</v>
      </c>
      <c r="G120" s="106">
        <v>108.9</v>
      </c>
      <c r="H120" s="106">
        <v>104.1</v>
      </c>
      <c r="I120" s="106">
        <v>100.6</v>
      </c>
      <c r="J120" s="106">
        <v>101</v>
      </c>
      <c r="K120" s="106">
        <v>116</v>
      </c>
      <c r="L120" s="106">
        <v>113.9</v>
      </c>
      <c r="M120" s="106">
        <v>116.5</v>
      </c>
      <c r="N120" s="106">
        <v>92.8</v>
      </c>
      <c r="O120" s="106">
        <v>108.2</v>
      </c>
      <c r="P120" s="106">
        <v>77.5</v>
      </c>
      <c r="Q120" s="106">
        <v>77.5</v>
      </c>
      <c r="R120" s="106">
        <v>67.5</v>
      </c>
      <c r="S120" s="106">
        <v>66.3</v>
      </c>
      <c r="T120" s="106">
        <v>68</v>
      </c>
      <c r="U120" s="106">
        <v>60.3</v>
      </c>
      <c r="V120" s="106">
        <v>96.9</v>
      </c>
      <c r="W120" s="106">
        <v>98</v>
      </c>
      <c r="X120" s="106">
        <v>101.7</v>
      </c>
      <c r="Y120" s="106">
        <v>105.28</v>
      </c>
      <c r="Z120" s="106">
        <v>111.7</v>
      </c>
      <c r="AA120" s="106">
        <v>111.7</v>
      </c>
      <c r="AB120" s="106">
        <v>62</v>
      </c>
      <c r="AC120" s="106">
        <v>110</v>
      </c>
      <c r="AD120" s="106">
        <v>104</v>
      </c>
      <c r="AE120" s="106">
        <v>104</v>
      </c>
      <c r="AF120" s="106">
        <v>97</v>
      </c>
      <c r="AG120" s="119"/>
      <c r="AH120" s="47">
        <f t="shared" si="9"/>
        <v>119.7</v>
      </c>
      <c r="AI120" s="48">
        <f t="shared" si="10"/>
        <v>60.3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8">SUM(B122:B226)</f>
        <v>0</v>
      </c>
      <c r="C227" s="136">
        <f t="shared" si="18"/>
        <v>0</v>
      </c>
      <c r="D227" s="136">
        <f t="shared" si="18"/>
        <v>0</v>
      </c>
      <c r="E227" s="136">
        <f t="shared" si="18"/>
        <v>0</v>
      </c>
      <c r="F227" s="136">
        <f t="shared" si="18"/>
        <v>0</v>
      </c>
      <c r="G227" s="136">
        <f t="shared" si="18"/>
        <v>0</v>
      </c>
      <c r="H227" s="136">
        <f t="shared" si="18"/>
        <v>0</v>
      </c>
      <c r="I227" s="136">
        <f t="shared" si="18"/>
        <v>0</v>
      </c>
      <c r="J227" s="136">
        <f t="shared" si="18"/>
        <v>0</v>
      </c>
      <c r="K227" s="136">
        <f t="shared" si="18"/>
        <v>0</v>
      </c>
      <c r="L227" s="136">
        <f t="shared" si="18"/>
        <v>0</v>
      </c>
      <c r="M227" s="136">
        <f t="shared" si="18"/>
        <v>0</v>
      </c>
      <c r="N227" s="136">
        <f t="shared" si="18"/>
        <v>0</v>
      </c>
      <c r="O227" s="136">
        <f t="shared" si="18"/>
        <v>0</v>
      </c>
      <c r="P227" s="136">
        <f t="shared" si="18"/>
        <v>0</v>
      </c>
      <c r="Q227" s="136">
        <f t="shared" si="18"/>
        <v>0</v>
      </c>
      <c r="R227" s="136">
        <f t="shared" si="18"/>
        <v>0</v>
      </c>
      <c r="S227" s="136">
        <f t="shared" si="18"/>
        <v>0</v>
      </c>
      <c r="T227" s="136">
        <f t="shared" si="18"/>
        <v>0</v>
      </c>
      <c r="U227" s="136">
        <f t="shared" si="18"/>
        <v>0</v>
      </c>
      <c r="V227" s="136">
        <f t="shared" si="18"/>
        <v>0</v>
      </c>
      <c r="W227" s="136">
        <f t="shared" si="18"/>
        <v>0</v>
      </c>
      <c r="X227" s="136">
        <f t="shared" si="18"/>
        <v>0</v>
      </c>
      <c r="Y227" s="136">
        <f t="shared" si="18"/>
        <v>0</v>
      </c>
      <c r="Z227" s="136">
        <f t="shared" si="18"/>
        <v>0</v>
      </c>
      <c r="AA227" s="136">
        <f t="shared" si="18"/>
        <v>0</v>
      </c>
      <c r="AB227" s="136">
        <f t="shared" si="18"/>
        <v>0</v>
      </c>
      <c r="AC227" s="136">
        <f t="shared" si="18"/>
        <v>0</v>
      </c>
      <c r="AD227" s="136">
        <f t="shared" si="18"/>
        <v>0</v>
      </c>
      <c r="AE227" s="136">
        <f t="shared" si="18"/>
        <v>0</v>
      </c>
      <c r="AF227" s="137">
        <f t="shared" si="18"/>
        <v>0</v>
      </c>
      <c r="AG227" s="138">
        <f t="shared" si="18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9">AF229</f>
        <v>0</v>
      </c>
      <c r="C229" s="140">
        <v>0.3</v>
      </c>
      <c r="D229" s="140">
        <f t="shared" ref="D229:P234" si="20">C229</f>
        <v>0.3</v>
      </c>
      <c r="E229" s="140">
        <f t="shared" si="20"/>
        <v>0.3</v>
      </c>
      <c r="F229" s="140">
        <f t="shared" si="20"/>
        <v>0.3</v>
      </c>
      <c r="G229" s="140">
        <f t="shared" si="20"/>
        <v>0.3</v>
      </c>
      <c r="H229" s="140">
        <f t="shared" si="20"/>
        <v>0.3</v>
      </c>
      <c r="I229" s="140">
        <f t="shared" si="20"/>
        <v>0.3</v>
      </c>
      <c r="J229" s="140">
        <f t="shared" si="20"/>
        <v>0.3</v>
      </c>
      <c r="K229" s="140">
        <f t="shared" si="20"/>
        <v>0.3</v>
      </c>
      <c r="L229" s="140">
        <f t="shared" si="20"/>
        <v>0.3</v>
      </c>
      <c r="M229" s="140">
        <f t="shared" si="20"/>
        <v>0.3</v>
      </c>
      <c r="N229" s="140">
        <f t="shared" si="20"/>
        <v>0.3</v>
      </c>
      <c r="O229" s="140">
        <f t="shared" si="20"/>
        <v>0.3</v>
      </c>
      <c r="P229" s="140">
        <f t="shared" si="20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9"/>
        <v>0</v>
      </c>
      <c r="C230" s="128">
        <v>0.4</v>
      </c>
      <c r="D230" s="128">
        <f t="shared" si="20"/>
        <v>0.4</v>
      </c>
      <c r="E230" s="128">
        <f t="shared" si="20"/>
        <v>0.4</v>
      </c>
      <c r="F230" s="128">
        <f t="shared" si="20"/>
        <v>0.4</v>
      </c>
      <c r="G230" s="128">
        <f t="shared" si="20"/>
        <v>0.4</v>
      </c>
      <c r="H230" s="128">
        <f t="shared" si="20"/>
        <v>0.4</v>
      </c>
      <c r="I230" s="128">
        <f t="shared" si="20"/>
        <v>0.4</v>
      </c>
      <c r="J230" s="128">
        <f t="shared" si="20"/>
        <v>0.4</v>
      </c>
      <c r="K230" s="128">
        <f t="shared" si="20"/>
        <v>0.4</v>
      </c>
      <c r="L230" s="128">
        <f t="shared" si="20"/>
        <v>0.4</v>
      </c>
      <c r="M230" s="128">
        <f t="shared" si="20"/>
        <v>0.4</v>
      </c>
      <c r="N230" s="128">
        <f t="shared" si="20"/>
        <v>0.4</v>
      </c>
      <c r="O230" s="128">
        <f t="shared" si="20"/>
        <v>0.4</v>
      </c>
      <c r="P230" s="128">
        <f t="shared" si="20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9"/>
        <v>0</v>
      </c>
      <c r="C231" s="128">
        <v>1.5</v>
      </c>
      <c r="D231" s="128">
        <f t="shared" si="20"/>
        <v>1.5</v>
      </c>
      <c r="E231" s="128">
        <f t="shared" si="20"/>
        <v>1.5</v>
      </c>
      <c r="F231" s="128">
        <f t="shared" si="20"/>
        <v>1.5</v>
      </c>
      <c r="G231" s="128">
        <f t="shared" si="20"/>
        <v>1.5</v>
      </c>
      <c r="H231" s="128">
        <f t="shared" si="20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20"/>
        <v>123.21900000000009</v>
      </c>
      <c r="K231" s="128">
        <f t="shared" ca="1" si="20"/>
        <v>123.21900000000009</v>
      </c>
      <c r="L231" s="128">
        <f t="shared" ca="1" si="20"/>
        <v>123.21900000000009</v>
      </c>
      <c r="M231" s="128">
        <f t="shared" ca="1" si="20"/>
        <v>123.21900000000009</v>
      </c>
      <c r="N231" s="128">
        <f t="shared" ca="1" si="20"/>
        <v>119.19900000000008</v>
      </c>
      <c r="O231" s="128">
        <f t="shared" ca="1" si="20"/>
        <v>119.19900000000008</v>
      </c>
      <c r="P231" s="128">
        <f t="shared" ca="1" si="20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9"/>
        <v>0</v>
      </c>
      <c r="C232" s="128">
        <v>0.3</v>
      </c>
      <c r="D232" s="128">
        <f t="shared" si="20"/>
        <v>0.3</v>
      </c>
      <c r="E232" s="128">
        <f t="shared" si="20"/>
        <v>0.3</v>
      </c>
      <c r="F232" s="128">
        <f t="shared" si="20"/>
        <v>0.3</v>
      </c>
      <c r="G232" s="128">
        <f t="shared" si="20"/>
        <v>0.3</v>
      </c>
      <c r="H232" s="128">
        <f t="shared" si="20"/>
        <v>0.3</v>
      </c>
      <c r="I232" s="128">
        <f t="shared" si="20"/>
        <v>0.3</v>
      </c>
      <c r="J232" s="128">
        <f t="shared" si="20"/>
        <v>0.3</v>
      </c>
      <c r="K232" s="128">
        <f t="shared" si="20"/>
        <v>0.3</v>
      </c>
      <c r="L232" s="128">
        <f t="shared" si="20"/>
        <v>0.3</v>
      </c>
      <c r="M232" s="128">
        <f t="shared" si="20"/>
        <v>0.3</v>
      </c>
      <c r="N232" s="128">
        <f t="shared" si="20"/>
        <v>0.3</v>
      </c>
      <c r="O232" s="128">
        <f t="shared" si="20"/>
        <v>0.3</v>
      </c>
      <c r="P232" s="128">
        <f t="shared" si="20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9"/>
        <v>0</v>
      </c>
      <c r="C233" s="128">
        <v>0.4</v>
      </c>
      <c r="D233" s="128">
        <f t="shared" si="20"/>
        <v>0.4</v>
      </c>
      <c r="E233" s="128">
        <f t="shared" si="20"/>
        <v>0.4</v>
      </c>
      <c r="F233" s="128">
        <f t="shared" si="20"/>
        <v>0.4</v>
      </c>
      <c r="G233" s="128">
        <f t="shared" si="20"/>
        <v>0.4</v>
      </c>
      <c r="H233" s="128">
        <f t="shared" si="20"/>
        <v>0.4</v>
      </c>
      <c r="I233" s="128">
        <f t="shared" si="20"/>
        <v>0.4</v>
      </c>
      <c r="J233" s="128">
        <f t="shared" si="20"/>
        <v>0.4</v>
      </c>
      <c r="K233" s="128">
        <f t="shared" si="20"/>
        <v>0.4</v>
      </c>
      <c r="L233" s="128">
        <f t="shared" si="20"/>
        <v>0.4</v>
      </c>
      <c r="M233" s="128">
        <f t="shared" si="20"/>
        <v>0.4</v>
      </c>
      <c r="N233" s="128">
        <f t="shared" si="20"/>
        <v>0.4</v>
      </c>
      <c r="O233" s="128">
        <f t="shared" si="20"/>
        <v>0.4</v>
      </c>
      <c r="P233" s="128">
        <f t="shared" si="20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9"/>
        <v>0</v>
      </c>
      <c r="C234" s="132">
        <v>0.64</v>
      </c>
      <c r="D234" s="132">
        <f t="shared" si="20"/>
        <v>0.64</v>
      </c>
      <c r="E234" s="132">
        <f t="shared" si="20"/>
        <v>0.64</v>
      </c>
      <c r="F234" s="132">
        <f t="shared" si="20"/>
        <v>0.64</v>
      </c>
      <c r="G234" s="132">
        <f t="shared" si="20"/>
        <v>0.64</v>
      </c>
      <c r="H234" s="132">
        <f t="shared" si="20"/>
        <v>0.64</v>
      </c>
      <c r="I234" s="132">
        <f t="shared" si="20"/>
        <v>0.64</v>
      </c>
      <c r="J234" s="132">
        <f t="shared" si="20"/>
        <v>0.64</v>
      </c>
      <c r="K234" s="132">
        <f t="shared" si="20"/>
        <v>0.64</v>
      </c>
      <c r="L234" s="132">
        <f t="shared" si="20"/>
        <v>0.64</v>
      </c>
      <c r="M234" s="132">
        <f t="shared" si="20"/>
        <v>0.64</v>
      </c>
      <c r="N234" s="132">
        <f t="shared" si="20"/>
        <v>0.64</v>
      </c>
      <c r="O234" s="132">
        <f t="shared" si="20"/>
        <v>0.64</v>
      </c>
      <c r="P234" s="132">
        <f t="shared" si="20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1">SUM(B229:B234)</f>
        <v>0</v>
      </c>
      <c r="C235" s="136">
        <f t="shared" si="21"/>
        <v>3.54</v>
      </c>
      <c r="D235" s="136">
        <f t="shared" si="21"/>
        <v>3.54</v>
      </c>
      <c r="E235" s="136">
        <f t="shared" si="21"/>
        <v>3.54</v>
      </c>
      <c r="F235" s="136">
        <f t="shared" si="21"/>
        <v>3.54</v>
      </c>
      <c r="G235" s="136">
        <f t="shared" si="21"/>
        <v>3.54</v>
      </c>
      <c r="H235" s="136">
        <f t="shared" si="21"/>
        <v>3.54</v>
      </c>
      <c r="I235" s="136">
        <f t="shared" ca="1" si="21"/>
        <v>121.23900000000009</v>
      </c>
      <c r="J235" s="136">
        <f t="shared" ca="1" si="21"/>
        <v>121.23900000000009</v>
      </c>
      <c r="K235" s="136">
        <f t="shared" ca="1" si="21"/>
        <v>121.23900000000009</v>
      </c>
      <c r="L235" s="136">
        <f t="shared" ca="1" si="21"/>
        <v>121.23900000000009</v>
      </c>
      <c r="M235" s="136">
        <f t="shared" ca="1" si="21"/>
        <v>125.2590000000001</v>
      </c>
      <c r="N235" s="136">
        <f t="shared" ca="1" si="21"/>
        <v>121.23900000000009</v>
      </c>
      <c r="O235" s="136">
        <f t="shared" ca="1" si="21"/>
        <v>121.23900000000009</v>
      </c>
      <c r="P235" s="136">
        <f t="shared" ca="1" si="21"/>
        <v>117.21900000000008</v>
      </c>
      <c r="Q235" s="136">
        <f t="shared" si="21"/>
        <v>0</v>
      </c>
      <c r="R235" s="136">
        <f t="shared" si="21"/>
        <v>0</v>
      </c>
      <c r="S235" s="136">
        <f t="shared" si="21"/>
        <v>0</v>
      </c>
      <c r="T235" s="136">
        <f t="shared" si="21"/>
        <v>0</v>
      </c>
      <c r="U235" s="136">
        <f t="shared" si="21"/>
        <v>0</v>
      </c>
      <c r="V235" s="136">
        <f t="shared" si="21"/>
        <v>0</v>
      </c>
      <c r="W235" s="136">
        <f t="shared" si="21"/>
        <v>0</v>
      </c>
      <c r="X235" s="136">
        <f t="shared" si="21"/>
        <v>0</v>
      </c>
      <c r="Y235" s="136">
        <f t="shared" si="21"/>
        <v>0</v>
      </c>
      <c r="Z235" s="136">
        <f t="shared" si="21"/>
        <v>0</v>
      </c>
      <c r="AA235" s="136">
        <f t="shared" si="21"/>
        <v>0</v>
      </c>
      <c r="AB235" s="136">
        <f t="shared" si="21"/>
        <v>0</v>
      </c>
      <c r="AC235" s="136">
        <f t="shared" si="21"/>
        <v>0</v>
      </c>
      <c r="AD235" s="136">
        <f t="shared" si="21"/>
        <v>0</v>
      </c>
      <c r="AE235" s="136">
        <f t="shared" si="21"/>
        <v>0</v>
      </c>
      <c r="AF235" s="136">
        <f t="shared" si="21"/>
        <v>0</v>
      </c>
      <c r="AG235" s="145">
        <f t="shared" si="2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1797.54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22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2080/02/22)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2080/02/22)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2">B91</f>
        <v>1638.64</v>
      </c>
      <c r="U249" s="170">
        <f t="shared" si="22"/>
        <v>1655.3400000000004</v>
      </c>
      <c r="V249" s="170">
        <f t="shared" si="22"/>
        <v>1661.0400000000002</v>
      </c>
      <c r="W249" s="170">
        <f t="shared" si="22"/>
        <v>1688.1400000000003</v>
      </c>
      <c r="X249" s="170">
        <f t="shared" si="22"/>
        <v>1604.5400000000002</v>
      </c>
      <c r="Y249" s="170">
        <f t="shared" si="22"/>
        <v>1601.94</v>
      </c>
      <c r="Z249" s="170">
        <f t="shared" si="22"/>
        <v>1593.7400000000002</v>
      </c>
      <c r="AA249" s="170">
        <f t="shared" si="22"/>
        <v>1623.54</v>
      </c>
      <c r="AB249" s="170">
        <f t="shared" si="22"/>
        <v>1680.94</v>
      </c>
      <c r="AC249" s="170">
        <f t="shared" si="22"/>
        <v>1698.5400000000002</v>
      </c>
      <c r="AD249" s="170">
        <f t="shared" si="22"/>
        <v>1723.8400000000001</v>
      </c>
      <c r="AE249" s="170">
        <f t="shared" si="22"/>
        <v>1792.3400000000001</v>
      </c>
      <c r="AF249" s="170">
        <f t="shared" si="22"/>
        <v>1797.54</v>
      </c>
      <c r="AG249" s="170">
        <f t="shared" si="22"/>
        <v>1846.24</v>
      </c>
      <c r="AH249" s="170">
        <f t="shared" si="22"/>
        <v>1925.2400000000002</v>
      </c>
      <c r="AI249" s="170">
        <f t="shared" si="22"/>
        <v>1947.8400000000001</v>
      </c>
      <c r="AJ249" s="170">
        <f t="shared" si="22"/>
        <v>1935.14</v>
      </c>
      <c r="AK249" s="170">
        <f t="shared" si="22"/>
        <v>1909.2400000000002</v>
      </c>
      <c r="AL249" s="170">
        <f t="shared" si="22"/>
        <v>1915.0400000000002</v>
      </c>
      <c r="AM249" s="170">
        <f t="shared" si="22"/>
        <v>1883.94</v>
      </c>
      <c r="AN249" s="170">
        <f t="shared" si="22"/>
        <v>1772.8400000000001</v>
      </c>
      <c r="AO249" s="170">
        <f t="shared" si="22"/>
        <v>1762.5800000000002</v>
      </c>
      <c r="AP249" s="170">
        <f t="shared" si="22"/>
        <v>1782.7400000000002</v>
      </c>
      <c r="AQ249" s="170">
        <f t="shared" si="22"/>
        <v>1667.44</v>
      </c>
      <c r="AR249" s="170">
        <f t="shared" si="22"/>
        <v>1694.8400000000001</v>
      </c>
      <c r="AS249" s="170">
        <f t="shared" si="22"/>
        <v>1694.8400000000001</v>
      </c>
      <c r="AT249" s="170">
        <f t="shared" si="22"/>
        <v>1925.6399999999999</v>
      </c>
      <c r="AU249" s="170">
        <f t="shared" si="22"/>
        <v>1992.94</v>
      </c>
      <c r="AV249" s="170">
        <f t="shared" si="22"/>
        <v>1914.44</v>
      </c>
      <c r="AW249" s="170">
        <f t="shared" si="22"/>
        <v>1844.5399999999997</v>
      </c>
      <c r="AX249" s="170">
        <f t="shared" si="22"/>
        <v>1774.9399999999998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3">C234</f>
        <v>0.64</v>
      </c>
      <c r="C270" s="173">
        <f t="shared" si="23"/>
        <v>0.64</v>
      </c>
      <c r="D270" s="173">
        <f t="shared" si="23"/>
        <v>0.64</v>
      </c>
      <c r="E270" s="173">
        <f t="shared" si="23"/>
        <v>0.64</v>
      </c>
      <c r="F270" s="173">
        <f t="shared" si="23"/>
        <v>0.64</v>
      </c>
      <c r="G270" s="173">
        <f t="shared" si="23"/>
        <v>0.64</v>
      </c>
      <c r="H270" s="173">
        <f t="shared" si="23"/>
        <v>0.64</v>
      </c>
      <c r="I270" s="173">
        <f t="shared" si="23"/>
        <v>0.64</v>
      </c>
      <c r="J270" s="173">
        <f t="shared" si="23"/>
        <v>0.64</v>
      </c>
      <c r="K270" s="173">
        <f t="shared" si="23"/>
        <v>0.64</v>
      </c>
      <c r="L270" s="173">
        <f t="shared" si="23"/>
        <v>0.64</v>
      </c>
      <c r="M270" s="173">
        <f t="shared" si="23"/>
        <v>0.64</v>
      </c>
      <c r="N270" s="173">
        <f t="shared" si="23"/>
        <v>0.64</v>
      </c>
      <c r="O270" s="173">
        <f t="shared" si="23"/>
        <v>0.64</v>
      </c>
      <c r="P270" s="173">
        <f t="shared" si="23"/>
        <v>0</v>
      </c>
      <c r="Q270" s="173">
        <f t="shared" si="23"/>
        <v>0</v>
      </c>
      <c r="R270" s="173">
        <f t="shared" si="23"/>
        <v>0</v>
      </c>
      <c r="S270" s="173">
        <f t="shared" si="23"/>
        <v>0</v>
      </c>
      <c r="T270" s="173">
        <f t="shared" si="23"/>
        <v>0</v>
      </c>
      <c r="U270" s="173">
        <f t="shared" si="23"/>
        <v>0</v>
      </c>
      <c r="V270" s="173">
        <f t="shared" si="23"/>
        <v>0</v>
      </c>
      <c r="W270" s="173">
        <f t="shared" si="23"/>
        <v>0</v>
      </c>
      <c r="X270" s="173">
        <f t="shared" si="23"/>
        <v>0</v>
      </c>
      <c r="Y270" s="173">
        <f t="shared" si="23"/>
        <v>0</v>
      </c>
      <c r="Z270" s="173">
        <f t="shared" si="23"/>
        <v>0</v>
      </c>
      <c r="AA270" s="173">
        <f t="shared" si="23"/>
        <v>0</v>
      </c>
      <c r="AB270" s="173">
        <f t="shared" si="23"/>
        <v>0</v>
      </c>
      <c r="AC270" s="173">
        <f t="shared" si="23"/>
        <v>0</v>
      </c>
      <c r="AD270" s="173">
        <f t="shared" si="23"/>
        <v>0</v>
      </c>
      <c r="AE270" s="173">
        <f t="shared" si="23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4">IF(B238&lt;100,"",B238-520)</f>
        <v/>
      </c>
      <c r="C271" s="174" t="str">
        <f t="shared" si="24"/>
        <v/>
      </c>
      <c r="D271" s="174" t="str">
        <f t="shared" si="24"/>
        <v/>
      </c>
      <c r="E271" s="174" t="str">
        <f t="shared" si="24"/>
        <v/>
      </c>
      <c r="F271" s="174" t="str">
        <f t="shared" si="24"/>
        <v/>
      </c>
      <c r="G271" s="174" t="str">
        <f t="shared" si="24"/>
        <v/>
      </c>
      <c r="H271" s="174" t="str">
        <f t="shared" si="24"/>
        <v/>
      </c>
      <c r="I271" s="174" t="str">
        <f t="shared" si="24"/>
        <v/>
      </c>
      <c r="J271" s="174" t="str">
        <f t="shared" si="24"/>
        <v/>
      </c>
      <c r="K271" s="174" t="str">
        <f t="shared" si="24"/>
        <v/>
      </c>
      <c r="L271" s="174" t="str">
        <f t="shared" si="24"/>
        <v/>
      </c>
      <c r="M271" s="174" t="str">
        <f t="shared" si="24"/>
        <v/>
      </c>
      <c r="N271" s="174" t="str">
        <f t="shared" si="24"/>
        <v/>
      </c>
      <c r="O271" s="174" t="str">
        <f t="shared" si="24"/>
        <v/>
      </c>
      <c r="P271" s="174" t="str">
        <f t="shared" si="24"/>
        <v/>
      </c>
      <c r="Q271" s="174" t="str">
        <f t="shared" si="24"/>
        <v/>
      </c>
      <c r="R271" s="174" t="str">
        <f t="shared" si="24"/>
        <v/>
      </c>
      <c r="S271" s="174" t="str">
        <f t="shared" si="24"/>
        <v/>
      </c>
      <c r="T271" s="174" t="str">
        <f t="shared" si="24"/>
        <v/>
      </c>
      <c r="U271" s="174" t="str">
        <f t="shared" si="24"/>
        <v/>
      </c>
      <c r="V271" s="174" t="str">
        <f t="shared" si="24"/>
        <v/>
      </c>
      <c r="W271" s="174" t="str">
        <f t="shared" si="24"/>
        <v/>
      </c>
      <c r="X271" s="174" t="str">
        <f t="shared" si="24"/>
        <v/>
      </c>
      <c r="Y271" s="174" t="str">
        <f t="shared" si="24"/>
        <v/>
      </c>
      <c r="Z271" s="174" t="str">
        <f t="shared" si="24"/>
        <v/>
      </c>
      <c r="AA271" s="174" t="str">
        <f t="shared" si="24"/>
        <v/>
      </c>
      <c r="AB271" s="174" t="str">
        <f t="shared" si="24"/>
        <v/>
      </c>
      <c r="AC271" s="174" t="str">
        <f t="shared" si="24"/>
        <v/>
      </c>
      <c r="AD271" s="174" t="str">
        <f t="shared" si="24"/>
        <v/>
      </c>
      <c r="AE271" s="174" t="str">
        <f t="shared" si="24"/>
        <v/>
      </c>
      <c r="AF271" s="174" t="str">
        <f t="shared" si="24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5">IF(B239&lt;100,"",B239-620)</f>
        <v/>
      </c>
      <c r="C272" s="174" t="str">
        <f t="shared" si="25"/>
        <v/>
      </c>
      <c r="D272" s="174" t="str">
        <f t="shared" si="25"/>
        <v/>
      </c>
      <c r="E272" s="174" t="str">
        <f t="shared" si="25"/>
        <v/>
      </c>
      <c r="F272" s="174" t="str">
        <f t="shared" si="25"/>
        <v/>
      </c>
      <c r="G272" s="174" t="str">
        <f t="shared" si="25"/>
        <v/>
      </c>
      <c r="H272" s="174" t="str">
        <f t="shared" si="25"/>
        <v/>
      </c>
      <c r="I272" s="174" t="str">
        <f t="shared" si="25"/>
        <v/>
      </c>
      <c r="J272" s="174" t="str">
        <f t="shared" si="25"/>
        <v/>
      </c>
      <c r="K272" s="174" t="str">
        <f t="shared" si="25"/>
        <v/>
      </c>
      <c r="L272" s="174" t="str">
        <f t="shared" si="25"/>
        <v/>
      </c>
      <c r="M272" s="174" t="str">
        <f t="shared" si="25"/>
        <v/>
      </c>
      <c r="N272" s="174" t="str">
        <f t="shared" si="25"/>
        <v/>
      </c>
      <c r="O272" s="174" t="str">
        <f t="shared" si="25"/>
        <v/>
      </c>
      <c r="P272" s="174" t="str">
        <f t="shared" si="25"/>
        <v/>
      </c>
      <c r="Q272" s="174" t="str">
        <f t="shared" si="25"/>
        <v/>
      </c>
      <c r="R272" s="174" t="str">
        <f t="shared" si="25"/>
        <v/>
      </c>
      <c r="S272" s="174" t="str">
        <f t="shared" si="25"/>
        <v/>
      </c>
      <c r="T272" s="174" t="str">
        <f t="shared" si="25"/>
        <v/>
      </c>
      <c r="U272" s="174" t="str">
        <f t="shared" si="25"/>
        <v/>
      </c>
      <c r="V272" s="174" t="str">
        <f t="shared" si="25"/>
        <v/>
      </c>
      <c r="W272" s="174" t="str">
        <f t="shared" si="25"/>
        <v/>
      </c>
      <c r="X272" s="174" t="str">
        <f t="shared" si="25"/>
        <v/>
      </c>
      <c r="Y272" s="174" t="str">
        <f t="shared" si="25"/>
        <v/>
      </c>
      <c r="Z272" s="174" t="str">
        <f t="shared" si="25"/>
        <v/>
      </c>
      <c r="AA272" s="174" t="str">
        <f t="shared" si="25"/>
        <v/>
      </c>
      <c r="AB272" s="174" t="str">
        <f t="shared" si="25"/>
        <v/>
      </c>
      <c r="AC272" s="174" t="str">
        <f t="shared" si="25"/>
        <v/>
      </c>
      <c r="AD272" s="174" t="str">
        <f t="shared" si="25"/>
        <v/>
      </c>
      <c r="AE272" s="174" t="str">
        <f t="shared" si="25"/>
        <v/>
      </c>
      <c r="AF272" s="174" t="str">
        <f t="shared" si="25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6">IF(B240&lt;100,"",B240-330)</f>
        <v/>
      </c>
      <c r="C273" s="174" t="str">
        <f t="shared" si="26"/>
        <v/>
      </c>
      <c r="D273" s="174" t="str">
        <f t="shared" si="26"/>
        <v/>
      </c>
      <c r="E273" s="174" t="str">
        <f t="shared" si="26"/>
        <v/>
      </c>
      <c r="F273" s="174" t="str">
        <f t="shared" si="26"/>
        <v/>
      </c>
      <c r="G273" s="174" t="str">
        <f t="shared" si="26"/>
        <v/>
      </c>
      <c r="H273" s="174" t="str">
        <f t="shared" si="26"/>
        <v/>
      </c>
      <c r="I273" s="174" t="str">
        <f t="shared" si="26"/>
        <v/>
      </c>
      <c r="J273" s="174" t="str">
        <f t="shared" si="26"/>
        <v/>
      </c>
      <c r="K273" s="174" t="str">
        <f t="shared" si="26"/>
        <v/>
      </c>
      <c r="L273" s="174" t="str">
        <f t="shared" si="26"/>
        <v/>
      </c>
      <c r="M273" s="174" t="str">
        <f t="shared" si="26"/>
        <v/>
      </c>
      <c r="N273" s="174" t="str">
        <f t="shared" si="26"/>
        <v/>
      </c>
      <c r="O273" s="174" t="str">
        <f t="shared" si="26"/>
        <v/>
      </c>
      <c r="P273" s="174" t="str">
        <f t="shared" si="26"/>
        <v/>
      </c>
      <c r="Q273" s="174" t="str">
        <f t="shared" si="26"/>
        <v/>
      </c>
      <c r="R273" s="174" t="str">
        <f t="shared" si="26"/>
        <v/>
      </c>
      <c r="S273" s="174" t="str">
        <f t="shared" si="26"/>
        <v/>
      </c>
      <c r="T273" s="174" t="str">
        <f t="shared" si="26"/>
        <v/>
      </c>
      <c r="U273" s="174" t="str">
        <f t="shared" si="26"/>
        <v/>
      </c>
      <c r="V273" s="174" t="str">
        <f t="shared" si="26"/>
        <v/>
      </c>
      <c r="W273" s="174" t="str">
        <f t="shared" si="26"/>
        <v/>
      </c>
      <c r="X273" s="174" t="str">
        <f t="shared" si="26"/>
        <v/>
      </c>
      <c r="Y273" s="174" t="str">
        <f t="shared" si="26"/>
        <v/>
      </c>
      <c r="Z273" s="174" t="str">
        <f t="shared" si="26"/>
        <v/>
      </c>
      <c r="AA273" s="174" t="str">
        <f t="shared" si="26"/>
        <v/>
      </c>
      <c r="AB273" s="174" t="str">
        <f t="shared" si="26"/>
        <v/>
      </c>
      <c r="AC273" s="174" t="str">
        <f t="shared" si="26"/>
        <v/>
      </c>
      <c r="AD273" s="174" t="str">
        <f t="shared" si="26"/>
        <v/>
      </c>
      <c r="AE273" s="174" t="str">
        <f t="shared" si="26"/>
        <v/>
      </c>
      <c r="AF273" s="174" t="str">
        <f t="shared" si="26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7">IF(B241&lt;100,"",B241-1500)</f>
        <v/>
      </c>
      <c r="C274" s="174" t="str">
        <f t="shared" si="27"/>
        <v/>
      </c>
      <c r="D274" s="174" t="str">
        <f t="shared" si="27"/>
        <v/>
      </c>
      <c r="E274" s="174" t="str">
        <f t="shared" si="27"/>
        <v/>
      </c>
      <c r="F274" s="174" t="str">
        <f t="shared" si="27"/>
        <v/>
      </c>
      <c r="G274" s="174" t="str">
        <f t="shared" si="27"/>
        <v/>
      </c>
      <c r="H274" s="174" t="str">
        <f t="shared" si="27"/>
        <v/>
      </c>
      <c r="I274" s="174" t="str">
        <f t="shared" si="27"/>
        <v/>
      </c>
      <c r="J274" s="174" t="str">
        <f t="shared" si="27"/>
        <v/>
      </c>
      <c r="K274" s="174" t="str">
        <f t="shared" si="27"/>
        <v/>
      </c>
      <c r="L274" s="174" t="str">
        <f t="shared" si="27"/>
        <v/>
      </c>
      <c r="M274" s="174" t="str">
        <f t="shared" si="27"/>
        <v/>
      </c>
      <c r="N274" s="174" t="str">
        <f t="shared" si="27"/>
        <v/>
      </c>
      <c r="O274" s="174" t="str">
        <f t="shared" si="27"/>
        <v/>
      </c>
      <c r="P274" s="174" t="str">
        <f t="shared" si="27"/>
        <v/>
      </c>
      <c r="Q274" s="174" t="str">
        <f t="shared" si="27"/>
        <v/>
      </c>
      <c r="R274" s="174" t="str">
        <f t="shared" si="27"/>
        <v/>
      </c>
      <c r="S274" s="174" t="str">
        <f t="shared" si="27"/>
        <v/>
      </c>
      <c r="T274" s="174" t="str">
        <f t="shared" si="27"/>
        <v/>
      </c>
      <c r="U274" s="174" t="str">
        <f t="shared" si="27"/>
        <v/>
      </c>
      <c r="V274" s="174" t="str">
        <f t="shared" si="27"/>
        <v/>
      </c>
      <c r="W274" s="174" t="str">
        <f t="shared" si="27"/>
        <v/>
      </c>
      <c r="X274" s="174" t="str">
        <f t="shared" si="27"/>
        <v/>
      </c>
      <c r="Y274" s="174" t="str">
        <f t="shared" si="27"/>
        <v/>
      </c>
      <c r="Z274" s="174" t="str">
        <f t="shared" si="27"/>
        <v/>
      </c>
      <c r="AA274" s="174" t="str">
        <f t="shared" si="27"/>
        <v/>
      </c>
      <c r="AB274" s="174" t="str">
        <f t="shared" si="27"/>
        <v/>
      </c>
      <c r="AC274" s="174" t="str">
        <f t="shared" si="27"/>
        <v/>
      </c>
      <c r="AD274" s="174" t="str">
        <f t="shared" si="27"/>
        <v/>
      </c>
      <c r="AE274" s="174" t="str">
        <f t="shared" si="27"/>
        <v/>
      </c>
      <c r="AF274" s="174" t="str">
        <f t="shared" si="2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4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47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Z12:AF12 D111:AF111 D113:AF119 Z14:AF16">
    <cfRule type="expression" dxfId="5423" priority="543">
      <formula>B$9&gt;=20/24</formula>
    </cfRule>
    <cfRule type="expression" dxfId="5422" priority="544">
      <formula>AND(B$9&gt;=14/24,B$9&lt;20/24)</formula>
    </cfRule>
    <cfRule type="expression" dxfId="5421" priority="545">
      <formula>AND(B$9&gt;=8/24,B$9&lt;14/24)</formula>
    </cfRule>
    <cfRule type="expression" dxfId="5420" priority="546">
      <formula>B$9&lt;8/24</formula>
    </cfRule>
  </conditionalFormatting>
  <conditionalFormatting sqref="AL4:AL6">
    <cfRule type="iconSet" priority="542">
      <iconSet iconSet="3TrafficLights2" reverse="1">
        <cfvo type="percent" val="0"/>
        <cfvo type="num" val="1"/>
        <cfvo type="num" val="1"/>
      </iconSet>
    </cfRule>
  </conditionalFormatting>
  <conditionalFormatting sqref="AG67 Z12:AF12 Z14:AF16">
    <cfRule type="expression" dxfId="5419" priority="541">
      <formula>Z12&gt;$AG12</formula>
    </cfRule>
  </conditionalFormatting>
  <conditionalFormatting sqref="A101:A111 A61:A88 A97:A99 A205:A235 A48:A59 A121:A192 A43:A44 A93:A95 A90:A91 A113:A115 A40:A41 A21:A22 A24:A34 A19 A36:A38 A12:A17">
    <cfRule type="expression" dxfId="5418" priority="540">
      <formula>$AH12=0</formula>
    </cfRule>
  </conditionalFormatting>
  <conditionalFormatting sqref="A116">
    <cfRule type="expression" dxfId="5417" priority="539">
      <formula>$AH116=0</formula>
    </cfRule>
  </conditionalFormatting>
  <conditionalFormatting sqref="AL44">
    <cfRule type="iconSet" priority="538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5416" priority="537">
      <formula>$AH47=0</formula>
    </cfRule>
  </conditionalFormatting>
  <conditionalFormatting sqref="A100">
    <cfRule type="expression" dxfId="5415" priority="536">
      <formula>$AH100=0</formula>
    </cfRule>
  </conditionalFormatting>
  <conditionalFormatting sqref="A20">
    <cfRule type="expression" dxfId="5414" priority="535">
      <formula>$AH20=0</formula>
    </cfRule>
  </conditionalFormatting>
  <conditionalFormatting sqref="A199:A204">
    <cfRule type="expression" dxfId="5413" priority="534">
      <formula>$AH199=0</formula>
    </cfRule>
  </conditionalFormatting>
  <conditionalFormatting sqref="A193:A198">
    <cfRule type="expression" dxfId="5412" priority="533">
      <formula>$AH193=0</formula>
    </cfRule>
  </conditionalFormatting>
  <conditionalFormatting sqref="A60">
    <cfRule type="expression" dxfId="5411" priority="532">
      <formula>$AH60=0</formula>
    </cfRule>
  </conditionalFormatting>
  <conditionalFormatting sqref="A96">
    <cfRule type="expression" dxfId="5410" priority="531">
      <formula>$AH96=0</formula>
    </cfRule>
  </conditionalFormatting>
  <conditionalFormatting sqref="E101:X101 AD101:AF101">
    <cfRule type="expression" dxfId="5409" priority="527">
      <formula>E$9&gt;=20/24</formula>
    </cfRule>
    <cfRule type="expression" dxfId="5408" priority="528">
      <formula>AND(E$9&gt;=14/24,E$9&lt;20/24)</formula>
    </cfRule>
    <cfRule type="expression" dxfId="5407" priority="529">
      <formula>AND(E$9&gt;=8/24,E$9&lt;14/24)</formula>
    </cfRule>
    <cfRule type="expression" dxfId="5406" priority="530">
      <formula>E$9&lt;8/24</formula>
    </cfRule>
  </conditionalFormatting>
  <conditionalFormatting sqref="AL45">
    <cfRule type="iconSet" priority="52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405" priority="549">
      <formula>C$9&gt;=20/24</formula>
    </cfRule>
    <cfRule type="expression" dxfId="5404" priority="550">
      <formula>AND(C$9&gt;=14/24,C$9&lt;20/24)</formula>
    </cfRule>
    <cfRule type="expression" dxfId="5403" priority="551">
      <formula>AND(C$9&gt;=8/24,C$9&lt;14/24)</formula>
    </cfRule>
    <cfRule type="expression" dxfId="5402" priority="552">
      <formula>C$9&lt;8/24</formula>
    </cfRule>
  </conditionalFormatting>
  <conditionalFormatting sqref="A236">
    <cfRule type="expression" dxfId="5401" priority="553">
      <formula>$AH236=0</formula>
    </cfRule>
  </conditionalFormatting>
  <conditionalFormatting sqref="AG248">
    <cfRule type="expression" dxfId="5400" priority="554">
      <formula>B$9&gt;=20/24</formula>
    </cfRule>
    <cfRule type="expression" dxfId="5399" priority="555">
      <formula>AND(B$9&gt;=14/24,B$9&lt;20/24)</formula>
    </cfRule>
    <cfRule type="expression" dxfId="5398" priority="556">
      <formula>AND(B$9&gt;=8/24,B$9&lt;14/24)</formula>
    </cfRule>
    <cfRule type="expression" dxfId="5397" priority="557">
      <formula>B$9&lt;8/24</formula>
    </cfRule>
  </conditionalFormatting>
  <conditionalFormatting sqref="S8">
    <cfRule type="expression" dxfId="5396" priority="522">
      <formula>U$9&gt;=20/24</formula>
    </cfRule>
    <cfRule type="expression" dxfId="5395" priority="523">
      <formula>AND(U$9&gt;=14/24,U$9&lt;20/24)</formula>
    </cfRule>
    <cfRule type="expression" dxfId="5394" priority="524">
      <formula>AND(U$9&gt;=8/24,U$9&lt;14/24)</formula>
    </cfRule>
    <cfRule type="expression" dxfId="5393" priority="525">
      <formula>U$9&lt;8/24</formula>
    </cfRule>
  </conditionalFormatting>
  <conditionalFormatting sqref="AB8">
    <cfRule type="expression" dxfId="5392" priority="518">
      <formula>AD$9&gt;=20/24</formula>
    </cfRule>
    <cfRule type="expression" dxfId="5391" priority="519">
      <formula>AND(AD$9&gt;=14/24,AD$9&lt;20/24)</formula>
    </cfRule>
    <cfRule type="expression" dxfId="5390" priority="520">
      <formula>AND(AD$9&gt;=8/24,AD$9&lt;14/24)</formula>
    </cfRule>
    <cfRule type="expression" dxfId="5389" priority="521">
      <formula>AD$9&lt;8/24</formula>
    </cfRule>
  </conditionalFormatting>
  <conditionalFormatting sqref="AH248:AX248">
    <cfRule type="expression" dxfId="5388" priority="558">
      <formula>AG$9&gt;=20/24</formula>
    </cfRule>
    <cfRule type="expression" dxfId="5387" priority="559">
      <formula>AND(AG$9&gt;=14/24,AG$9&lt;20/24)</formula>
    </cfRule>
    <cfRule type="expression" dxfId="5386" priority="560">
      <formula>AND(AG$9&gt;=8/24,AG$9&lt;14/24)</formula>
    </cfRule>
    <cfRule type="expression" dxfId="5385" priority="561">
      <formula>AG$9&lt;8/24</formula>
    </cfRule>
  </conditionalFormatting>
  <conditionalFormatting sqref="T248">
    <cfRule type="expression" dxfId="5384" priority="562">
      <formula>AX$9&gt;=20/24</formula>
    </cfRule>
    <cfRule type="expression" dxfId="5383" priority="563">
      <formula>AND(AX$9&gt;=14/24,AX$9&lt;20/24)</formula>
    </cfRule>
    <cfRule type="expression" dxfId="5382" priority="564">
      <formula>AND(AX$9&gt;=8/24,AX$9&lt;14/24)</formula>
    </cfRule>
    <cfRule type="expression" dxfId="5381" priority="565">
      <formula>AX$9&lt;8/24</formula>
    </cfRule>
  </conditionalFormatting>
  <conditionalFormatting sqref="A117:A119">
    <cfRule type="expression" dxfId="5380" priority="517">
      <formula>$AH117=0</formula>
    </cfRule>
  </conditionalFormatting>
  <conditionalFormatting sqref="O56:R57 E73:AF73">
    <cfRule type="expression" dxfId="5379" priority="513">
      <formula>E$9&gt;=20/24</formula>
    </cfRule>
    <cfRule type="expression" dxfId="5378" priority="514">
      <formula>AND(E$9&gt;=14/24,E$9&lt;20/24)</formula>
    </cfRule>
    <cfRule type="expression" dxfId="5377" priority="515">
      <formula>AND(E$9&gt;=8/24,E$9&lt;14/24)</formula>
    </cfRule>
    <cfRule type="expression" dxfId="5376" priority="516">
      <formula>E$9&lt;8/24</formula>
    </cfRule>
  </conditionalFormatting>
  <conditionalFormatting sqref="O55:R55">
    <cfRule type="expression" dxfId="5375" priority="509">
      <formula>O$9&gt;=20/24</formula>
    </cfRule>
    <cfRule type="expression" dxfId="5374" priority="510">
      <formula>AND(O$9&gt;=14/24,O$9&lt;20/24)</formula>
    </cfRule>
    <cfRule type="expression" dxfId="5373" priority="511">
      <formula>AND(O$9&gt;=8/24,O$9&lt;14/24)</formula>
    </cfRule>
    <cfRule type="expression" dxfId="5372" priority="512">
      <formula>O$9&lt;8/24</formula>
    </cfRule>
  </conditionalFormatting>
  <conditionalFormatting sqref="O55:R57">
    <cfRule type="expression" dxfId="5371" priority="508">
      <formula>O55&gt;$AG55</formula>
    </cfRule>
  </conditionalFormatting>
  <conditionalFormatting sqref="D88:AF88 X98:AF98 M102:X108 X49:AF49 AB69:AF71 E74:AF75 AF102:AF104 AE105:AF108">
    <cfRule type="expression" dxfId="5370" priority="504">
      <formula>D$9&gt;=20/24</formula>
    </cfRule>
    <cfRule type="expression" dxfId="5369" priority="505">
      <formula>AND(D$9&gt;=14/24,D$9&lt;20/24)</formula>
    </cfRule>
    <cfRule type="expression" dxfId="5368" priority="506">
      <formula>AND(D$9&gt;=8/24,D$9&lt;14/24)</formula>
    </cfRule>
    <cfRule type="expression" dxfId="5367" priority="507">
      <formula>D$9&lt;8/24</formula>
    </cfRule>
  </conditionalFormatting>
  <conditionalFormatting sqref="X49:AF49 AB69:AF71">
    <cfRule type="expression" dxfId="5366" priority="503">
      <formula>X49&gt;$AG49</formula>
    </cfRule>
  </conditionalFormatting>
  <conditionalFormatting sqref="S55:AF60">
    <cfRule type="expression" dxfId="5365" priority="499">
      <formula>S$9&gt;=20/24</formula>
    </cfRule>
    <cfRule type="expression" dxfId="5364" priority="500">
      <formula>AND(S$9&gt;=14/24,S$9&lt;20/24)</formula>
    </cfRule>
    <cfRule type="expression" dxfId="5363" priority="501">
      <formula>AND(S$9&gt;=8/24,S$9&lt;14/24)</formula>
    </cfRule>
    <cfRule type="expression" dxfId="5362" priority="502">
      <formula>S$9&lt;8/24</formula>
    </cfRule>
  </conditionalFormatting>
  <conditionalFormatting sqref="S55:AF60">
    <cfRule type="expression" dxfId="5361" priority="498">
      <formula>S55&gt;$AG55</formula>
    </cfRule>
  </conditionalFormatting>
  <conditionalFormatting sqref="C99:AF99 D90:AF90">
    <cfRule type="expression" dxfId="5360" priority="494">
      <formula>C$9&gt;=20/24</formula>
    </cfRule>
    <cfRule type="expression" dxfId="5359" priority="495">
      <formula>AND(C$9&gt;=14/24,C$9&lt;20/24)</formula>
    </cfRule>
    <cfRule type="expression" dxfId="5358" priority="496">
      <formula>AND(C$9&gt;=8/24,C$9&lt;14/24)</formula>
    </cfRule>
    <cfRule type="expression" dxfId="5357" priority="497">
      <formula>C$9&lt;8/24</formula>
    </cfRule>
  </conditionalFormatting>
  <conditionalFormatting sqref="V49:W49">
    <cfRule type="expression" dxfId="5356" priority="490">
      <formula>V$9&gt;=20/24</formula>
    </cfRule>
    <cfRule type="expression" dxfId="5355" priority="491">
      <formula>AND(V$9&gt;=14/24,V$9&lt;20/24)</formula>
    </cfRule>
    <cfRule type="expression" dxfId="5354" priority="492">
      <formula>AND(V$9&gt;=8/24,V$9&lt;14/24)</formula>
    </cfRule>
    <cfRule type="expression" dxfId="5353" priority="493">
      <formula>V$9&lt;8/24</formula>
    </cfRule>
  </conditionalFormatting>
  <conditionalFormatting sqref="V49:W49">
    <cfRule type="expression" dxfId="5352" priority="489">
      <formula>V49&gt;$AG49</formula>
    </cfRule>
  </conditionalFormatting>
  <conditionalFormatting sqref="E56:N57">
    <cfRule type="expression" dxfId="5351" priority="485">
      <formula>E$9&gt;=20/24</formula>
    </cfRule>
    <cfRule type="expression" dxfId="5350" priority="486">
      <formula>AND(E$9&gt;=14/24,E$9&lt;20/24)</formula>
    </cfRule>
    <cfRule type="expression" dxfId="5349" priority="487">
      <formula>AND(E$9&gt;=8/24,E$9&lt;14/24)</formula>
    </cfRule>
    <cfRule type="expression" dxfId="5348" priority="488">
      <formula>E$9&lt;8/24</formula>
    </cfRule>
  </conditionalFormatting>
  <conditionalFormatting sqref="E55:N55">
    <cfRule type="expression" dxfId="5347" priority="481">
      <formula>E$9&gt;=20/24</formula>
    </cfRule>
    <cfRule type="expression" dxfId="5346" priority="482">
      <formula>AND(E$9&gt;=14/24,E$9&lt;20/24)</formula>
    </cfRule>
    <cfRule type="expression" dxfId="5345" priority="483">
      <formula>AND(E$9&gt;=8/24,E$9&lt;14/24)</formula>
    </cfRule>
    <cfRule type="expression" dxfId="5344" priority="484">
      <formula>E$9&lt;8/24</formula>
    </cfRule>
  </conditionalFormatting>
  <conditionalFormatting sqref="E55:N57">
    <cfRule type="expression" dxfId="5343" priority="480">
      <formula>E55&gt;$AG55</formula>
    </cfRule>
  </conditionalFormatting>
  <conditionalFormatting sqref="AG72 AG89 E102:L108">
    <cfRule type="expression" dxfId="5342" priority="476">
      <formula>E$9&gt;=20/24</formula>
    </cfRule>
    <cfRule type="expression" dxfId="5341" priority="477">
      <formula>AND(E$9&gt;=14/24,E$9&lt;20/24)</formula>
    </cfRule>
    <cfRule type="expression" dxfId="5340" priority="478">
      <formula>AND(E$9&gt;=8/24,E$9&lt;14/24)</formula>
    </cfRule>
    <cfRule type="expression" dxfId="5339" priority="479">
      <formula>E$9&lt;8/24</formula>
    </cfRule>
  </conditionalFormatting>
  <conditionalFormatting sqref="AG50 AG68 AG72">
    <cfRule type="expression" dxfId="5338" priority="475">
      <formula>AG50&gt;$AG50</formula>
    </cfRule>
  </conditionalFormatting>
  <conditionalFormatting sqref="A45">
    <cfRule type="expression" dxfId="5337" priority="469">
      <formula>$AH45=0</formula>
    </cfRule>
  </conditionalFormatting>
  <conditionalFormatting sqref="X93:AF97">
    <cfRule type="expression" dxfId="5336" priority="465">
      <formula>X$9&gt;=20/24</formula>
    </cfRule>
    <cfRule type="expression" dxfId="5335" priority="466">
      <formula>AND(X$9&gt;=14/24,X$9&lt;20/24)</formula>
    </cfRule>
    <cfRule type="expression" dxfId="5334" priority="467">
      <formula>AND(X$9&gt;=8/24,X$9&lt;14/24)</formula>
    </cfRule>
    <cfRule type="expression" dxfId="5333" priority="468">
      <formula>X$9&lt;8/24</formula>
    </cfRule>
  </conditionalFormatting>
  <conditionalFormatting sqref="AL47 AL43 AL24:AL34 AL40:AL41 AL19:AL22 AL36:AL38 AL7:AL17">
    <cfRule type="iconSet" priority="566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5332" priority="461">
      <formula>E$9&gt;=20/24</formula>
    </cfRule>
    <cfRule type="expression" dxfId="5331" priority="462">
      <formula>AND(E$9&gt;=14/24,E$9&lt;20/24)</formula>
    </cfRule>
    <cfRule type="expression" dxfId="5330" priority="463">
      <formula>AND(E$9&gt;=8/24,E$9&lt;14/24)</formula>
    </cfRule>
    <cfRule type="expression" dxfId="5329" priority="464">
      <formula>E$9&lt;8/24</formula>
    </cfRule>
  </conditionalFormatting>
  <conditionalFormatting sqref="E51:AF53">
    <cfRule type="expression" dxfId="5328" priority="460">
      <formula>E51&gt;$AG51</formula>
    </cfRule>
  </conditionalFormatting>
  <conditionalFormatting sqref="AG54">
    <cfRule type="expression" dxfId="5327" priority="456">
      <formula>AG$9&gt;=20/24</formula>
    </cfRule>
    <cfRule type="expression" dxfId="5326" priority="457">
      <formula>AND(AG$9&gt;=14/24,AG$9&lt;20/24)</formula>
    </cfRule>
    <cfRule type="expression" dxfId="5325" priority="458">
      <formula>AND(AG$9&gt;=8/24,AG$9&lt;14/24)</formula>
    </cfRule>
    <cfRule type="expression" dxfId="5324" priority="459">
      <formula>AG$9&lt;8/24</formula>
    </cfRule>
  </conditionalFormatting>
  <conditionalFormatting sqref="AG54">
    <cfRule type="expression" dxfId="5323" priority="455">
      <formula>AG54&gt;$AG54</formula>
    </cfRule>
  </conditionalFormatting>
  <conditionalFormatting sqref="C109:AF109">
    <cfRule type="expression" dxfId="5322" priority="451">
      <formula>C$9&gt;=20/24</formula>
    </cfRule>
    <cfRule type="expression" dxfId="5321" priority="452">
      <formula>AND(C$9&gt;=14/24,C$9&lt;20/24)</formula>
    </cfRule>
    <cfRule type="expression" dxfId="5320" priority="453">
      <formula>AND(C$9&gt;=8/24,C$9&lt;14/24)</formula>
    </cfRule>
    <cfRule type="expression" dxfId="5319" priority="454">
      <formula>C$9&lt;8/24</formula>
    </cfRule>
  </conditionalFormatting>
  <conditionalFormatting sqref="AL42">
    <cfRule type="iconSet" priority="450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5318" priority="449">
      <formula>$AH42=0</formula>
    </cfRule>
  </conditionalFormatting>
  <conditionalFormatting sqref="A92">
    <cfRule type="expression" dxfId="5317" priority="447">
      <formula>$AH92=0</formula>
    </cfRule>
  </conditionalFormatting>
  <conditionalFormatting sqref="A89">
    <cfRule type="expression" dxfId="5316" priority="448">
      <formula>$AH89=0</formula>
    </cfRule>
  </conditionalFormatting>
  <conditionalFormatting sqref="D112:AF112">
    <cfRule type="expression" dxfId="5315" priority="443">
      <formula>D$9&gt;=20/24</formula>
    </cfRule>
    <cfRule type="expression" dxfId="5314" priority="444">
      <formula>AND(D$9&gt;=14/24,D$9&lt;20/24)</formula>
    </cfRule>
    <cfRule type="expression" dxfId="5313" priority="445">
      <formula>AND(D$9&gt;=8/24,D$9&lt;14/24)</formula>
    </cfRule>
    <cfRule type="expression" dxfId="5312" priority="446">
      <formula>D$9&lt;8/24</formula>
    </cfRule>
  </conditionalFormatting>
  <conditionalFormatting sqref="A112">
    <cfRule type="expression" dxfId="5311" priority="442">
      <formula>$AH112=0</formula>
    </cfRule>
  </conditionalFormatting>
  <conditionalFormatting sqref="A23">
    <cfRule type="expression" dxfId="5310" priority="440">
      <formula>$AH23=0</formula>
    </cfRule>
  </conditionalFormatting>
  <conditionalFormatting sqref="AL23">
    <cfRule type="iconSet" priority="441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5309" priority="438">
      <formula>$AH39=0</formula>
    </cfRule>
  </conditionalFormatting>
  <conditionalFormatting sqref="AL39">
    <cfRule type="iconSet" priority="439">
      <iconSet iconSet="3TrafficLights2" reverse="1">
        <cfvo type="percent" val="0"/>
        <cfvo type="num" val="1"/>
        <cfvo type="num" val="1"/>
      </iconSet>
    </cfRule>
  </conditionalFormatting>
  <conditionalFormatting sqref="Y101:AC101">
    <cfRule type="expression" dxfId="5308" priority="434">
      <formula>Y$9&gt;=20/24</formula>
    </cfRule>
    <cfRule type="expression" dxfId="5307" priority="435">
      <formula>AND(Y$9&gt;=14/24,Y$9&lt;20/24)</formula>
    </cfRule>
    <cfRule type="expression" dxfId="5306" priority="436">
      <formula>AND(Y$9&gt;=8/24,Y$9&lt;14/24)</formula>
    </cfRule>
    <cfRule type="expression" dxfId="5305" priority="437">
      <formula>Y$9&lt;8/24</formula>
    </cfRule>
  </conditionalFormatting>
  <conditionalFormatting sqref="Y102:AD108 AE102:AE104">
    <cfRule type="expression" dxfId="5304" priority="430">
      <formula>Y$9&gt;=20/24</formula>
    </cfRule>
    <cfRule type="expression" dxfId="5303" priority="431">
      <formula>AND(Y$9&gt;=14/24,Y$9&lt;20/24)</formula>
    </cfRule>
    <cfRule type="expression" dxfId="5302" priority="432">
      <formula>AND(Y$9&gt;=8/24,Y$9&lt;14/24)</formula>
    </cfRule>
    <cfRule type="expression" dxfId="5301" priority="433">
      <formula>Y$9&lt;8/24</formula>
    </cfRule>
  </conditionalFormatting>
  <conditionalFormatting sqref="C111 C113:C119">
    <cfRule type="expression" dxfId="5300" priority="426">
      <formula>C$9&gt;=20/24</formula>
    </cfRule>
    <cfRule type="expression" dxfId="5299" priority="427">
      <formula>AND(C$9&gt;=14/24,C$9&lt;20/24)</formula>
    </cfRule>
    <cfRule type="expression" dxfId="5298" priority="428">
      <formula>AND(C$9&gt;=8/24,C$9&lt;14/24)</formula>
    </cfRule>
    <cfRule type="expression" dxfId="5297" priority="429">
      <formula>C$9&lt;8/24</formula>
    </cfRule>
  </conditionalFormatting>
  <conditionalFormatting sqref="E49:U49">
    <cfRule type="expression" dxfId="5296" priority="422">
      <formula>E$9&gt;=20/24</formula>
    </cfRule>
    <cfRule type="expression" dxfId="5295" priority="423">
      <formula>AND(E$9&gt;=14/24,E$9&lt;20/24)</formula>
    </cfRule>
    <cfRule type="expression" dxfId="5294" priority="424">
      <formula>AND(E$9&gt;=8/24,E$9&lt;14/24)</formula>
    </cfRule>
    <cfRule type="expression" dxfId="5293" priority="425">
      <formula>E$9&lt;8/24</formula>
    </cfRule>
  </conditionalFormatting>
  <conditionalFormatting sqref="E49:U49">
    <cfRule type="expression" dxfId="5292" priority="421">
      <formula>E49&gt;$AG49</formula>
    </cfRule>
  </conditionalFormatting>
  <conditionalFormatting sqref="C101:D101">
    <cfRule type="expression" dxfId="5291" priority="417">
      <formula>C$9&gt;=20/24</formula>
    </cfRule>
    <cfRule type="expression" dxfId="5290" priority="418">
      <formula>AND(C$9&gt;=14/24,C$9&lt;20/24)</formula>
    </cfRule>
    <cfRule type="expression" dxfId="5289" priority="419">
      <formula>AND(C$9&gt;=8/24,C$9&lt;14/24)</formula>
    </cfRule>
    <cfRule type="expression" dxfId="5288" priority="420">
      <formula>C$9&lt;8/24</formula>
    </cfRule>
  </conditionalFormatting>
  <conditionalFormatting sqref="C88 C98:W98 C85:AF87 D102:D108 E69:AA71 E76:AF78">
    <cfRule type="expression" dxfId="5287" priority="413">
      <formula>C$9&gt;=20/24</formula>
    </cfRule>
    <cfRule type="expression" dxfId="5286" priority="414">
      <formula>AND(C$9&gt;=14/24,C$9&lt;20/24)</formula>
    </cfRule>
    <cfRule type="expression" dxfId="5285" priority="415">
      <formula>AND(C$9&gt;=8/24,C$9&lt;14/24)</formula>
    </cfRule>
    <cfRule type="expression" dxfId="5284" priority="416">
      <formula>C$9&lt;8/24</formula>
    </cfRule>
  </conditionalFormatting>
  <conditionalFormatting sqref="J58:R59 E69:AA71">
    <cfRule type="expression" dxfId="5283" priority="412">
      <formula>E58&gt;$AG58</formula>
    </cfRule>
  </conditionalFormatting>
  <conditionalFormatting sqref="C73:D73 D56:D59 E58:I59">
    <cfRule type="expression" dxfId="5282" priority="354">
      <formula>C$9&gt;=20/24</formula>
    </cfRule>
    <cfRule type="expression" dxfId="5281" priority="355">
      <formula>AND(C$9&gt;=14/24,C$9&lt;20/24)</formula>
    </cfRule>
    <cfRule type="expression" dxfId="5280" priority="356">
      <formula>AND(C$9&gt;=8/24,C$9&lt;14/24)</formula>
    </cfRule>
    <cfRule type="expression" dxfId="5279" priority="357">
      <formula>C$9&lt;8/24</formula>
    </cfRule>
  </conditionalFormatting>
  <conditionalFormatting sqref="C89:AF89 C91:AF91 C100:AF100 M72:AF72">
    <cfRule type="expression" dxfId="5278" priority="408">
      <formula>C$9&gt;=20/24</formula>
    </cfRule>
    <cfRule type="expression" dxfId="5277" priority="409">
      <formula>AND(C$9&gt;=14/24,C$9&lt;20/24)</formula>
    </cfRule>
    <cfRule type="expression" dxfId="5276" priority="410">
      <formula>AND(C$9&gt;=8/24,C$9&lt;14/24)</formula>
    </cfRule>
    <cfRule type="expression" dxfId="5275" priority="411">
      <formula>C$9&lt;8/24</formula>
    </cfRule>
  </conditionalFormatting>
  <conditionalFormatting sqref="M72:AF72 D67:AF68">
    <cfRule type="expression" dxfId="5274" priority="407">
      <formula>D67&gt;$AG67</formula>
    </cfRule>
  </conditionalFormatting>
  <conditionalFormatting sqref="C84:AF84">
    <cfRule type="expression" dxfId="5273" priority="403">
      <formula>C$9&gt;=20/24</formula>
    </cfRule>
    <cfRule type="expression" dxfId="5272" priority="404">
      <formula>AND(C$9&gt;=14/24,C$9&lt;20/24)</formula>
    </cfRule>
    <cfRule type="expression" dxfId="5271" priority="405">
      <formula>AND(C$9&gt;=8/24,C$9&lt;14/24)</formula>
    </cfRule>
    <cfRule type="expression" dxfId="5270" priority="406">
      <formula>C$9&lt;8/24</formula>
    </cfRule>
  </conditionalFormatting>
  <conditionalFormatting sqref="C93:W97">
    <cfRule type="expression" dxfId="5269" priority="399">
      <formula>C$9&gt;=20/24</formula>
    </cfRule>
    <cfRule type="expression" dxfId="5268" priority="400">
      <formula>AND(C$9&gt;=14/24,C$9&lt;20/24)</formula>
    </cfRule>
    <cfRule type="expression" dxfId="5267" priority="401">
      <formula>AND(C$9&gt;=8/24,C$9&lt;14/24)</formula>
    </cfRule>
    <cfRule type="expression" dxfId="5266" priority="402">
      <formula>C$9&lt;8/24</formula>
    </cfRule>
  </conditionalFormatting>
  <conditionalFormatting sqref="D54:AF54">
    <cfRule type="expression" dxfId="5265" priority="395">
      <formula>D$9&gt;=20/24</formula>
    </cfRule>
    <cfRule type="expression" dxfId="5264" priority="396">
      <formula>AND(D$9&gt;=14/24,D$9&lt;20/24)</formula>
    </cfRule>
    <cfRule type="expression" dxfId="5263" priority="397">
      <formula>AND(D$9&gt;=8/24,D$9&lt;14/24)</formula>
    </cfRule>
    <cfRule type="expression" dxfId="5262" priority="398">
      <formula>D$9&lt;8/24</formula>
    </cfRule>
  </conditionalFormatting>
  <conditionalFormatting sqref="D54:AF54">
    <cfRule type="expression" dxfId="5261" priority="394">
      <formula>D54&gt;$AG54</formula>
    </cfRule>
  </conditionalFormatting>
  <conditionalFormatting sqref="C112">
    <cfRule type="expression" dxfId="5260" priority="386">
      <formula>C$9&gt;=20/24</formula>
    </cfRule>
    <cfRule type="expression" dxfId="5259" priority="387">
      <formula>AND(C$9&gt;=14/24,C$9&lt;20/24)</formula>
    </cfRule>
    <cfRule type="expression" dxfId="5258" priority="388">
      <formula>AND(C$9&gt;=8/24,C$9&lt;14/24)</formula>
    </cfRule>
    <cfRule type="expression" dxfId="5257" priority="389">
      <formula>C$9&lt;8/24</formula>
    </cfRule>
  </conditionalFormatting>
  <conditionalFormatting sqref="Z13:AF13">
    <cfRule type="expression" dxfId="5256" priority="376">
      <formula>Z$9&gt;=20/24</formula>
    </cfRule>
    <cfRule type="expression" dxfId="5255" priority="377">
      <formula>AND(Z$9&gt;=14/24,Z$9&lt;20/24)</formula>
    </cfRule>
    <cfRule type="expression" dxfId="5254" priority="378">
      <formula>AND(Z$9&gt;=8/24,Z$9&lt;14/24)</formula>
    </cfRule>
    <cfRule type="expression" dxfId="5253" priority="379">
      <formula>Z$9&lt;8/24</formula>
    </cfRule>
  </conditionalFormatting>
  <conditionalFormatting sqref="Z13:AF13">
    <cfRule type="expression" dxfId="5252" priority="375">
      <formula>Z13&gt;$AG13</formula>
    </cfRule>
  </conditionalFormatting>
  <conditionalFormatting sqref="E79:AF83">
    <cfRule type="expression" dxfId="5251" priority="367">
      <formula>E$9&gt;=20/24</formula>
    </cfRule>
    <cfRule type="expression" dxfId="5250" priority="368">
      <formula>AND(E$9&gt;=14/24,E$9&lt;20/24)</formula>
    </cfRule>
    <cfRule type="expression" dxfId="5249" priority="369">
      <formula>AND(E$9&gt;=8/24,E$9&lt;14/24)</formula>
    </cfRule>
    <cfRule type="expression" dxfId="5248" priority="370">
      <formula>E$9&lt;8/24</formula>
    </cfRule>
  </conditionalFormatting>
  <conditionalFormatting sqref="AL80:AN80 AL86:AN86 AN81:AN82">
    <cfRule type="expression" dxfId="5247" priority="363">
      <formula>AL$9&gt;=20/24</formula>
    </cfRule>
    <cfRule type="expression" dxfId="5246" priority="364">
      <formula>AND(AL$9&gt;=14/24,AL$9&lt;20/24)</formula>
    </cfRule>
    <cfRule type="expression" dxfId="5245" priority="365">
      <formula>AND(AL$9&gt;=8/24,AL$9&lt;14/24)</formula>
    </cfRule>
    <cfRule type="expression" dxfId="5244" priority="366">
      <formula>AL$9&lt;8/24</formula>
    </cfRule>
  </conditionalFormatting>
  <conditionalFormatting sqref="AN83:AN84">
    <cfRule type="expression" dxfId="5243" priority="359">
      <formula>AN$9&gt;=20/24</formula>
    </cfRule>
    <cfRule type="expression" dxfId="5242" priority="360">
      <formula>AND(AN$9&gt;=14/24,AN$9&lt;20/24)</formula>
    </cfRule>
    <cfRule type="expression" dxfId="5241" priority="361">
      <formula>AND(AN$9&gt;=8/24,AN$9&lt;14/24)</formula>
    </cfRule>
    <cfRule type="expression" dxfId="5240" priority="362">
      <formula>AN$9&lt;8/24</formula>
    </cfRule>
  </conditionalFormatting>
  <conditionalFormatting sqref="AL81:AM85">
    <cfRule type="expression" dxfId="5239" priority="567">
      <formula>AJ$9&gt;=20/24</formula>
    </cfRule>
    <cfRule type="expression" dxfId="5238" priority="568">
      <formula>AND(AJ$9&gt;=14/24,AJ$9&lt;20/24)</formula>
    </cfRule>
    <cfRule type="expression" dxfId="5237" priority="569">
      <formula>AND(AJ$9&gt;=8/24,AJ$9&lt;14/24)</formula>
    </cfRule>
    <cfRule type="expression" dxfId="5236" priority="570">
      <formula>AJ$9&lt;8/24</formula>
    </cfRule>
  </conditionalFormatting>
  <conditionalFormatting sqref="A120">
    <cfRule type="expression" dxfId="5235" priority="358">
      <formula>$AH120=0</formula>
    </cfRule>
  </conditionalFormatting>
  <conditionalFormatting sqref="D55">
    <cfRule type="expression" dxfId="5234" priority="350">
      <formula>D$9&gt;=20/24</formula>
    </cfRule>
    <cfRule type="expression" dxfId="5233" priority="351">
      <formula>AND(D$9&gt;=14/24,D$9&lt;20/24)</formula>
    </cfRule>
    <cfRule type="expression" dxfId="5232" priority="352">
      <formula>AND(D$9&gt;=8/24,D$9&lt;14/24)</formula>
    </cfRule>
    <cfRule type="expression" dxfId="5231" priority="353">
      <formula>D$9&lt;8/24</formula>
    </cfRule>
  </conditionalFormatting>
  <conditionalFormatting sqref="D55:D59 E58:I59">
    <cfRule type="expression" dxfId="5230" priority="349">
      <formula>D55&gt;$AG55</formula>
    </cfRule>
  </conditionalFormatting>
  <conditionalFormatting sqref="C74:D76 C102:C108 D69:D71 D77:D83">
    <cfRule type="expression" dxfId="5229" priority="345">
      <formula>C$9&gt;=20/24</formula>
    </cfRule>
    <cfRule type="expression" dxfId="5228" priority="346">
      <formula>AND(C$9&gt;=14/24,C$9&lt;20/24)</formula>
    </cfRule>
    <cfRule type="expression" dxfId="5227" priority="347">
      <formula>AND(C$9&gt;=8/24,C$9&lt;14/24)</formula>
    </cfRule>
    <cfRule type="expression" dxfId="5226" priority="348">
      <formula>C$9&lt;8/24</formula>
    </cfRule>
  </conditionalFormatting>
  <conditionalFormatting sqref="D69:D71">
    <cfRule type="expression" dxfId="5225" priority="344">
      <formula>D69&gt;$AG69</formula>
    </cfRule>
  </conditionalFormatting>
  <conditionalFormatting sqref="C90">
    <cfRule type="expression" dxfId="5224" priority="340">
      <formula>C$9&gt;=20/24</formula>
    </cfRule>
    <cfRule type="expression" dxfId="5223" priority="341">
      <formula>AND(C$9&gt;=14/24,C$9&lt;20/24)</formula>
    </cfRule>
    <cfRule type="expression" dxfId="5222" priority="342">
      <formula>AND(C$9&gt;=8/24,C$9&lt;14/24)</formula>
    </cfRule>
    <cfRule type="expression" dxfId="5221" priority="343">
      <formula>C$9&lt;8/24</formula>
    </cfRule>
  </conditionalFormatting>
  <conditionalFormatting sqref="D60:R60">
    <cfRule type="expression" dxfId="5220" priority="331">
      <formula>D$9&gt;=20/24</formula>
    </cfRule>
    <cfRule type="expression" dxfId="5219" priority="332">
      <formula>AND(D$9&gt;=14/24,D$9&lt;20/24)</formula>
    </cfRule>
    <cfRule type="expression" dxfId="5218" priority="333">
      <formula>AND(D$9&gt;=8/24,D$9&lt;14/24)</formula>
    </cfRule>
    <cfRule type="expression" dxfId="5217" priority="334">
      <formula>D$9&lt;8/24</formula>
    </cfRule>
  </conditionalFormatting>
  <conditionalFormatting sqref="D60:R60">
    <cfRule type="expression" dxfId="5216" priority="330">
      <formula>D60&gt;$AG60</formula>
    </cfRule>
  </conditionalFormatting>
  <conditionalFormatting sqref="C69:C71 D49">
    <cfRule type="expression" dxfId="5215" priority="260">
      <formula>C$9&gt;=20/24</formula>
    </cfRule>
    <cfRule type="expression" dxfId="5214" priority="261">
      <formula>AND(C$9&gt;=14/24,C$9&lt;20/24)</formula>
    </cfRule>
    <cfRule type="expression" dxfId="5213" priority="262">
      <formula>AND(C$9&gt;=8/24,C$9&lt;14/24)</formula>
    </cfRule>
    <cfRule type="expression" dxfId="5212" priority="263">
      <formula>C$9&lt;8/24</formula>
    </cfRule>
  </conditionalFormatting>
  <conditionalFormatting sqref="C60">
    <cfRule type="expression" dxfId="5211" priority="251">
      <formula>C$9&gt;=20/24</formula>
    </cfRule>
    <cfRule type="expression" dxfId="5210" priority="252">
      <formula>AND(C$9&gt;=14/24,C$9&lt;20/24)</formula>
    </cfRule>
    <cfRule type="expression" dxfId="5209" priority="253">
      <formula>AND(C$9&gt;=8/24,C$9&lt;14/24)</formula>
    </cfRule>
    <cfRule type="expression" dxfId="5208" priority="254">
      <formula>C$9&lt;8/24</formula>
    </cfRule>
  </conditionalFormatting>
  <conditionalFormatting sqref="C77:C78">
    <cfRule type="expression" dxfId="5207" priority="326">
      <formula>C$9&gt;=20/24</formula>
    </cfRule>
    <cfRule type="expression" dxfId="5206" priority="327">
      <formula>AND(C$9&gt;=14/24,C$9&lt;20/24)</formula>
    </cfRule>
    <cfRule type="expression" dxfId="5205" priority="328">
      <formula>AND(C$9&gt;=8/24,C$9&lt;14/24)</formula>
    </cfRule>
    <cfRule type="expression" dxfId="5204" priority="329">
      <formula>C$9&lt;8/24</formula>
    </cfRule>
  </conditionalFormatting>
  <conditionalFormatting sqref="E50:AF50">
    <cfRule type="expression" dxfId="5203" priority="325">
      <formula>E50&gt;$AG50</formula>
    </cfRule>
  </conditionalFormatting>
  <conditionalFormatting sqref="D61:AF66">
    <cfRule type="expression" dxfId="5202" priority="321">
      <formula>D$9&gt;=20/24</formula>
    </cfRule>
    <cfRule type="expression" dxfId="5201" priority="322">
      <formula>AND(D$9&gt;=14/24,D$9&lt;20/24)</formula>
    </cfRule>
    <cfRule type="expression" dxfId="5200" priority="323">
      <formula>AND(D$9&gt;=8/24,D$9&lt;14/24)</formula>
    </cfRule>
    <cfRule type="expression" dxfId="5199" priority="324">
      <formula>D$9&lt;8/24</formula>
    </cfRule>
  </conditionalFormatting>
  <conditionalFormatting sqref="D61:AF66">
    <cfRule type="expression" dxfId="5198" priority="320">
      <formula>D61&gt;$AG61</formula>
    </cfRule>
  </conditionalFormatting>
  <conditionalFormatting sqref="C79:C83">
    <cfRule type="expression" dxfId="5197" priority="316">
      <formula>C$9&gt;=20/24</formula>
    </cfRule>
    <cfRule type="expression" dxfId="5196" priority="317">
      <formula>AND(C$9&gt;=14/24,C$9&lt;20/24)</formula>
    </cfRule>
    <cfRule type="expression" dxfId="5195" priority="318">
      <formula>AND(C$9&gt;=8/24,C$9&lt;14/24)</formula>
    </cfRule>
    <cfRule type="expression" dxfId="5194" priority="319">
      <formula>C$9&lt;8/24</formula>
    </cfRule>
  </conditionalFormatting>
  <conditionalFormatting sqref="A11">
    <cfRule type="expression" dxfId="5193" priority="315">
      <formula>$AH11=0</formula>
    </cfRule>
  </conditionalFormatting>
  <conditionalFormatting sqref="W11:AF11">
    <cfRule type="expression" dxfId="5192" priority="311">
      <formula>W$9&gt;=20/24</formula>
    </cfRule>
    <cfRule type="expression" dxfId="5191" priority="312">
      <formula>AND(W$9&gt;=14/24,W$9&lt;20/24)</formula>
    </cfRule>
    <cfRule type="expression" dxfId="5190" priority="313">
      <formula>AND(W$9&gt;=8/24,W$9&lt;14/24)</formula>
    </cfRule>
    <cfRule type="expression" dxfId="5189" priority="314">
      <formula>W$9&lt;8/24</formula>
    </cfRule>
  </conditionalFormatting>
  <conditionalFormatting sqref="W11:AF11">
    <cfRule type="expression" dxfId="5188" priority="310">
      <formula>W11&gt;$AG11</formula>
    </cfRule>
  </conditionalFormatting>
  <conditionalFormatting sqref="A18">
    <cfRule type="expression" dxfId="5187" priority="308">
      <formula>$AH18=0</formula>
    </cfRule>
  </conditionalFormatting>
  <conditionalFormatting sqref="AL18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186" priority="301">
      <formula>$AH35=0</formula>
    </cfRule>
  </conditionalFormatting>
  <conditionalFormatting sqref="AL35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A46">
    <cfRule type="expression" dxfId="5185" priority="294">
      <formula>$AH46=0</formula>
    </cfRule>
  </conditionalFormatting>
  <conditionalFormatting sqref="AL46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D120:AF120">
    <cfRule type="expression" dxfId="5184" priority="285">
      <formula>D$9&gt;=20/24</formula>
    </cfRule>
    <cfRule type="expression" dxfId="5183" priority="286">
      <formula>AND(D$9&gt;=14/24,D$9&lt;20/24)</formula>
    </cfRule>
    <cfRule type="expression" dxfId="5182" priority="287">
      <formula>AND(D$9&gt;=8/24,D$9&lt;14/24)</formula>
    </cfRule>
    <cfRule type="expression" dxfId="5181" priority="288">
      <formula>D$9&lt;8/24</formula>
    </cfRule>
  </conditionalFormatting>
  <conditionalFormatting sqref="C120">
    <cfRule type="expression" dxfId="5180" priority="281">
      <formula>C$9&gt;=20/24</formula>
    </cfRule>
    <cfRule type="expression" dxfId="5179" priority="282">
      <formula>AND(C$9&gt;=14/24,C$9&lt;20/24)</formula>
    </cfRule>
    <cfRule type="expression" dxfId="5178" priority="283">
      <formula>AND(C$9&gt;=8/24,C$9&lt;14/24)</formula>
    </cfRule>
    <cfRule type="expression" dxfId="5177" priority="284">
      <formula>C$9&lt;8/24</formula>
    </cfRule>
  </conditionalFormatting>
  <conditionalFormatting sqref="C56:C59">
    <cfRule type="expression" dxfId="5176" priority="269">
      <formula>C$9&gt;=20/24</formula>
    </cfRule>
    <cfRule type="expression" dxfId="5175" priority="270">
      <formula>AND(C$9&gt;=14/24,C$9&lt;20/24)</formula>
    </cfRule>
    <cfRule type="expression" dxfId="5174" priority="271">
      <formula>AND(C$9&gt;=8/24,C$9&lt;14/24)</formula>
    </cfRule>
    <cfRule type="expression" dxfId="5173" priority="272">
      <formula>C$9&lt;8/24</formula>
    </cfRule>
  </conditionalFormatting>
  <conditionalFormatting sqref="C55">
    <cfRule type="expression" dxfId="5172" priority="265">
      <formula>C$9&gt;=20/24</formula>
    </cfRule>
    <cfRule type="expression" dxfId="5171" priority="266">
      <formula>AND(C$9&gt;=14/24,C$9&lt;20/24)</formula>
    </cfRule>
    <cfRule type="expression" dxfId="5170" priority="267">
      <formula>AND(C$9&gt;=8/24,C$9&lt;14/24)</formula>
    </cfRule>
    <cfRule type="expression" dxfId="5169" priority="268">
      <formula>C$9&lt;8/24</formula>
    </cfRule>
  </conditionalFormatting>
  <conditionalFormatting sqref="C55:C59">
    <cfRule type="expression" dxfId="5168" priority="264">
      <formula>C55&gt;$AG55</formula>
    </cfRule>
  </conditionalFormatting>
  <conditionalFormatting sqref="C69:C71 D49">
    <cfRule type="expression" dxfId="5167" priority="259">
      <formula>C49&gt;$AG49</formula>
    </cfRule>
  </conditionalFormatting>
  <conditionalFormatting sqref="C60">
    <cfRule type="expression" dxfId="5166" priority="250">
      <formula>C60&gt;$AG60</formula>
    </cfRule>
  </conditionalFormatting>
  <conditionalFormatting sqref="D51:D53">
    <cfRule type="expression" dxfId="5165" priority="242">
      <formula>D$9&gt;=20/24</formula>
    </cfRule>
    <cfRule type="expression" dxfId="5164" priority="243">
      <formula>AND(D$9&gt;=14/24,D$9&lt;20/24)</formula>
    </cfRule>
    <cfRule type="expression" dxfId="5163" priority="244">
      <formula>AND(D$9&gt;=8/24,D$9&lt;14/24)</formula>
    </cfRule>
    <cfRule type="expression" dxfId="5162" priority="245">
      <formula>D$9&lt;8/24</formula>
    </cfRule>
  </conditionalFormatting>
  <conditionalFormatting sqref="D51:D53">
    <cfRule type="expression" dxfId="5161" priority="241">
      <formula>D51&gt;$AG51</formula>
    </cfRule>
  </conditionalFormatting>
  <conditionalFormatting sqref="C67:C68">
    <cfRule type="expression" dxfId="5160" priority="219">
      <formula>C67&gt;$AG67</formula>
    </cfRule>
  </conditionalFormatting>
  <conditionalFormatting sqref="C54">
    <cfRule type="expression" dxfId="5159" priority="211">
      <formula>C$9&gt;=20/24</formula>
    </cfRule>
    <cfRule type="expression" dxfId="5158" priority="212">
      <formula>AND(C$9&gt;=14/24,C$9&lt;20/24)</formula>
    </cfRule>
    <cfRule type="expression" dxfId="5157" priority="213">
      <formula>AND(C$9&gt;=8/24,C$9&lt;14/24)</formula>
    </cfRule>
    <cfRule type="expression" dxfId="5156" priority="214">
      <formula>C$9&lt;8/24</formula>
    </cfRule>
  </conditionalFormatting>
  <conditionalFormatting sqref="C54">
    <cfRule type="expression" dxfId="5155" priority="210">
      <formula>C54&gt;$AG54</formula>
    </cfRule>
  </conditionalFormatting>
  <conditionalFormatting sqref="C61:C66">
    <cfRule type="expression" dxfId="5154" priority="202">
      <formula>C$9&gt;=20/24</formula>
    </cfRule>
    <cfRule type="expression" dxfId="5153" priority="203">
      <formula>AND(C$9&gt;=14/24,C$9&lt;20/24)</formula>
    </cfRule>
    <cfRule type="expression" dxfId="5152" priority="204">
      <formula>AND(C$9&gt;=8/24,C$9&lt;14/24)</formula>
    </cfRule>
    <cfRule type="expression" dxfId="5151" priority="205">
      <formula>C$9&lt;8/24</formula>
    </cfRule>
  </conditionalFormatting>
  <conditionalFormatting sqref="C61:C66">
    <cfRule type="expression" dxfId="5150" priority="201">
      <formula>C61&gt;$AG61</formula>
    </cfRule>
  </conditionalFormatting>
  <conditionalFormatting sqref="D50">
    <cfRule type="expression" dxfId="5149" priority="185">
      <formula>D50&gt;$AG50</formula>
    </cfRule>
  </conditionalFormatting>
  <conditionalFormatting sqref="B111 B113:B119 B12:Y12 B14:Y17 Z17:AF17">
    <cfRule type="expression" dxfId="5148" priority="131">
      <formula>B$9&gt;=20/24</formula>
    </cfRule>
    <cfRule type="expression" dxfId="5147" priority="132">
      <formula>AND(B$9&gt;=14/24,B$9&lt;20/24)</formula>
    </cfRule>
    <cfRule type="expression" dxfId="5146" priority="133">
      <formula>AND(B$9&gt;=8/24,B$9&lt;14/24)</formula>
    </cfRule>
    <cfRule type="expression" dxfId="5145" priority="134">
      <formula>B$9&lt;8/24</formula>
    </cfRule>
  </conditionalFormatting>
  <conditionalFormatting sqref="B12:Y12 B14:Y17 Z17:AF17">
    <cfRule type="expression" dxfId="5144" priority="130">
      <formula>B12&gt;$AG12</formula>
    </cfRule>
  </conditionalFormatting>
  <conditionalFormatting sqref="B101">
    <cfRule type="expression" dxfId="5143" priority="126">
      <formula>B$9&gt;=20/24</formula>
    </cfRule>
    <cfRule type="expression" dxfId="5142" priority="127">
      <formula>AND(B$9&gt;=14/24,B$9&lt;20/24)</formula>
    </cfRule>
    <cfRule type="expression" dxfId="5141" priority="128">
      <formula>AND(B$9&gt;=8/24,B$9&lt;14/24)</formula>
    </cfRule>
    <cfRule type="expression" dxfId="5140" priority="129">
      <formula>B$9&lt;8/24</formula>
    </cfRule>
  </conditionalFormatting>
  <conditionalFormatting sqref="B73">
    <cfRule type="expression" dxfId="5139" priority="122">
      <formula>B$9&gt;=20/24</formula>
    </cfRule>
    <cfRule type="expression" dxfId="5138" priority="123">
      <formula>AND(B$9&gt;=14/24,B$9&lt;20/24)</formula>
    </cfRule>
    <cfRule type="expression" dxfId="5137" priority="124">
      <formula>AND(B$9&gt;=8/24,B$9&lt;14/24)</formula>
    </cfRule>
    <cfRule type="expression" dxfId="5136" priority="125">
      <formula>B$9&lt;8/24</formula>
    </cfRule>
  </conditionalFormatting>
  <conditionalFormatting sqref="B55">
    <cfRule type="expression" dxfId="5135" priority="118">
      <formula>B$9&gt;=20/24</formula>
    </cfRule>
    <cfRule type="expression" dxfId="5134" priority="119">
      <formula>AND(B$9&gt;=14/24,B$9&lt;20/24)</formula>
    </cfRule>
    <cfRule type="expression" dxfId="5133" priority="120">
      <formula>AND(B$9&gt;=8/24,B$9&lt;14/24)</formula>
    </cfRule>
    <cfRule type="expression" dxfId="5132" priority="121">
      <formula>B$9&lt;8/24</formula>
    </cfRule>
  </conditionalFormatting>
  <conditionalFormatting sqref="B55">
    <cfRule type="expression" dxfId="5131" priority="117">
      <formula>B55&gt;$AG55</formula>
    </cfRule>
  </conditionalFormatting>
  <conditionalFormatting sqref="B88 B98 B69:B71 B74:B76 B49:C49">
    <cfRule type="expression" dxfId="5130" priority="113">
      <formula>B$9&gt;=20/24</formula>
    </cfRule>
    <cfRule type="expression" dxfId="5129" priority="114">
      <formula>AND(B$9&gt;=14/24,B$9&lt;20/24)</formula>
    </cfRule>
    <cfRule type="expression" dxfId="5128" priority="115">
      <formula>AND(B$9&gt;=8/24,B$9&lt;14/24)</formula>
    </cfRule>
    <cfRule type="expression" dxfId="5127" priority="116">
      <formula>B$9&lt;8/24</formula>
    </cfRule>
  </conditionalFormatting>
  <conditionalFormatting sqref="B69:B71 B49:C49">
    <cfRule type="expression" dxfId="5126" priority="112">
      <formula>B49&gt;$AG49</formula>
    </cfRule>
  </conditionalFormatting>
  <conditionalFormatting sqref="B56:B60">
    <cfRule type="expression" dxfId="5125" priority="108">
      <formula>B$9&gt;=20/24</formula>
    </cfRule>
    <cfRule type="expression" dxfId="5124" priority="109">
      <formula>AND(B$9&gt;=14/24,B$9&lt;20/24)</formula>
    </cfRule>
    <cfRule type="expression" dxfId="5123" priority="110">
      <formula>AND(B$9&gt;=8/24,B$9&lt;14/24)</formula>
    </cfRule>
    <cfRule type="expression" dxfId="5122" priority="111">
      <formula>B$9&lt;8/24</formula>
    </cfRule>
  </conditionalFormatting>
  <conditionalFormatting sqref="B56:B60">
    <cfRule type="expression" dxfId="5121" priority="107">
      <formula>B56&gt;$AG56</formula>
    </cfRule>
  </conditionalFormatting>
  <conditionalFormatting sqref="B99 B90">
    <cfRule type="expression" dxfId="5120" priority="103">
      <formula>B$9&gt;=20/24</formula>
    </cfRule>
    <cfRule type="expression" dxfId="5119" priority="104">
      <formula>AND(B$9&gt;=14/24,B$9&lt;20/24)</formula>
    </cfRule>
    <cfRule type="expression" dxfId="5118" priority="105">
      <formula>AND(B$9&gt;=8/24,B$9&lt;14/24)</formula>
    </cfRule>
    <cfRule type="expression" dxfId="5117" priority="106">
      <formula>B$9&lt;8/24</formula>
    </cfRule>
  </conditionalFormatting>
  <conditionalFormatting sqref="B93:B97">
    <cfRule type="expression" dxfId="5116" priority="99">
      <formula>B$9&gt;=20/24</formula>
    </cfRule>
    <cfRule type="expression" dxfId="5115" priority="100">
      <formula>AND(B$9&gt;=14/24,B$9&lt;20/24)</formula>
    </cfRule>
    <cfRule type="expression" dxfId="5114" priority="101">
      <formula>AND(B$9&gt;=8/24,B$9&lt;14/24)</formula>
    </cfRule>
    <cfRule type="expression" dxfId="5113" priority="102">
      <formula>B$9&lt;8/24</formula>
    </cfRule>
  </conditionalFormatting>
  <conditionalFormatting sqref="B51:C53">
    <cfRule type="expression" dxfId="5112" priority="95">
      <formula>B$9&gt;=20/24</formula>
    </cfRule>
    <cfRule type="expression" dxfId="5111" priority="96">
      <formula>AND(B$9&gt;=14/24,B$9&lt;20/24)</formula>
    </cfRule>
    <cfRule type="expression" dxfId="5110" priority="97">
      <formula>AND(B$9&gt;=8/24,B$9&lt;14/24)</formula>
    </cfRule>
    <cfRule type="expression" dxfId="5109" priority="98">
      <formula>B$9&lt;8/24</formula>
    </cfRule>
  </conditionalFormatting>
  <conditionalFormatting sqref="B51:C53">
    <cfRule type="expression" dxfId="5108" priority="94">
      <formula>B51&gt;$AG51</formula>
    </cfRule>
  </conditionalFormatting>
  <conditionalFormatting sqref="B109">
    <cfRule type="expression" dxfId="5107" priority="90">
      <formula>B$9&gt;=20/24</formula>
    </cfRule>
    <cfRule type="expression" dxfId="5106" priority="91">
      <formula>AND(B$9&gt;=14/24,B$9&lt;20/24)</formula>
    </cfRule>
    <cfRule type="expression" dxfId="5105" priority="92">
      <formula>AND(B$9&gt;=8/24,B$9&lt;14/24)</formula>
    </cfRule>
    <cfRule type="expression" dxfId="5104" priority="93">
      <formula>B$9&lt;8/24</formula>
    </cfRule>
  </conditionalFormatting>
  <conditionalFormatting sqref="B112">
    <cfRule type="expression" dxfId="5103" priority="86">
      <formula>B$9&gt;=20/24</formula>
    </cfRule>
    <cfRule type="expression" dxfId="5102" priority="87">
      <formula>AND(B$9&gt;=14/24,B$9&lt;20/24)</formula>
    </cfRule>
    <cfRule type="expression" dxfId="5101" priority="88">
      <formula>AND(B$9&gt;=8/24,B$9&lt;14/24)</formula>
    </cfRule>
    <cfRule type="expression" dxfId="5100" priority="89">
      <formula>B$9&lt;8/24</formula>
    </cfRule>
  </conditionalFormatting>
  <conditionalFormatting sqref="B102:B108">
    <cfRule type="expression" dxfId="5099" priority="82">
      <formula>B$9&gt;=20/24</formula>
    </cfRule>
    <cfRule type="expression" dxfId="5098" priority="83">
      <formula>AND(B$9&gt;=14/24,B$9&lt;20/24)</formula>
    </cfRule>
    <cfRule type="expression" dxfId="5097" priority="84">
      <formula>AND(B$9&gt;=8/24,B$9&lt;14/24)</formula>
    </cfRule>
    <cfRule type="expression" dxfId="5096" priority="85">
      <formula>B$9&lt;8/24</formula>
    </cfRule>
  </conditionalFormatting>
  <conditionalFormatting sqref="B32:AF34 B19:AF30 B36:AF45">
    <cfRule type="expression" dxfId="5095" priority="78">
      <formula>B$9&gt;=20/24</formula>
    </cfRule>
    <cfRule type="expression" dxfId="5094" priority="79">
      <formula>AND(B$9&gt;=14/24,B$9&lt;20/24)</formula>
    </cfRule>
    <cfRule type="expression" dxfId="5093" priority="80">
      <formula>AND(B$9&gt;=8/24,B$9&lt;14/24)</formula>
    </cfRule>
    <cfRule type="expression" dxfId="5092" priority="81">
      <formula>B$9&lt;8/24</formula>
    </cfRule>
  </conditionalFormatting>
  <conditionalFormatting sqref="B32:AF34 B19:AF30 B36:AF45">
    <cfRule type="expression" dxfId="5091" priority="77">
      <formula>B19&gt;$AG19</formula>
    </cfRule>
  </conditionalFormatting>
  <conditionalFormatting sqref="B85:B87 B77:B78">
    <cfRule type="expression" dxfId="5090" priority="73">
      <formula>B$9&gt;=20/24</formula>
    </cfRule>
    <cfRule type="expression" dxfId="5089" priority="74">
      <formula>AND(B$9&gt;=14/24,B$9&lt;20/24)</formula>
    </cfRule>
    <cfRule type="expression" dxfId="5088" priority="75">
      <formula>AND(B$9&gt;=8/24,B$9&lt;14/24)</formula>
    </cfRule>
    <cfRule type="expression" dxfId="5087" priority="76">
      <formula>B$9&lt;8/24</formula>
    </cfRule>
  </conditionalFormatting>
  <conditionalFormatting sqref="B89 B91 B100 B72:L72">
    <cfRule type="expression" dxfId="5086" priority="69">
      <formula>B$9&gt;=20/24</formula>
    </cfRule>
    <cfRule type="expression" dxfId="5085" priority="70">
      <formula>AND(B$9&gt;=14/24,B$9&lt;20/24)</formula>
    </cfRule>
    <cfRule type="expression" dxfId="5084" priority="71">
      <formula>AND(B$9&gt;=8/24,B$9&lt;14/24)</formula>
    </cfRule>
    <cfRule type="expression" dxfId="5083" priority="72">
      <formula>B$9&lt;8/24</formula>
    </cfRule>
  </conditionalFormatting>
  <conditionalFormatting sqref="B67:B68 B72:L72">
    <cfRule type="expression" dxfId="5082" priority="68">
      <formula>B67&gt;$AG67</formula>
    </cfRule>
  </conditionalFormatting>
  <conditionalFormatting sqref="B84">
    <cfRule type="expression" dxfId="5081" priority="64">
      <formula>B$9&gt;=20/24</formula>
    </cfRule>
    <cfRule type="expression" dxfId="5080" priority="65">
      <formula>AND(B$9&gt;=14/24,B$9&lt;20/24)</formula>
    </cfRule>
    <cfRule type="expression" dxfId="5079" priority="66">
      <formula>AND(B$9&gt;=8/24,B$9&lt;14/24)</formula>
    </cfRule>
    <cfRule type="expression" dxfId="5078" priority="67">
      <formula>B$9&lt;8/24</formula>
    </cfRule>
  </conditionalFormatting>
  <conditionalFormatting sqref="B54">
    <cfRule type="expression" dxfId="5077" priority="60">
      <formula>B$9&gt;=20/24</formula>
    </cfRule>
    <cfRule type="expression" dxfId="5076" priority="61">
      <formula>AND(B$9&gt;=14/24,B$9&lt;20/24)</formula>
    </cfRule>
    <cfRule type="expression" dxfId="5075" priority="62">
      <formula>AND(B$9&gt;=8/24,B$9&lt;14/24)</formula>
    </cfRule>
    <cfRule type="expression" dxfId="5074" priority="63">
      <formula>B$9&lt;8/24</formula>
    </cfRule>
  </conditionalFormatting>
  <conditionalFormatting sqref="B54">
    <cfRule type="expression" dxfId="5073" priority="59">
      <formula>B54&gt;$AG54</formula>
    </cfRule>
  </conditionalFormatting>
  <conditionalFormatting sqref="B61:B66">
    <cfRule type="expression" dxfId="5072" priority="51">
      <formula>B$9&gt;=20/24</formula>
    </cfRule>
    <cfRule type="expression" dxfId="5071" priority="52">
      <formula>AND(B$9&gt;=14/24,B$9&lt;20/24)</formula>
    </cfRule>
    <cfRule type="expression" dxfId="5070" priority="53">
      <formula>AND(B$9&gt;=8/24,B$9&lt;14/24)</formula>
    </cfRule>
    <cfRule type="expression" dxfId="5069" priority="54">
      <formula>B$9&lt;8/24</formula>
    </cfRule>
  </conditionalFormatting>
  <conditionalFormatting sqref="B61:B66">
    <cfRule type="expression" dxfId="5068" priority="50">
      <formula>B61&gt;$AG61</formula>
    </cfRule>
  </conditionalFormatting>
  <conditionalFormatting sqref="B47:AF47">
    <cfRule type="expression" dxfId="5067" priority="49">
      <formula>B47&gt;$AG47</formula>
    </cfRule>
  </conditionalFormatting>
  <conditionalFormatting sqref="B13:Y13">
    <cfRule type="expression" dxfId="5066" priority="45">
      <formula>B$9&gt;=20/24</formula>
    </cfRule>
    <cfRule type="expression" dxfId="5065" priority="46">
      <formula>AND(B$9&gt;=14/24,B$9&lt;20/24)</formula>
    </cfRule>
    <cfRule type="expression" dxfId="5064" priority="47">
      <formula>AND(B$9&gt;=8/24,B$9&lt;14/24)</formula>
    </cfRule>
    <cfRule type="expression" dxfId="5063" priority="48">
      <formula>B$9&lt;8/24</formula>
    </cfRule>
  </conditionalFormatting>
  <conditionalFormatting sqref="B13:Y13">
    <cfRule type="expression" dxfId="5062" priority="44">
      <formula>B13&gt;$AG13</formula>
    </cfRule>
  </conditionalFormatting>
  <conditionalFormatting sqref="B47:AF47">
    <cfRule type="expression" dxfId="5061" priority="40">
      <formula>B$9&gt;=20/24</formula>
    </cfRule>
    <cfRule type="expression" dxfId="5060" priority="41">
      <formula>AND(B$9&gt;=14/24,B$9&lt;20/24)</formula>
    </cfRule>
    <cfRule type="expression" dxfId="5059" priority="42">
      <formula>AND(B$9&gt;=8/24,B$9&lt;14/24)</formula>
    </cfRule>
    <cfRule type="expression" dxfId="5058" priority="43">
      <formula>B$9&lt;8/24</formula>
    </cfRule>
  </conditionalFormatting>
  <conditionalFormatting sqref="B79:B83">
    <cfRule type="expression" dxfId="5057" priority="36">
      <formula>B$9&gt;=20/24</formula>
    </cfRule>
    <cfRule type="expression" dxfId="5056" priority="37">
      <formula>AND(B$9&gt;=14/24,B$9&lt;20/24)</formula>
    </cfRule>
    <cfRule type="expression" dxfId="5055" priority="38">
      <formula>AND(B$9&gt;=8/24,B$9&lt;14/24)</formula>
    </cfRule>
    <cfRule type="expression" dxfId="5054" priority="39">
      <formula>B$9&lt;8/24</formula>
    </cfRule>
  </conditionalFormatting>
  <conditionalFormatting sqref="B48:AF48">
    <cfRule type="expression" dxfId="5053" priority="32">
      <formula>B$9&gt;=20/24</formula>
    </cfRule>
    <cfRule type="expression" dxfId="5052" priority="33">
      <formula>AND(B$9&gt;=14/24,B$9&lt;20/24)</formula>
    </cfRule>
    <cfRule type="expression" dxfId="5051" priority="34">
      <formula>AND(B$9&gt;=8/24,B$9&lt;14/24)</formula>
    </cfRule>
    <cfRule type="expression" dxfId="5050" priority="35">
      <formula>B$9&lt;8/24</formula>
    </cfRule>
  </conditionalFormatting>
  <conditionalFormatting sqref="B48:AF48">
    <cfRule type="expression" dxfId="5049" priority="31">
      <formula>B48&gt;$AG48</formula>
    </cfRule>
  </conditionalFormatting>
  <conditionalFormatting sqref="B50:C50">
    <cfRule type="expression" dxfId="5048" priority="30">
      <formula>B50&gt;$AG50</formula>
    </cfRule>
  </conditionalFormatting>
  <conditionalFormatting sqref="B11:V11">
    <cfRule type="expression" dxfId="5047" priority="26">
      <formula>B$9&gt;=20/24</formula>
    </cfRule>
    <cfRule type="expression" dxfId="5046" priority="27">
      <formula>AND(B$9&gt;=14/24,B$9&lt;20/24)</formula>
    </cfRule>
    <cfRule type="expression" dxfId="5045" priority="28">
      <formula>AND(B$9&gt;=8/24,B$9&lt;14/24)</formula>
    </cfRule>
    <cfRule type="expression" dxfId="5044" priority="29">
      <formula>B$9&lt;8/24</formula>
    </cfRule>
  </conditionalFormatting>
  <conditionalFormatting sqref="B11:V11">
    <cfRule type="expression" dxfId="5043" priority="25">
      <formula>B11&gt;$AG11</formula>
    </cfRule>
  </conditionalFormatting>
  <conditionalFormatting sqref="B18:AF18">
    <cfRule type="expression" dxfId="5042" priority="21">
      <formula>B$9&gt;=20/24</formula>
    </cfRule>
    <cfRule type="expression" dxfId="5041" priority="22">
      <formula>AND(B$9&gt;=14/24,B$9&lt;20/24)</formula>
    </cfRule>
    <cfRule type="expression" dxfId="5040" priority="23">
      <formula>AND(B$9&gt;=8/24,B$9&lt;14/24)</formula>
    </cfRule>
    <cfRule type="expression" dxfId="5039" priority="24">
      <formula>B$9&lt;8/24</formula>
    </cfRule>
  </conditionalFormatting>
  <conditionalFormatting sqref="B18:AF18">
    <cfRule type="expression" dxfId="5038" priority="20">
      <formula>B18&gt;$AG18</formula>
    </cfRule>
  </conditionalFormatting>
  <conditionalFormatting sqref="B35:AF35">
    <cfRule type="expression" dxfId="5037" priority="16">
      <formula>B$9&gt;=20/24</formula>
    </cfRule>
    <cfRule type="expression" dxfId="5036" priority="17">
      <formula>AND(B$9&gt;=14/24,B$9&lt;20/24)</formula>
    </cfRule>
    <cfRule type="expression" dxfId="5035" priority="18">
      <formula>AND(B$9&gt;=8/24,B$9&lt;14/24)</formula>
    </cfRule>
    <cfRule type="expression" dxfId="5034" priority="19">
      <formula>B$9&lt;8/24</formula>
    </cfRule>
  </conditionalFormatting>
  <conditionalFormatting sqref="B35:AF35">
    <cfRule type="expression" dxfId="5033" priority="15">
      <formula>B35&gt;$AG35</formula>
    </cfRule>
  </conditionalFormatting>
  <conditionalFormatting sqref="B46:AF46">
    <cfRule type="expression" dxfId="5032" priority="14">
      <formula>B46&gt;$AG46</formula>
    </cfRule>
  </conditionalFormatting>
  <conditionalFormatting sqref="B46:AF46">
    <cfRule type="expression" dxfId="5031" priority="10">
      <formula>B$9&gt;=20/24</formula>
    </cfRule>
    <cfRule type="expression" dxfId="5030" priority="11">
      <formula>AND(B$9&gt;=14/24,B$9&lt;20/24)</formula>
    </cfRule>
    <cfRule type="expression" dxfId="5029" priority="12">
      <formula>AND(B$9&gt;=8/24,B$9&lt;14/24)</formula>
    </cfRule>
    <cfRule type="expression" dxfId="5028" priority="13">
      <formula>B$9&lt;8/24</formula>
    </cfRule>
  </conditionalFormatting>
  <conditionalFormatting sqref="B120">
    <cfRule type="expression" dxfId="5027" priority="6">
      <formula>B$9&gt;=20/24</formula>
    </cfRule>
    <cfRule type="expression" dxfId="5026" priority="7">
      <formula>AND(B$9&gt;=14/24,B$9&lt;20/24)</formula>
    </cfRule>
    <cfRule type="expression" dxfId="5025" priority="8">
      <formula>AND(B$9&gt;=8/24,B$9&lt;14/24)</formula>
    </cfRule>
    <cfRule type="expression" dxfId="5024" priority="9">
      <formula>B$9&lt;8/24</formula>
    </cfRule>
  </conditionalFormatting>
  <conditionalFormatting sqref="B31:AF31">
    <cfRule type="expression" dxfId="5023" priority="2">
      <formula>B$9&gt;=20/24</formula>
    </cfRule>
    <cfRule type="expression" dxfId="5022" priority="3">
      <formula>AND(B$9&gt;=14/24,B$9&lt;20/24)</formula>
    </cfRule>
    <cfRule type="expression" dxfId="5021" priority="4">
      <formula>AND(B$9&gt;=8/24,B$9&lt;14/24)</formula>
    </cfRule>
    <cfRule type="expression" dxfId="5020" priority="5">
      <formula>B$9&lt;8/24</formula>
    </cfRule>
  </conditionalFormatting>
  <conditionalFormatting sqref="B31:AF31">
    <cfRule type="expression" dxfId="5019" priority="1">
      <formula>B31&gt;$AG31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0" id="{5C14037C-EDF1-43CC-AB43-2636380C932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91" id="{681F7A0B-37A7-43F0-9BB8-34824829A0E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2" id="{59CF2B7B-FDEF-490F-9491-42C183FE906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3" id="{D5DB9C2E-4D83-490A-80F6-4CBFEEE9A38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55" id="{C9C9D8E0-14BC-4F61-B707-C75AE81997E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FF1CA797-43B9-4771-AD5A-F8F0B52F64C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BF5E85EB-084C-4750-BF38-CFF25B0E733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5930F484-DE9E-4869-A017-D4F56FD194C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/>
  <dimension ref="A1:CJ281"/>
  <sheetViews>
    <sheetView zoomScaleNormal="100" workbookViewId="0">
      <pane xSplit="1" ySplit="10" topLeftCell="B59" activePane="bottomRight" state="frozen"/>
      <selection pane="topRight" activeCell="B1" sqref="B1"/>
      <selection pane="bottomLeft" activeCell="A11" sqref="A11"/>
      <selection pane="bottomRight" activeCell="AE66" sqref="AE6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2080/02/23</v>
      </c>
      <c r="C4" s="191"/>
      <c r="D4" s="191"/>
      <c r="E4" s="192" t="str">
        <f ca="1">"2079/"&amp;"12/"&amp;INT(MID(CELL("filename",G6),FIND("]",CELL("filename",G6))+1,200))</f>
        <v>2079/12/23</v>
      </c>
      <c r="F4" s="192"/>
      <c r="G4" s="192"/>
      <c r="H4" s="192" t="str">
        <f ca="1">TEXT(E4,"dddd")</f>
        <v>Saturday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84.5</v>
      </c>
      <c r="C5" s="30">
        <f t="shared" si="0"/>
        <v>150.6</v>
      </c>
      <c r="D5" s="30">
        <f t="shared" si="0"/>
        <v>166.4</v>
      </c>
      <c r="E5" s="30">
        <f t="shared" si="0"/>
        <v>292.04000000000002</v>
      </c>
      <c r="F5" s="30">
        <f t="shared" si="0"/>
        <v>294.5</v>
      </c>
      <c r="G5" s="30">
        <f t="shared" si="0"/>
        <v>285.8</v>
      </c>
      <c r="H5" s="30">
        <f t="shared" si="0"/>
        <v>342.6</v>
      </c>
      <c r="I5" s="30">
        <f t="shared" si="0"/>
        <v>385.6</v>
      </c>
      <c r="J5" s="30">
        <f t="shared" si="0"/>
        <v>430.4</v>
      </c>
      <c r="K5" s="30">
        <f t="shared" si="0"/>
        <v>427</v>
      </c>
      <c r="L5" s="30">
        <f t="shared" si="0"/>
        <v>480.6</v>
      </c>
      <c r="M5" s="30">
        <f t="shared" si="0"/>
        <v>490.3</v>
      </c>
      <c r="N5" s="30">
        <f t="shared" si="0"/>
        <v>471</v>
      </c>
      <c r="O5" s="30">
        <f t="shared" si="0"/>
        <v>533</v>
      </c>
      <c r="P5" s="30">
        <f t="shared" si="0"/>
        <v>473.7</v>
      </c>
      <c r="Q5" s="30">
        <f t="shared" si="0"/>
        <v>428.4</v>
      </c>
      <c r="R5" s="30">
        <f t="shared" si="0"/>
        <v>402</v>
      </c>
      <c r="S5" s="30">
        <f t="shared" si="0"/>
        <v>380</v>
      </c>
      <c r="T5" s="30">
        <f t="shared" si="0"/>
        <v>492.4</v>
      </c>
      <c r="U5" s="30">
        <f t="shared" si="0"/>
        <v>360</v>
      </c>
      <c r="V5" s="30">
        <f t="shared" si="0"/>
        <v>366.9</v>
      </c>
      <c r="W5" s="30">
        <f t="shared" si="0"/>
        <v>318.5</v>
      </c>
      <c r="X5" s="30">
        <f t="shared" si="0"/>
        <v>278.39999999999998</v>
      </c>
      <c r="Y5" s="30">
        <f t="shared" si="0"/>
        <v>287.10000000000002</v>
      </c>
      <c r="Z5" s="30">
        <f t="shared" si="0"/>
        <v>103.3</v>
      </c>
      <c r="AA5" s="30">
        <f t="shared" si="0"/>
        <v>112.89999999999999</v>
      </c>
      <c r="AB5" s="30">
        <f t="shared" si="0"/>
        <v>101.1</v>
      </c>
      <c r="AC5" s="30">
        <f t="shared" si="0"/>
        <v>100.1</v>
      </c>
      <c r="AD5" s="30">
        <f t="shared" si="0"/>
        <v>125.80000000000001</v>
      </c>
      <c r="AE5" s="30">
        <f t="shared" si="0"/>
        <v>103.8</v>
      </c>
      <c r="AF5" s="30">
        <f>B84</f>
        <v>124.3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1847MW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Load=1580</v>
      </c>
      <c r="B7" s="35">
        <f t="shared" ref="B7:AF7" si="1">B91</f>
        <v>1753.4399999999998</v>
      </c>
      <c r="C7" s="35">
        <f t="shared" si="1"/>
        <v>1732.34</v>
      </c>
      <c r="D7" s="35">
        <f t="shared" si="1"/>
        <v>1678.84</v>
      </c>
      <c r="E7" s="35">
        <f t="shared" si="1"/>
        <v>1654.6399999999999</v>
      </c>
      <c r="F7" s="35">
        <f t="shared" si="1"/>
        <v>1606.6799999999998</v>
      </c>
      <c r="G7" s="35">
        <f t="shared" si="1"/>
        <v>1628.54</v>
      </c>
      <c r="H7" s="35">
        <f t="shared" si="1"/>
        <v>1579.74</v>
      </c>
      <c r="I7" s="35">
        <f t="shared" si="1"/>
        <v>1639.3400000000001</v>
      </c>
      <c r="J7" s="35">
        <f t="shared" si="1"/>
        <v>1701.2399999999998</v>
      </c>
      <c r="K7" s="35">
        <f t="shared" si="1"/>
        <v>1773.54</v>
      </c>
      <c r="L7" s="35">
        <f t="shared" si="1"/>
        <v>1816.1399999999999</v>
      </c>
      <c r="M7" s="35">
        <f t="shared" si="1"/>
        <v>1835.2399999999998</v>
      </c>
      <c r="N7" s="35">
        <f>N91</f>
        <v>1846.9399999999998</v>
      </c>
      <c r="O7" s="35">
        <f t="shared" si="1"/>
        <v>1931.04</v>
      </c>
      <c r="P7" s="35">
        <f t="shared" si="1"/>
        <v>1838.04</v>
      </c>
      <c r="Q7" s="35">
        <f t="shared" si="1"/>
        <v>1866.74</v>
      </c>
      <c r="R7" s="35">
        <f t="shared" si="1"/>
        <v>1843.7400000000002</v>
      </c>
      <c r="S7" s="35">
        <f t="shared" si="1"/>
        <v>1841.14</v>
      </c>
      <c r="T7" s="35">
        <f t="shared" si="1"/>
        <v>1819.64</v>
      </c>
      <c r="U7" s="35">
        <f t="shared" si="1"/>
        <v>1946.44</v>
      </c>
      <c r="V7" s="35">
        <f t="shared" si="1"/>
        <v>1787.8400000000001</v>
      </c>
      <c r="W7" s="35">
        <f t="shared" si="1"/>
        <v>1639.7400000000002</v>
      </c>
      <c r="X7" s="35">
        <f t="shared" si="1"/>
        <v>1628.3400000000001</v>
      </c>
      <c r="Y7" s="35">
        <f t="shared" si="1"/>
        <v>1675.2400000000002</v>
      </c>
      <c r="Z7" s="35">
        <f t="shared" si="1"/>
        <v>1791.44</v>
      </c>
      <c r="AA7" s="35">
        <f t="shared" si="1"/>
        <v>1860.6400000000003</v>
      </c>
      <c r="AB7" s="35">
        <f t="shared" si="1"/>
        <v>1782.8400000000001</v>
      </c>
      <c r="AC7" s="35">
        <f t="shared" si="1"/>
        <v>1810.2400000000002</v>
      </c>
      <c r="AD7" s="35">
        <f t="shared" si="1"/>
        <v>1828.7400000000002</v>
      </c>
      <c r="AE7" s="35">
        <f t="shared" si="1"/>
        <v>1755.5400000000002</v>
      </c>
      <c r="AF7" s="35">
        <f t="shared" si="1"/>
        <v>1670.5400000000002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</v>
      </c>
      <c r="C11" s="45">
        <v>30</v>
      </c>
      <c r="D11" s="45">
        <v>30</v>
      </c>
      <c r="E11" s="45">
        <v>34</v>
      </c>
      <c r="F11" s="45">
        <v>34</v>
      </c>
      <c r="G11" s="45">
        <v>34</v>
      </c>
      <c r="H11" s="45">
        <v>34</v>
      </c>
      <c r="I11" s="45">
        <v>31</v>
      </c>
      <c r="J11" s="45">
        <v>31</v>
      </c>
      <c r="K11" s="45">
        <v>31</v>
      </c>
      <c r="L11" s="45">
        <v>31</v>
      </c>
      <c r="M11" s="45">
        <v>31</v>
      </c>
      <c r="N11" s="45">
        <v>31</v>
      </c>
      <c r="O11" s="45">
        <v>31</v>
      </c>
      <c r="P11" s="45">
        <v>31</v>
      </c>
      <c r="Q11" s="45">
        <v>31</v>
      </c>
      <c r="R11" s="45">
        <v>31</v>
      </c>
      <c r="S11" s="45">
        <v>31</v>
      </c>
      <c r="T11" s="45">
        <v>31</v>
      </c>
      <c r="U11" s="45">
        <v>31</v>
      </c>
      <c r="V11" s="45">
        <v>31</v>
      </c>
      <c r="W11" s="45">
        <v>31</v>
      </c>
      <c r="X11" s="45">
        <v>31</v>
      </c>
      <c r="Y11" s="45">
        <v>31</v>
      </c>
      <c r="Z11" s="45">
        <v>31</v>
      </c>
      <c r="AA11" s="45">
        <v>31</v>
      </c>
      <c r="AB11" s="45">
        <v>31</v>
      </c>
      <c r="AC11" s="45">
        <v>31</v>
      </c>
      <c r="AD11" s="45">
        <v>31</v>
      </c>
      <c r="AE11" s="45">
        <v>31</v>
      </c>
      <c r="AF11" s="45">
        <v>31</v>
      </c>
      <c r="AG11" s="46">
        <v>86</v>
      </c>
      <c r="AH11" s="47">
        <f t="shared" ref="AH11:AH76" si="2">MAX(B11:AF11)</f>
        <v>34</v>
      </c>
      <c r="AI11" s="48">
        <f t="shared" ref="AI11:AI76" si="3">MIN(B11:AF11)</f>
        <v>30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31</v>
      </c>
      <c r="C12" s="45">
        <v>31</v>
      </c>
      <c r="D12" s="45">
        <v>31</v>
      </c>
      <c r="E12" s="45">
        <v>28</v>
      </c>
      <c r="F12" s="45">
        <v>28</v>
      </c>
      <c r="G12" s="45">
        <v>28</v>
      </c>
      <c r="H12" s="45">
        <v>28</v>
      </c>
      <c r="I12" s="45">
        <v>28</v>
      </c>
      <c r="J12" s="45">
        <v>28</v>
      </c>
      <c r="K12" s="45">
        <v>28</v>
      </c>
      <c r="L12" s="45">
        <v>28</v>
      </c>
      <c r="M12" s="45">
        <v>28</v>
      </c>
      <c r="N12" s="45">
        <v>28</v>
      </c>
      <c r="O12" s="45">
        <v>28</v>
      </c>
      <c r="P12" s="45">
        <v>28</v>
      </c>
      <c r="Q12" s="45">
        <v>28</v>
      </c>
      <c r="R12" s="45">
        <v>28</v>
      </c>
      <c r="S12" s="45">
        <v>28</v>
      </c>
      <c r="T12" s="45">
        <v>28</v>
      </c>
      <c r="U12" s="45">
        <v>28</v>
      </c>
      <c r="V12" s="45">
        <v>28</v>
      </c>
      <c r="W12" s="45">
        <v>28</v>
      </c>
      <c r="X12" s="45">
        <v>28</v>
      </c>
      <c r="Y12" s="45">
        <v>28</v>
      </c>
      <c r="Z12" s="45">
        <v>28</v>
      </c>
      <c r="AA12" s="45">
        <v>28</v>
      </c>
      <c r="AB12" s="45">
        <v>28</v>
      </c>
      <c r="AC12" s="45">
        <v>28</v>
      </c>
      <c r="AD12" s="45">
        <v>28</v>
      </c>
      <c r="AE12" s="45">
        <v>28</v>
      </c>
      <c r="AF12" s="45">
        <v>28</v>
      </c>
      <c r="AG12" s="50">
        <v>54</v>
      </c>
      <c r="AH12" s="47">
        <f t="shared" si="2"/>
        <v>31</v>
      </c>
      <c r="AI12" s="48">
        <f t="shared" si="3"/>
        <v>28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21</v>
      </c>
      <c r="C13" s="45">
        <v>21</v>
      </c>
      <c r="D13" s="45">
        <v>21</v>
      </c>
      <c r="E13" s="45">
        <v>27.5</v>
      </c>
      <c r="F13" s="45">
        <v>27.5</v>
      </c>
      <c r="G13" s="45">
        <v>27.5</v>
      </c>
      <c r="H13" s="45">
        <v>27.5</v>
      </c>
      <c r="I13" s="45">
        <v>26.3</v>
      </c>
      <c r="J13" s="45">
        <v>26.3</v>
      </c>
      <c r="K13" s="45">
        <v>26.3</v>
      </c>
      <c r="L13" s="45">
        <v>26.3</v>
      </c>
      <c r="M13" s="45">
        <v>26.3</v>
      </c>
      <c r="N13" s="45">
        <v>26.3</v>
      </c>
      <c r="O13" s="45">
        <v>26.3</v>
      </c>
      <c r="P13" s="45">
        <v>26.3</v>
      </c>
      <c r="Q13" s="45">
        <v>26.3</v>
      </c>
      <c r="R13" s="45">
        <v>23</v>
      </c>
      <c r="S13" s="45">
        <v>23</v>
      </c>
      <c r="T13" s="45">
        <v>23</v>
      </c>
      <c r="U13" s="45">
        <v>23</v>
      </c>
      <c r="V13" s="45">
        <v>23</v>
      </c>
      <c r="W13" s="45">
        <v>23</v>
      </c>
      <c r="X13" s="45">
        <v>23</v>
      </c>
      <c r="Y13" s="45">
        <v>27</v>
      </c>
      <c r="Z13" s="45">
        <v>27.9</v>
      </c>
      <c r="AA13" s="45">
        <v>27.9</v>
      </c>
      <c r="AB13" s="45">
        <v>27.9</v>
      </c>
      <c r="AC13" s="45">
        <v>27.9</v>
      </c>
      <c r="AD13" s="45">
        <v>27.9</v>
      </c>
      <c r="AE13" s="45">
        <v>27.9</v>
      </c>
      <c r="AF13" s="45">
        <v>27.9</v>
      </c>
      <c r="AG13" s="46">
        <v>52.4</v>
      </c>
      <c r="AH13" s="47">
        <f t="shared" si="2"/>
        <v>27.9</v>
      </c>
      <c r="AI13" s="48">
        <f t="shared" si="3"/>
        <v>21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50.6</v>
      </c>
      <c r="C14" s="58">
        <v>50.6</v>
      </c>
      <c r="D14" s="58">
        <v>50.6</v>
      </c>
      <c r="E14" s="58">
        <v>50.5</v>
      </c>
      <c r="F14" s="58">
        <v>50.5</v>
      </c>
      <c r="G14" s="58">
        <v>50.5</v>
      </c>
      <c r="H14" s="58">
        <v>50.5</v>
      </c>
      <c r="I14" s="58">
        <v>50.6</v>
      </c>
      <c r="J14" s="58">
        <v>50.6</v>
      </c>
      <c r="K14" s="58">
        <v>50.6</v>
      </c>
      <c r="L14" s="58">
        <v>50.6</v>
      </c>
      <c r="M14" s="58">
        <v>50.6</v>
      </c>
      <c r="N14" s="58">
        <v>50.6</v>
      </c>
      <c r="O14" s="58">
        <v>50.6</v>
      </c>
      <c r="P14" s="58">
        <v>50.6</v>
      </c>
      <c r="Q14" s="58">
        <v>50.6</v>
      </c>
      <c r="R14" s="58">
        <v>50.6</v>
      </c>
      <c r="S14" s="58">
        <v>50.6</v>
      </c>
      <c r="T14" s="58">
        <v>50.6</v>
      </c>
      <c r="U14" s="58">
        <v>50.6</v>
      </c>
      <c r="V14" s="58">
        <v>50.6</v>
      </c>
      <c r="W14" s="58">
        <v>50.6</v>
      </c>
      <c r="X14" s="58">
        <v>50.6</v>
      </c>
      <c r="Y14" s="58">
        <v>50.6</v>
      </c>
      <c r="Z14" s="58">
        <v>50.5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50">
        <v>50</v>
      </c>
      <c r="AH14" s="47">
        <f t="shared" si="2"/>
        <v>50.6</v>
      </c>
      <c r="AI14" s="48">
        <f t="shared" si="3"/>
        <v>50.5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36.1</v>
      </c>
      <c r="C15" s="45">
        <v>36.1</v>
      </c>
      <c r="D15" s="45">
        <v>36.1</v>
      </c>
      <c r="E15" s="45">
        <v>29.9</v>
      </c>
      <c r="F15" s="45">
        <v>29.9</v>
      </c>
      <c r="G15" s="45">
        <v>29.9</v>
      </c>
      <c r="H15" s="45">
        <v>29.9</v>
      </c>
      <c r="I15" s="45">
        <v>27.8</v>
      </c>
      <c r="J15" s="45">
        <v>27.8</v>
      </c>
      <c r="K15" s="45">
        <v>27.8</v>
      </c>
      <c r="L15" s="45">
        <v>27.8</v>
      </c>
      <c r="M15" s="45">
        <v>27.8</v>
      </c>
      <c r="N15" s="45">
        <v>27.8</v>
      </c>
      <c r="O15" s="45">
        <v>27.8</v>
      </c>
      <c r="P15" s="45">
        <v>27.8</v>
      </c>
      <c r="Q15" s="45">
        <v>27.8</v>
      </c>
      <c r="R15" s="45">
        <v>27.8</v>
      </c>
      <c r="S15" s="45">
        <v>27.8</v>
      </c>
      <c r="T15" s="45">
        <v>27.8</v>
      </c>
      <c r="U15" s="45">
        <v>27.8</v>
      </c>
      <c r="V15" s="45">
        <v>27.8</v>
      </c>
      <c r="W15" s="45">
        <v>27.8</v>
      </c>
      <c r="X15" s="45">
        <v>27.8</v>
      </c>
      <c r="Y15" s="45">
        <v>27.8</v>
      </c>
      <c r="Z15" s="45">
        <v>29.9</v>
      </c>
      <c r="AA15" s="45">
        <v>29.9</v>
      </c>
      <c r="AB15" s="45">
        <v>31.5</v>
      </c>
      <c r="AC15" s="45">
        <v>31.5</v>
      </c>
      <c r="AD15" s="45">
        <v>31.5</v>
      </c>
      <c r="AE15" s="45">
        <v>31.5</v>
      </c>
      <c r="AF15" s="45">
        <v>31.5</v>
      </c>
      <c r="AG15" s="50">
        <v>45</v>
      </c>
      <c r="AH15" s="47">
        <f t="shared" si="2"/>
        <v>36.1</v>
      </c>
      <c r="AI15" s="48">
        <f t="shared" si="3"/>
        <v>27.8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31</v>
      </c>
      <c r="C16" s="45">
        <v>31</v>
      </c>
      <c r="D16" s="45">
        <v>31</v>
      </c>
      <c r="E16" s="45">
        <v>31</v>
      </c>
      <c r="F16" s="45">
        <v>31</v>
      </c>
      <c r="G16" s="45">
        <v>31</v>
      </c>
      <c r="H16" s="45">
        <v>31</v>
      </c>
      <c r="I16" s="45">
        <v>25</v>
      </c>
      <c r="J16" s="45">
        <v>25</v>
      </c>
      <c r="K16" s="45">
        <v>25</v>
      </c>
      <c r="L16" s="45">
        <v>25</v>
      </c>
      <c r="M16" s="45">
        <v>25</v>
      </c>
      <c r="N16" s="45">
        <v>25</v>
      </c>
      <c r="O16" s="45">
        <v>25</v>
      </c>
      <c r="P16" s="45">
        <v>25</v>
      </c>
      <c r="Q16" s="45">
        <v>25</v>
      </c>
      <c r="R16" s="45">
        <v>25</v>
      </c>
      <c r="S16" s="45">
        <v>25</v>
      </c>
      <c r="T16" s="45">
        <v>25</v>
      </c>
      <c r="U16" s="45">
        <v>25</v>
      </c>
      <c r="V16" s="45">
        <v>25</v>
      </c>
      <c r="W16" s="45">
        <v>25</v>
      </c>
      <c r="X16" s="45">
        <v>25</v>
      </c>
      <c r="Y16" s="45">
        <v>25</v>
      </c>
      <c r="Z16" s="45">
        <v>25</v>
      </c>
      <c r="AA16" s="45">
        <v>25</v>
      </c>
      <c r="AB16" s="45">
        <v>25</v>
      </c>
      <c r="AC16" s="45">
        <v>25</v>
      </c>
      <c r="AD16" s="45">
        <v>25</v>
      </c>
      <c r="AE16" s="45">
        <v>25</v>
      </c>
      <c r="AF16" s="45">
        <v>25</v>
      </c>
      <c r="AG16" s="50">
        <v>44</v>
      </c>
      <c r="AH16" s="47">
        <f>MAX(B16:AG16)</f>
        <v>44</v>
      </c>
      <c r="AI16" s="48">
        <f>MIN(B16:AG16)</f>
        <v>25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27</v>
      </c>
      <c r="C17" s="45">
        <v>27</v>
      </c>
      <c r="D17" s="45">
        <v>27</v>
      </c>
      <c r="E17" s="45">
        <v>27</v>
      </c>
      <c r="F17" s="45">
        <v>27</v>
      </c>
      <c r="G17" s="45">
        <v>27</v>
      </c>
      <c r="H17" s="45">
        <v>27</v>
      </c>
      <c r="I17" s="45">
        <v>23</v>
      </c>
      <c r="J17" s="45">
        <v>23</v>
      </c>
      <c r="K17" s="45">
        <v>23</v>
      </c>
      <c r="L17" s="45">
        <v>23</v>
      </c>
      <c r="M17" s="45">
        <v>23</v>
      </c>
      <c r="N17" s="45">
        <v>23</v>
      </c>
      <c r="O17" s="45">
        <v>23</v>
      </c>
      <c r="P17" s="45">
        <v>23</v>
      </c>
      <c r="Q17" s="45">
        <v>23</v>
      </c>
      <c r="R17" s="45">
        <v>23</v>
      </c>
      <c r="S17" s="45">
        <v>23</v>
      </c>
      <c r="T17" s="45">
        <v>23</v>
      </c>
      <c r="U17" s="45">
        <v>23</v>
      </c>
      <c r="V17" s="45">
        <v>23</v>
      </c>
      <c r="W17" s="45">
        <v>23</v>
      </c>
      <c r="X17" s="45">
        <v>23</v>
      </c>
      <c r="Y17" s="45">
        <v>23</v>
      </c>
      <c r="Z17" s="45">
        <v>22</v>
      </c>
      <c r="AA17" s="45">
        <v>22</v>
      </c>
      <c r="AB17" s="45">
        <v>22</v>
      </c>
      <c r="AC17" s="45">
        <v>22</v>
      </c>
      <c r="AD17" s="45">
        <v>22</v>
      </c>
      <c r="AE17" s="45">
        <v>22</v>
      </c>
      <c r="AF17" s="45">
        <v>22</v>
      </c>
      <c r="AG17" s="50">
        <v>42</v>
      </c>
      <c r="AH17" s="47">
        <f t="shared" si="2"/>
        <v>27</v>
      </c>
      <c r="AI17" s="48">
        <f t="shared" si="3"/>
        <v>22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17</v>
      </c>
      <c r="C19" s="45">
        <v>17</v>
      </c>
      <c r="D19" s="45">
        <v>17</v>
      </c>
      <c r="E19" s="45">
        <v>17</v>
      </c>
      <c r="F19" s="45">
        <v>17</v>
      </c>
      <c r="G19" s="45">
        <v>14.4</v>
      </c>
      <c r="H19" s="45">
        <v>14.4</v>
      </c>
      <c r="I19" s="45">
        <v>14.4</v>
      </c>
      <c r="J19" s="45">
        <v>14.4</v>
      </c>
      <c r="K19" s="45">
        <v>14.4</v>
      </c>
      <c r="L19" s="45">
        <v>14.4</v>
      </c>
      <c r="M19" s="45">
        <v>14.4</v>
      </c>
      <c r="N19" s="45">
        <v>14.4</v>
      </c>
      <c r="O19" s="45">
        <v>14.4</v>
      </c>
      <c r="P19" s="45">
        <v>14.4</v>
      </c>
      <c r="Q19" s="45">
        <v>14.4</v>
      </c>
      <c r="R19" s="45">
        <v>14.4</v>
      </c>
      <c r="S19" s="45">
        <v>14.4</v>
      </c>
      <c r="T19" s="45">
        <v>14.4</v>
      </c>
      <c r="U19" s="45">
        <v>14.4</v>
      </c>
      <c r="V19" s="45">
        <v>14.4</v>
      </c>
      <c r="W19" s="45">
        <v>14.4</v>
      </c>
      <c r="X19" s="45">
        <v>14.4</v>
      </c>
      <c r="Y19" s="45">
        <v>14.4</v>
      </c>
      <c r="Z19" s="45">
        <v>14.4</v>
      </c>
      <c r="AA19" s="45">
        <v>14.4</v>
      </c>
      <c r="AB19" s="45">
        <v>14.4</v>
      </c>
      <c r="AC19" s="45">
        <v>14.4</v>
      </c>
      <c r="AD19" s="45">
        <v>14.4</v>
      </c>
      <c r="AE19" s="45">
        <v>14.4</v>
      </c>
      <c r="AF19" s="45">
        <v>14.4</v>
      </c>
      <c r="AG19" s="50">
        <v>36</v>
      </c>
      <c r="AH19" s="47">
        <f t="shared" si="2"/>
        <v>17</v>
      </c>
      <c r="AI19" s="48">
        <f t="shared" si="3"/>
        <v>14.4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23.4</v>
      </c>
      <c r="C20" s="45">
        <v>23.4</v>
      </c>
      <c r="D20" s="45">
        <v>23.4</v>
      </c>
      <c r="E20" s="45">
        <v>16</v>
      </c>
      <c r="F20" s="45">
        <v>16</v>
      </c>
      <c r="G20" s="45">
        <v>16</v>
      </c>
      <c r="H20" s="45">
        <v>16</v>
      </c>
      <c r="I20" s="45">
        <v>16</v>
      </c>
      <c r="J20" s="45">
        <v>16</v>
      </c>
      <c r="K20" s="45">
        <v>16</v>
      </c>
      <c r="L20" s="45">
        <v>16</v>
      </c>
      <c r="M20" s="45">
        <v>16</v>
      </c>
      <c r="N20" s="45">
        <v>16</v>
      </c>
      <c r="O20" s="45">
        <v>16</v>
      </c>
      <c r="P20" s="45">
        <v>16</v>
      </c>
      <c r="Q20" s="45">
        <v>16</v>
      </c>
      <c r="R20" s="45">
        <v>16</v>
      </c>
      <c r="S20" s="45">
        <v>14</v>
      </c>
      <c r="T20" s="45">
        <v>14</v>
      </c>
      <c r="U20" s="45">
        <v>14</v>
      </c>
      <c r="V20" s="45">
        <v>14</v>
      </c>
      <c r="W20" s="45">
        <v>14</v>
      </c>
      <c r="X20" s="45">
        <v>14</v>
      </c>
      <c r="Y20" s="45">
        <v>14</v>
      </c>
      <c r="Z20" s="45">
        <v>13.7</v>
      </c>
      <c r="AA20" s="45">
        <v>13.7</v>
      </c>
      <c r="AB20" s="45">
        <v>13.7</v>
      </c>
      <c r="AC20" s="45">
        <v>13.7</v>
      </c>
      <c r="AD20" s="45">
        <v>13.7</v>
      </c>
      <c r="AE20" s="45">
        <v>13.7</v>
      </c>
      <c r="AF20" s="45">
        <v>13.7</v>
      </c>
      <c r="AG20" s="51">
        <v>30</v>
      </c>
      <c r="AH20" s="47">
        <f t="shared" si="2"/>
        <v>23.4</v>
      </c>
      <c r="AI20" s="48">
        <f t="shared" si="3"/>
        <v>13.7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14.4</v>
      </c>
      <c r="F21" s="45">
        <v>14.4</v>
      </c>
      <c r="G21" s="45">
        <v>14.4</v>
      </c>
      <c r="H21" s="45">
        <v>14.4</v>
      </c>
      <c r="I21" s="45">
        <v>13.2</v>
      </c>
      <c r="J21" s="45">
        <v>13.2</v>
      </c>
      <c r="K21" s="45">
        <v>13.2</v>
      </c>
      <c r="L21" s="45">
        <v>13.2</v>
      </c>
      <c r="M21" s="45">
        <v>13.2</v>
      </c>
      <c r="N21" s="45">
        <v>13.2</v>
      </c>
      <c r="O21" s="45">
        <v>13.2</v>
      </c>
      <c r="P21" s="45">
        <v>13.2</v>
      </c>
      <c r="Q21" s="45">
        <v>13.2</v>
      </c>
      <c r="R21" s="45">
        <v>13.2</v>
      </c>
      <c r="S21" s="45">
        <v>13.2</v>
      </c>
      <c r="T21" s="45">
        <v>13.2</v>
      </c>
      <c r="U21" s="45">
        <v>13.2</v>
      </c>
      <c r="V21" s="45">
        <v>13.2</v>
      </c>
      <c r="W21" s="45">
        <v>13.2</v>
      </c>
      <c r="X21" s="45">
        <v>13.2</v>
      </c>
      <c r="Y21" s="45">
        <v>13.2</v>
      </c>
      <c r="Z21" s="45">
        <v>13.2</v>
      </c>
      <c r="AA21" s="45">
        <v>13.2</v>
      </c>
      <c r="AB21" s="45">
        <v>13.2</v>
      </c>
      <c r="AC21" s="45">
        <v>13.2</v>
      </c>
      <c r="AD21" s="45">
        <v>13.2</v>
      </c>
      <c r="AE21" s="45">
        <v>13.2</v>
      </c>
      <c r="AF21" s="45">
        <v>13.2</v>
      </c>
      <c r="AG21" s="50">
        <v>24.2</v>
      </c>
      <c r="AH21" s="47">
        <f t="shared" si="2"/>
        <v>14.4</v>
      </c>
      <c r="AI21" s="48">
        <f t="shared" si="3"/>
        <v>13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10.9</v>
      </c>
      <c r="C22" s="45">
        <v>10.9</v>
      </c>
      <c r="D22" s="45">
        <v>10.9</v>
      </c>
      <c r="E22" s="45">
        <v>10.9</v>
      </c>
      <c r="F22" s="45">
        <v>10.9</v>
      </c>
      <c r="G22" s="45">
        <v>10.9</v>
      </c>
      <c r="H22" s="45">
        <v>10.9</v>
      </c>
      <c r="I22" s="45">
        <v>10.9</v>
      </c>
      <c r="J22" s="45">
        <v>10.9</v>
      </c>
      <c r="K22" s="45">
        <v>10.9</v>
      </c>
      <c r="L22" s="45">
        <v>10.9</v>
      </c>
      <c r="M22" s="45">
        <v>10.9</v>
      </c>
      <c r="N22" s="45">
        <v>10.9</v>
      </c>
      <c r="O22" s="45">
        <v>10.9</v>
      </c>
      <c r="P22" s="45">
        <v>10.9</v>
      </c>
      <c r="Q22" s="45">
        <v>10.9</v>
      </c>
      <c r="R22" s="45">
        <v>10.9</v>
      </c>
      <c r="S22" s="45">
        <v>10.9</v>
      </c>
      <c r="T22" s="45">
        <v>10.9</v>
      </c>
      <c r="U22" s="45">
        <v>10.9</v>
      </c>
      <c r="V22" s="45">
        <v>10.9</v>
      </c>
      <c r="W22" s="45">
        <v>10.9</v>
      </c>
      <c r="X22" s="45">
        <v>10.9</v>
      </c>
      <c r="Y22" s="45">
        <v>10.9</v>
      </c>
      <c r="Z22" s="45">
        <v>10.9</v>
      </c>
      <c r="AA22" s="45">
        <v>10.9</v>
      </c>
      <c r="AB22" s="45">
        <v>10.9</v>
      </c>
      <c r="AC22" s="45">
        <v>10.9</v>
      </c>
      <c r="AD22" s="45">
        <v>10.9</v>
      </c>
      <c r="AE22" s="45">
        <v>10.9</v>
      </c>
      <c r="AF22" s="45">
        <v>10.9</v>
      </c>
      <c r="AG22" s="50">
        <v>28</v>
      </c>
      <c r="AH22" s="47">
        <f t="shared" si="2"/>
        <v>10.9</v>
      </c>
      <c r="AI22" s="48">
        <f t="shared" si="3"/>
        <v>10.9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12</v>
      </c>
      <c r="C23" s="45">
        <v>12</v>
      </c>
      <c r="D23" s="45">
        <v>12</v>
      </c>
      <c r="E23" s="45">
        <v>12</v>
      </c>
      <c r="F23" s="45">
        <v>12</v>
      </c>
      <c r="G23" s="45">
        <v>12</v>
      </c>
      <c r="H23" s="45">
        <v>12</v>
      </c>
      <c r="I23" s="45">
        <v>12</v>
      </c>
      <c r="J23" s="45">
        <v>12</v>
      </c>
      <c r="K23" s="45">
        <v>12</v>
      </c>
      <c r="L23" s="45">
        <v>12</v>
      </c>
      <c r="M23" s="45">
        <v>12</v>
      </c>
      <c r="N23" s="45">
        <v>12</v>
      </c>
      <c r="O23" s="45">
        <v>12</v>
      </c>
      <c r="P23" s="45">
        <v>12</v>
      </c>
      <c r="Q23" s="45">
        <v>12</v>
      </c>
      <c r="R23" s="45">
        <v>12</v>
      </c>
      <c r="S23" s="45">
        <v>12</v>
      </c>
      <c r="T23" s="45">
        <v>12</v>
      </c>
      <c r="U23" s="45">
        <v>12</v>
      </c>
      <c r="V23" s="45">
        <v>12</v>
      </c>
      <c r="W23" s="45">
        <v>12</v>
      </c>
      <c r="X23" s="45">
        <v>12</v>
      </c>
      <c r="Y23" s="45">
        <v>12</v>
      </c>
      <c r="Z23" s="45">
        <v>12</v>
      </c>
      <c r="AA23" s="45">
        <v>12</v>
      </c>
      <c r="AB23" s="45">
        <v>12</v>
      </c>
      <c r="AC23" s="45">
        <v>12</v>
      </c>
      <c r="AD23" s="45">
        <v>12</v>
      </c>
      <c r="AE23" s="45">
        <v>12</v>
      </c>
      <c r="AF23" s="45">
        <v>12</v>
      </c>
      <c r="AG23" s="51">
        <v>30</v>
      </c>
      <c r="AH23" s="47">
        <f t="shared" si="2"/>
        <v>12</v>
      </c>
      <c r="AI23" s="48">
        <f t="shared" si="3"/>
        <v>12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13.2</v>
      </c>
      <c r="C24" s="45">
        <v>13.2</v>
      </c>
      <c r="D24" s="45">
        <v>13.2</v>
      </c>
      <c r="E24" s="45">
        <v>16.600000000000001</v>
      </c>
      <c r="F24" s="45">
        <v>16.600000000000001</v>
      </c>
      <c r="G24" s="45">
        <v>16.600000000000001</v>
      </c>
      <c r="H24" s="45">
        <v>16.600000000000001</v>
      </c>
      <c r="I24" s="45">
        <v>14.8</v>
      </c>
      <c r="J24" s="45">
        <v>14.8</v>
      </c>
      <c r="K24" s="45">
        <v>14.8</v>
      </c>
      <c r="L24" s="45">
        <v>14.8</v>
      </c>
      <c r="M24" s="45">
        <v>14.8</v>
      </c>
      <c r="N24" s="45">
        <v>14.8</v>
      </c>
      <c r="O24" s="45">
        <v>14.8</v>
      </c>
      <c r="P24" s="45">
        <v>14.8</v>
      </c>
      <c r="Q24" s="45">
        <v>14.8</v>
      </c>
      <c r="R24" s="45">
        <v>14.8</v>
      </c>
      <c r="S24" s="45">
        <v>14.8</v>
      </c>
      <c r="T24" s="45">
        <v>14.8</v>
      </c>
      <c r="U24" s="45">
        <v>14.8</v>
      </c>
      <c r="V24" s="45">
        <v>14.8</v>
      </c>
      <c r="W24" s="45">
        <v>14.8</v>
      </c>
      <c r="X24" s="45">
        <v>14.8</v>
      </c>
      <c r="Y24" s="45">
        <v>14.8</v>
      </c>
      <c r="Z24" s="45">
        <v>14.8</v>
      </c>
      <c r="AA24" s="45">
        <v>14.8</v>
      </c>
      <c r="AB24" s="45">
        <v>14.8</v>
      </c>
      <c r="AC24" s="45">
        <v>14.8</v>
      </c>
      <c r="AD24" s="45">
        <v>14.8</v>
      </c>
      <c r="AE24" s="45">
        <v>14.8</v>
      </c>
      <c r="AF24" s="45">
        <v>14.8</v>
      </c>
      <c r="AG24" s="50">
        <v>25</v>
      </c>
      <c r="AH24" s="47">
        <f t="shared" si="2"/>
        <v>16.600000000000001</v>
      </c>
      <c r="AI24" s="48">
        <f t="shared" si="3"/>
        <v>13.2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14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</v>
      </c>
      <c r="C26" s="45">
        <v>6</v>
      </c>
      <c r="D26" s="45">
        <v>6</v>
      </c>
      <c r="E26" s="45">
        <v>6</v>
      </c>
      <c r="F26" s="45">
        <v>6</v>
      </c>
      <c r="G26" s="45">
        <v>6</v>
      </c>
      <c r="H26" s="45">
        <v>6</v>
      </c>
      <c r="I26" s="45">
        <v>6</v>
      </c>
      <c r="J26" s="45">
        <v>6</v>
      </c>
      <c r="K26" s="45">
        <v>6</v>
      </c>
      <c r="L26" s="45">
        <v>6</v>
      </c>
      <c r="M26" s="45">
        <v>6</v>
      </c>
      <c r="N26" s="45">
        <v>6</v>
      </c>
      <c r="O26" s="45">
        <v>6</v>
      </c>
      <c r="P26" s="45">
        <v>6</v>
      </c>
      <c r="Q26" s="45">
        <v>6</v>
      </c>
      <c r="R26" s="45">
        <v>6</v>
      </c>
      <c r="S26" s="45">
        <v>6</v>
      </c>
      <c r="T26" s="45">
        <v>6</v>
      </c>
      <c r="U26" s="45">
        <v>6</v>
      </c>
      <c r="V26" s="45">
        <v>6</v>
      </c>
      <c r="W26" s="45">
        <v>6</v>
      </c>
      <c r="X26" s="45">
        <v>6</v>
      </c>
      <c r="Y26" s="45">
        <v>6</v>
      </c>
      <c r="Z26" s="45">
        <v>6</v>
      </c>
      <c r="AA26" s="45">
        <v>6</v>
      </c>
      <c r="AB26" s="45">
        <v>6</v>
      </c>
      <c r="AC26" s="45">
        <v>6</v>
      </c>
      <c r="AD26" s="45">
        <v>6</v>
      </c>
      <c r="AE26" s="45">
        <v>6</v>
      </c>
      <c r="AF26" s="45">
        <v>6</v>
      </c>
      <c r="AG26" s="50">
        <v>25</v>
      </c>
      <c r="AH26" s="47">
        <f t="shared" si="2"/>
        <v>6</v>
      </c>
      <c r="AI26" s="48">
        <f t="shared" si="3"/>
        <v>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18</v>
      </c>
      <c r="C27" s="45">
        <v>18</v>
      </c>
      <c r="D27" s="45">
        <v>18</v>
      </c>
      <c r="E27" s="45">
        <v>18</v>
      </c>
      <c r="F27" s="45">
        <v>18</v>
      </c>
      <c r="G27" s="45">
        <v>18</v>
      </c>
      <c r="H27" s="45">
        <v>18</v>
      </c>
      <c r="I27" s="45">
        <v>18</v>
      </c>
      <c r="J27" s="45">
        <v>18</v>
      </c>
      <c r="K27" s="45">
        <v>18</v>
      </c>
      <c r="L27" s="45">
        <v>18</v>
      </c>
      <c r="M27" s="45">
        <v>18</v>
      </c>
      <c r="N27" s="45">
        <v>18</v>
      </c>
      <c r="O27" s="45">
        <v>18</v>
      </c>
      <c r="P27" s="45">
        <v>18</v>
      </c>
      <c r="Q27" s="45">
        <v>18</v>
      </c>
      <c r="R27" s="45">
        <v>18</v>
      </c>
      <c r="S27" s="45">
        <v>18</v>
      </c>
      <c r="T27" s="45">
        <v>18</v>
      </c>
      <c r="U27" s="45">
        <v>18</v>
      </c>
      <c r="V27" s="45">
        <v>18</v>
      </c>
      <c r="W27" s="45">
        <v>18</v>
      </c>
      <c r="X27" s="45">
        <v>18</v>
      </c>
      <c r="Y27" s="45">
        <v>18</v>
      </c>
      <c r="Z27" s="45">
        <v>18</v>
      </c>
      <c r="AA27" s="45">
        <v>18</v>
      </c>
      <c r="AB27" s="45">
        <v>18</v>
      </c>
      <c r="AC27" s="45">
        <v>18</v>
      </c>
      <c r="AD27" s="45">
        <v>18</v>
      </c>
      <c r="AE27" s="45">
        <v>18</v>
      </c>
      <c r="AF27" s="45">
        <v>18</v>
      </c>
      <c r="AG27" s="50">
        <v>25</v>
      </c>
      <c r="AH27" s="47">
        <f t="shared" si="2"/>
        <v>18</v>
      </c>
      <c r="AI27" s="48">
        <f t="shared" si="3"/>
        <v>18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23.5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4.5</v>
      </c>
      <c r="C29" s="45">
        <v>4.5</v>
      </c>
      <c r="D29" s="45">
        <v>4.5</v>
      </c>
      <c r="E29" s="45">
        <v>4.5</v>
      </c>
      <c r="F29" s="45">
        <v>4.5</v>
      </c>
      <c r="G29" s="45">
        <v>4.5</v>
      </c>
      <c r="H29" s="45">
        <v>4.5</v>
      </c>
      <c r="I29" s="45">
        <v>4.5</v>
      </c>
      <c r="J29" s="45">
        <v>4.5</v>
      </c>
      <c r="K29" s="45">
        <v>4.5</v>
      </c>
      <c r="L29" s="45">
        <v>4.5</v>
      </c>
      <c r="M29" s="45">
        <v>4.5</v>
      </c>
      <c r="N29" s="45">
        <v>4.5</v>
      </c>
      <c r="O29" s="45">
        <v>4.5</v>
      </c>
      <c r="P29" s="45">
        <v>4.5</v>
      </c>
      <c r="Q29" s="45">
        <v>4.5</v>
      </c>
      <c r="R29" s="45">
        <v>4.5</v>
      </c>
      <c r="S29" s="45">
        <v>4.5</v>
      </c>
      <c r="T29" s="45">
        <v>4.5</v>
      </c>
      <c r="U29" s="45">
        <v>4.5</v>
      </c>
      <c r="V29" s="45">
        <v>4.5</v>
      </c>
      <c r="W29" s="45">
        <v>4.5</v>
      </c>
      <c r="X29" s="45">
        <v>4.5</v>
      </c>
      <c r="Y29" s="45">
        <v>4.5</v>
      </c>
      <c r="Z29" s="45">
        <v>4.5</v>
      </c>
      <c r="AA29" s="45">
        <v>4.5</v>
      </c>
      <c r="AB29" s="45">
        <v>4.5</v>
      </c>
      <c r="AC29" s="45">
        <v>4.5</v>
      </c>
      <c r="AD29" s="45">
        <v>4.5</v>
      </c>
      <c r="AE29" s="45">
        <v>4.5</v>
      </c>
      <c r="AF29" s="45">
        <v>4.5</v>
      </c>
      <c r="AG29" s="50">
        <v>22.2</v>
      </c>
      <c r="AH29" s="47">
        <f t="shared" si="2"/>
        <v>4.5</v>
      </c>
      <c r="AI29" s="48">
        <f t="shared" si="3"/>
        <v>4.5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50">
        <v>22</v>
      </c>
      <c r="AH31" s="47">
        <f t="shared" si="2"/>
        <v>4.5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5">
        <v>6</v>
      </c>
      <c r="Y32" s="45">
        <v>6</v>
      </c>
      <c r="Z32" s="45">
        <v>6</v>
      </c>
      <c r="AA32" s="45">
        <v>6</v>
      </c>
      <c r="AB32" s="45">
        <v>11</v>
      </c>
      <c r="AC32" s="45">
        <v>11</v>
      </c>
      <c r="AD32" s="45">
        <v>11</v>
      </c>
      <c r="AE32" s="45">
        <v>11</v>
      </c>
      <c r="AF32" s="45">
        <v>11</v>
      </c>
      <c r="AG32" s="50">
        <v>22</v>
      </c>
      <c r="AH32" s="47">
        <f t="shared" si="2"/>
        <v>11</v>
      </c>
      <c r="AI32" s="48">
        <f t="shared" si="3"/>
        <v>6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14</v>
      </c>
      <c r="C33" s="45">
        <v>14</v>
      </c>
      <c r="D33" s="45">
        <v>14</v>
      </c>
      <c r="E33" s="45">
        <v>14</v>
      </c>
      <c r="F33" s="45">
        <v>14</v>
      </c>
      <c r="G33" s="45">
        <v>14</v>
      </c>
      <c r="H33" s="45">
        <v>14</v>
      </c>
      <c r="I33" s="45">
        <v>14</v>
      </c>
      <c r="J33" s="45">
        <v>14</v>
      </c>
      <c r="K33" s="45">
        <v>14</v>
      </c>
      <c r="L33" s="45">
        <v>14</v>
      </c>
      <c r="M33" s="45">
        <v>14</v>
      </c>
      <c r="N33" s="45">
        <v>14</v>
      </c>
      <c r="O33" s="45">
        <v>14</v>
      </c>
      <c r="P33" s="45">
        <v>14</v>
      </c>
      <c r="Q33" s="45">
        <v>14</v>
      </c>
      <c r="R33" s="45">
        <v>14</v>
      </c>
      <c r="S33" s="45">
        <v>14</v>
      </c>
      <c r="T33" s="45">
        <v>14</v>
      </c>
      <c r="U33" s="45">
        <v>14</v>
      </c>
      <c r="V33" s="45">
        <v>14</v>
      </c>
      <c r="W33" s="45">
        <v>14</v>
      </c>
      <c r="X33" s="45">
        <v>14</v>
      </c>
      <c r="Y33" s="45">
        <v>14</v>
      </c>
      <c r="Z33" s="45">
        <v>14</v>
      </c>
      <c r="AA33" s="45">
        <v>14</v>
      </c>
      <c r="AB33" s="45">
        <v>14</v>
      </c>
      <c r="AC33" s="45">
        <v>14</v>
      </c>
      <c r="AD33" s="45">
        <v>14</v>
      </c>
      <c r="AE33" s="45">
        <v>14</v>
      </c>
      <c r="AF33" s="45">
        <v>14</v>
      </c>
      <c r="AG33" s="50">
        <v>20</v>
      </c>
      <c r="AH33" s="47">
        <f t="shared" si="2"/>
        <v>14</v>
      </c>
      <c r="AI33" s="48">
        <f t="shared" si="3"/>
        <v>14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50">
        <v>18</v>
      </c>
      <c r="AH34" s="47">
        <f t="shared" si="2"/>
        <v>0</v>
      </c>
      <c r="AI34" s="48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50">
        <v>13</v>
      </c>
      <c r="AH38" s="47">
        <f t="shared" si="2"/>
        <v>6</v>
      </c>
      <c r="AI38" s="48">
        <f t="shared" si="3"/>
        <v>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6.5</v>
      </c>
      <c r="C39" s="45">
        <v>6.5</v>
      </c>
      <c r="D39" s="45">
        <v>6.5</v>
      </c>
      <c r="E39" s="45">
        <v>6.5</v>
      </c>
      <c r="F39" s="45">
        <v>6.5</v>
      </c>
      <c r="G39" s="45">
        <v>6.5</v>
      </c>
      <c r="H39" s="45">
        <v>6.5</v>
      </c>
      <c r="I39" s="45">
        <v>6.5</v>
      </c>
      <c r="J39" s="45">
        <v>6.5</v>
      </c>
      <c r="K39" s="45">
        <v>6.5</v>
      </c>
      <c r="L39" s="45">
        <v>6.5</v>
      </c>
      <c r="M39" s="45">
        <v>6.5</v>
      </c>
      <c r="N39" s="45">
        <v>6.5</v>
      </c>
      <c r="O39" s="45">
        <v>6.5</v>
      </c>
      <c r="P39" s="45">
        <v>6.5</v>
      </c>
      <c r="Q39" s="45">
        <v>6.5</v>
      </c>
      <c r="R39" s="45">
        <v>6.5</v>
      </c>
      <c r="S39" s="45">
        <v>6.5</v>
      </c>
      <c r="T39" s="45">
        <v>6.5</v>
      </c>
      <c r="U39" s="45">
        <v>6.5</v>
      </c>
      <c r="V39" s="45">
        <v>6.5</v>
      </c>
      <c r="W39" s="45">
        <v>6.5</v>
      </c>
      <c r="X39" s="45">
        <v>6.5</v>
      </c>
      <c r="Y39" s="45">
        <v>6.5</v>
      </c>
      <c r="Z39" s="45">
        <v>6.5</v>
      </c>
      <c r="AA39" s="45">
        <v>6.5</v>
      </c>
      <c r="AB39" s="45">
        <v>6.5</v>
      </c>
      <c r="AC39" s="45">
        <v>6.5</v>
      </c>
      <c r="AD39" s="45">
        <v>6.5</v>
      </c>
      <c r="AE39" s="45">
        <v>6.5</v>
      </c>
      <c r="AF39" s="45">
        <v>6.5</v>
      </c>
      <c r="AG39" s="50">
        <v>12</v>
      </c>
      <c r="AH39" s="47">
        <f t="shared" si="2"/>
        <v>6.5</v>
      </c>
      <c r="AI39" s="48">
        <f t="shared" si="3"/>
        <v>6.5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>
        <v>3.6</v>
      </c>
      <c r="N45" s="45">
        <v>3.6</v>
      </c>
      <c r="O45" s="45">
        <v>3.6</v>
      </c>
      <c r="P45" s="45">
        <v>3.6</v>
      </c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3.6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5</v>
      </c>
      <c r="C46" s="45">
        <v>5</v>
      </c>
      <c r="D46" s="45">
        <v>5</v>
      </c>
      <c r="E46" s="45">
        <v>5</v>
      </c>
      <c r="F46" s="45">
        <v>5</v>
      </c>
      <c r="G46" s="45">
        <v>5</v>
      </c>
      <c r="H46" s="45">
        <v>5</v>
      </c>
      <c r="I46" s="45">
        <v>5</v>
      </c>
      <c r="J46" s="45">
        <v>5</v>
      </c>
      <c r="K46" s="45">
        <v>5</v>
      </c>
      <c r="L46" s="45">
        <v>5</v>
      </c>
      <c r="M46" s="45">
        <v>5</v>
      </c>
      <c r="N46" s="45">
        <v>5</v>
      </c>
      <c r="O46" s="45">
        <v>5</v>
      </c>
      <c r="P46" s="45">
        <v>5</v>
      </c>
      <c r="Q46" s="45">
        <v>5</v>
      </c>
      <c r="R46" s="45">
        <v>5</v>
      </c>
      <c r="S46" s="45">
        <v>5</v>
      </c>
      <c r="T46" s="45">
        <v>5</v>
      </c>
      <c r="U46" s="45">
        <v>5</v>
      </c>
      <c r="V46" s="45">
        <v>5</v>
      </c>
      <c r="W46" s="45">
        <v>5</v>
      </c>
      <c r="X46" s="45">
        <v>5</v>
      </c>
      <c r="Y46" s="45">
        <v>5</v>
      </c>
      <c r="Z46" s="45">
        <v>5</v>
      </c>
      <c r="AA46" s="45">
        <v>5</v>
      </c>
      <c r="AB46" s="45">
        <v>5</v>
      </c>
      <c r="AC46" s="45">
        <v>5</v>
      </c>
      <c r="AD46" s="45">
        <v>5</v>
      </c>
      <c r="AE46" s="45">
        <v>5</v>
      </c>
      <c r="AF46" s="45">
        <v>5</v>
      </c>
      <c r="AG46" s="54">
        <v>10</v>
      </c>
      <c r="AH46" s="47">
        <f t="shared" si="2"/>
        <v>5</v>
      </c>
      <c r="AI46" s="48">
        <f t="shared" si="3"/>
        <v>5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230</v>
      </c>
      <c r="C48" s="56">
        <v>230</v>
      </c>
      <c r="D48" s="56">
        <v>230</v>
      </c>
      <c r="E48" s="56">
        <v>230</v>
      </c>
      <c r="F48" s="56">
        <v>230</v>
      </c>
      <c r="G48" s="56">
        <v>230</v>
      </c>
      <c r="H48" s="56">
        <v>230</v>
      </c>
      <c r="I48" s="56">
        <v>230</v>
      </c>
      <c r="J48" s="56">
        <v>230</v>
      </c>
      <c r="K48" s="56">
        <v>230</v>
      </c>
      <c r="L48" s="56">
        <v>230</v>
      </c>
      <c r="M48" s="56">
        <v>230</v>
      </c>
      <c r="N48" s="56">
        <v>230</v>
      </c>
      <c r="O48" s="56">
        <v>230</v>
      </c>
      <c r="P48" s="56">
        <v>230</v>
      </c>
      <c r="Q48" s="56">
        <v>230</v>
      </c>
      <c r="R48" s="56">
        <v>230</v>
      </c>
      <c r="S48" s="56">
        <v>230</v>
      </c>
      <c r="T48" s="56">
        <v>230</v>
      </c>
      <c r="U48" s="56">
        <v>230</v>
      </c>
      <c r="V48" s="56">
        <v>230</v>
      </c>
      <c r="W48" s="56">
        <v>230</v>
      </c>
      <c r="X48" s="56">
        <v>230</v>
      </c>
      <c r="Y48" s="56">
        <v>230</v>
      </c>
      <c r="Z48" s="56">
        <v>230</v>
      </c>
      <c r="AA48" s="56">
        <v>230</v>
      </c>
      <c r="AB48" s="56">
        <v>230</v>
      </c>
      <c r="AC48" s="56">
        <v>230</v>
      </c>
      <c r="AD48" s="56">
        <v>230</v>
      </c>
      <c r="AE48" s="56">
        <v>230</v>
      </c>
      <c r="AF48" s="56">
        <v>230</v>
      </c>
      <c r="AG48" s="54">
        <v>85</v>
      </c>
      <c r="AH48" s="47">
        <f t="shared" si="2"/>
        <v>230</v>
      </c>
      <c r="AI48" s="48">
        <f t="shared" si="3"/>
        <v>230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 t="shared" ref="B50:AF50" si="4">SUM(B11:B48)</f>
        <v>711.2</v>
      </c>
      <c r="C50" s="60">
        <f t="shared" si="4"/>
        <v>711.2</v>
      </c>
      <c r="D50" s="60">
        <f t="shared" si="4"/>
        <v>711.2</v>
      </c>
      <c r="E50" s="60">
        <f t="shared" si="4"/>
        <v>709.8</v>
      </c>
      <c r="F50" s="60">
        <f t="shared" si="4"/>
        <v>709.8</v>
      </c>
      <c r="G50" s="60">
        <f t="shared" si="4"/>
        <v>707.2</v>
      </c>
      <c r="H50" s="60">
        <f t="shared" si="4"/>
        <v>707.2</v>
      </c>
      <c r="I50" s="60">
        <f t="shared" si="4"/>
        <v>688</v>
      </c>
      <c r="J50" s="60">
        <f t="shared" si="4"/>
        <v>688</v>
      </c>
      <c r="K50" s="60">
        <f t="shared" si="4"/>
        <v>688</v>
      </c>
      <c r="L50" s="60">
        <f t="shared" si="4"/>
        <v>688</v>
      </c>
      <c r="M50" s="60">
        <f t="shared" si="4"/>
        <v>688</v>
      </c>
      <c r="N50" s="60">
        <f t="shared" si="4"/>
        <v>688</v>
      </c>
      <c r="O50" s="60">
        <f t="shared" si="4"/>
        <v>688</v>
      </c>
      <c r="P50" s="60">
        <f t="shared" si="4"/>
        <v>688</v>
      </c>
      <c r="Q50" s="60">
        <f t="shared" si="4"/>
        <v>688</v>
      </c>
      <c r="R50" s="60">
        <f>SUM(R11:R48)</f>
        <v>684.7</v>
      </c>
      <c r="S50" s="60">
        <f t="shared" si="4"/>
        <v>682.7</v>
      </c>
      <c r="T50" s="60">
        <f t="shared" si="4"/>
        <v>682.7</v>
      </c>
      <c r="U50" s="60">
        <f t="shared" si="4"/>
        <v>682.7</v>
      </c>
      <c r="V50" s="60">
        <f t="shared" si="4"/>
        <v>682.7</v>
      </c>
      <c r="W50" s="60">
        <f t="shared" si="4"/>
        <v>682.7</v>
      </c>
      <c r="X50" s="60">
        <f t="shared" si="4"/>
        <v>682.7</v>
      </c>
      <c r="Y50" s="60">
        <f t="shared" si="4"/>
        <v>686.7</v>
      </c>
      <c r="Z50" s="60">
        <f t="shared" si="4"/>
        <v>688.30000000000007</v>
      </c>
      <c r="AA50" s="60">
        <v>688.30000000000007</v>
      </c>
      <c r="AB50" s="60">
        <f t="shared" si="4"/>
        <v>694.90000000000009</v>
      </c>
      <c r="AC50" s="60">
        <f t="shared" si="4"/>
        <v>694.90000000000009</v>
      </c>
      <c r="AD50" s="60">
        <f t="shared" si="4"/>
        <v>694.90000000000009</v>
      </c>
      <c r="AE50" s="60">
        <f t="shared" si="4"/>
        <v>694.90000000000009</v>
      </c>
      <c r="AF50" s="60">
        <f t="shared" si="4"/>
        <v>694.90000000000009</v>
      </c>
      <c r="AG50" s="61">
        <f>SUM(AG13:AG48)</f>
        <v>922.14</v>
      </c>
      <c r="AH50" s="47">
        <f t="shared" si="2"/>
        <v>711.2</v>
      </c>
      <c r="AI50" s="48">
        <f t="shared" si="3"/>
        <v>682.7</v>
      </c>
      <c r="AK50" s="49"/>
    </row>
    <row r="51" spans="1:41" x14ac:dyDescent="0.25">
      <c r="A51" s="62" t="s">
        <v>57</v>
      </c>
      <c r="B51" s="45">
        <v>300</v>
      </c>
      <c r="C51" s="45">
        <v>340</v>
      </c>
      <c r="D51" s="45">
        <v>250</v>
      </c>
      <c r="E51" s="45">
        <v>330</v>
      </c>
      <c r="F51" s="45">
        <v>170</v>
      </c>
      <c r="G51" s="45">
        <v>180</v>
      </c>
      <c r="H51" s="45">
        <v>160</v>
      </c>
      <c r="I51" s="45">
        <v>180</v>
      </c>
      <c r="J51" s="45">
        <v>125</v>
      </c>
      <c r="K51" s="45">
        <v>125</v>
      </c>
      <c r="L51" s="45">
        <v>140</v>
      </c>
      <c r="M51" s="45">
        <v>143</v>
      </c>
      <c r="N51" s="63">
        <v>145</v>
      </c>
      <c r="O51" s="63">
        <v>152</v>
      </c>
      <c r="P51" s="63">
        <v>85</v>
      </c>
      <c r="Q51" s="63">
        <v>140</v>
      </c>
      <c r="R51" s="63">
        <v>170</v>
      </c>
      <c r="S51" s="45">
        <v>190</v>
      </c>
      <c r="T51" s="45">
        <v>220</v>
      </c>
      <c r="U51" s="45">
        <v>240</v>
      </c>
      <c r="V51" s="45">
        <v>240</v>
      </c>
      <c r="W51" s="45">
        <v>170</v>
      </c>
      <c r="X51" s="45">
        <v>240</v>
      </c>
      <c r="Y51" s="45">
        <v>240</v>
      </c>
      <c r="Z51" s="45">
        <v>240</v>
      </c>
      <c r="AA51" s="45">
        <v>400</v>
      </c>
      <c r="AB51" s="45">
        <v>325</v>
      </c>
      <c r="AC51" s="45">
        <v>400</v>
      </c>
      <c r="AD51" s="45">
        <v>420</v>
      </c>
      <c r="AE51" s="45">
        <v>390</v>
      </c>
      <c r="AF51" s="45">
        <v>370</v>
      </c>
      <c r="AG51" s="51">
        <v>456</v>
      </c>
      <c r="AH51" s="47">
        <f t="shared" si="2"/>
        <v>420</v>
      </c>
      <c r="AI51" s="48">
        <f t="shared" si="3"/>
        <v>85</v>
      </c>
      <c r="AK51" s="49"/>
    </row>
    <row r="52" spans="1:41" x14ac:dyDescent="0.25">
      <c r="A52" s="64" t="s">
        <v>58</v>
      </c>
      <c r="B52" s="65">
        <v>40</v>
      </c>
      <c r="C52" s="65">
        <v>40</v>
      </c>
      <c r="D52" s="65">
        <v>40</v>
      </c>
      <c r="E52" s="65">
        <v>40</v>
      </c>
      <c r="F52" s="65">
        <v>40</v>
      </c>
      <c r="G52" s="65">
        <v>40</v>
      </c>
      <c r="H52" s="65">
        <v>40</v>
      </c>
      <c r="I52" s="65">
        <v>40</v>
      </c>
      <c r="J52" s="65">
        <v>40</v>
      </c>
      <c r="K52" s="65">
        <v>40</v>
      </c>
      <c r="L52" s="65">
        <v>40</v>
      </c>
      <c r="M52" s="65">
        <v>40</v>
      </c>
      <c r="N52" s="65">
        <v>40</v>
      </c>
      <c r="O52" s="65">
        <v>40</v>
      </c>
      <c r="P52" s="65">
        <v>40</v>
      </c>
      <c r="Q52" s="65">
        <v>40</v>
      </c>
      <c r="R52" s="65">
        <v>40</v>
      </c>
      <c r="S52" s="65">
        <v>40</v>
      </c>
      <c r="T52" s="65">
        <v>40</v>
      </c>
      <c r="U52" s="65">
        <v>40</v>
      </c>
      <c r="V52" s="65">
        <v>40</v>
      </c>
      <c r="W52" s="65">
        <v>40</v>
      </c>
      <c r="X52" s="65">
        <v>40</v>
      </c>
      <c r="Y52" s="65">
        <v>40</v>
      </c>
      <c r="Z52" s="65">
        <v>40</v>
      </c>
      <c r="AA52" s="65">
        <v>42</v>
      </c>
      <c r="AB52" s="65">
        <v>42</v>
      </c>
      <c r="AC52" s="65">
        <v>42</v>
      </c>
      <c r="AD52" s="65">
        <v>42</v>
      </c>
      <c r="AE52" s="65">
        <v>42</v>
      </c>
      <c r="AF52" s="65">
        <v>42</v>
      </c>
      <c r="AG52" s="54">
        <v>60</v>
      </c>
      <c r="AH52" s="47">
        <f t="shared" si="2"/>
        <v>42</v>
      </c>
      <c r="AI52" s="48">
        <f t="shared" si="3"/>
        <v>40</v>
      </c>
      <c r="AK52" s="49"/>
    </row>
    <row r="53" spans="1:41" ht="15.75" thickBot="1" x14ac:dyDescent="0.3">
      <c r="A53" s="66" t="s">
        <v>59</v>
      </c>
      <c r="B53" s="67">
        <v>22.4</v>
      </c>
      <c r="C53" s="67">
        <v>22.4</v>
      </c>
      <c r="D53" s="67">
        <v>22.4</v>
      </c>
      <c r="E53" s="67">
        <v>22.4</v>
      </c>
      <c r="F53" s="67">
        <v>22.5</v>
      </c>
      <c r="G53" s="67">
        <v>22.4</v>
      </c>
      <c r="H53" s="67">
        <v>22.5</v>
      </c>
      <c r="I53" s="67">
        <v>22.4</v>
      </c>
      <c r="J53" s="67">
        <v>22.4</v>
      </c>
      <c r="K53" s="67">
        <v>22.4</v>
      </c>
      <c r="L53" s="67">
        <v>22.4</v>
      </c>
      <c r="M53" s="67">
        <v>22.4</v>
      </c>
      <c r="N53" s="67">
        <v>22.4</v>
      </c>
      <c r="O53" s="67">
        <v>22.4</v>
      </c>
      <c r="P53" s="67">
        <v>22.4</v>
      </c>
      <c r="Q53" s="67">
        <v>22.4</v>
      </c>
      <c r="R53" s="67">
        <v>20.100000000000001</v>
      </c>
      <c r="S53" s="67">
        <v>20</v>
      </c>
      <c r="T53" s="67">
        <v>20.100000000000001</v>
      </c>
      <c r="U53" s="67">
        <v>20.100000000000001</v>
      </c>
      <c r="V53" s="67">
        <v>20.100000000000001</v>
      </c>
      <c r="W53" s="67">
        <v>20.100000000000001</v>
      </c>
      <c r="X53" s="67">
        <v>20.100000000000001</v>
      </c>
      <c r="Y53" s="67">
        <v>20.100000000000001</v>
      </c>
      <c r="Z53" s="67">
        <v>20</v>
      </c>
      <c r="AA53" s="67">
        <v>20</v>
      </c>
      <c r="AB53" s="67">
        <v>21</v>
      </c>
      <c r="AC53" s="67">
        <v>21</v>
      </c>
      <c r="AD53" s="67">
        <v>21</v>
      </c>
      <c r="AE53" s="67">
        <v>21</v>
      </c>
      <c r="AF53" s="67">
        <v>21</v>
      </c>
      <c r="AG53" s="68">
        <v>22.1</v>
      </c>
      <c r="AH53" s="47">
        <f t="shared" si="2"/>
        <v>22.5</v>
      </c>
      <c r="AI53" s="48">
        <f t="shared" si="3"/>
        <v>20</v>
      </c>
      <c r="AK53" s="49"/>
    </row>
    <row r="54" spans="1:41" ht="15.75" thickBot="1" x14ac:dyDescent="0.3">
      <c r="A54" s="69" t="s">
        <v>60</v>
      </c>
      <c r="B54" s="60">
        <f t="shared" ref="B54:AG54" si="5">SUM(B51:B53)</f>
        <v>362.4</v>
      </c>
      <c r="C54" s="60">
        <f t="shared" si="5"/>
        <v>402.4</v>
      </c>
      <c r="D54" s="60">
        <f t="shared" si="5"/>
        <v>312.39999999999998</v>
      </c>
      <c r="E54" s="60">
        <f t="shared" si="5"/>
        <v>392.4</v>
      </c>
      <c r="F54" s="60">
        <f t="shared" si="5"/>
        <v>232.5</v>
      </c>
      <c r="G54" s="60">
        <f t="shared" si="5"/>
        <v>242.4</v>
      </c>
      <c r="H54" s="60">
        <f t="shared" si="5"/>
        <v>222.5</v>
      </c>
      <c r="I54" s="60">
        <f t="shared" si="5"/>
        <v>242.4</v>
      </c>
      <c r="J54" s="60">
        <f t="shared" si="5"/>
        <v>187.4</v>
      </c>
      <c r="K54" s="60">
        <f t="shared" si="5"/>
        <v>187.4</v>
      </c>
      <c r="L54" s="60">
        <f t="shared" si="5"/>
        <v>202.4</v>
      </c>
      <c r="M54" s="60">
        <f t="shared" si="5"/>
        <v>205.4</v>
      </c>
      <c r="N54" s="60">
        <f t="shared" si="5"/>
        <v>207.4</v>
      </c>
      <c r="O54" s="60">
        <f t="shared" si="5"/>
        <v>214.4</v>
      </c>
      <c r="P54" s="60">
        <f t="shared" si="5"/>
        <v>147.4</v>
      </c>
      <c r="Q54" s="60">
        <f t="shared" si="5"/>
        <v>202.4</v>
      </c>
      <c r="R54" s="60">
        <f t="shared" si="5"/>
        <v>230.1</v>
      </c>
      <c r="S54" s="60">
        <f t="shared" si="5"/>
        <v>250</v>
      </c>
      <c r="T54" s="60">
        <f t="shared" si="5"/>
        <v>280.10000000000002</v>
      </c>
      <c r="U54" s="60">
        <f t="shared" si="5"/>
        <v>300.10000000000002</v>
      </c>
      <c r="V54" s="60">
        <f t="shared" si="5"/>
        <v>300.10000000000002</v>
      </c>
      <c r="W54" s="60">
        <f t="shared" si="5"/>
        <v>230.1</v>
      </c>
      <c r="X54" s="60">
        <f t="shared" si="5"/>
        <v>300.10000000000002</v>
      </c>
      <c r="Y54" s="60">
        <f t="shared" si="5"/>
        <v>300.10000000000002</v>
      </c>
      <c r="Z54" s="60">
        <f t="shared" si="5"/>
        <v>300</v>
      </c>
      <c r="AA54" s="60">
        <v>462</v>
      </c>
      <c r="AB54" s="60">
        <f t="shared" si="5"/>
        <v>388</v>
      </c>
      <c r="AC54" s="60">
        <f t="shared" si="5"/>
        <v>463</v>
      </c>
      <c r="AD54" s="60">
        <f t="shared" si="5"/>
        <v>483</v>
      </c>
      <c r="AE54" s="60">
        <f t="shared" si="5"/>
        <v>453</v>
      </c>
      <c r="AF54" s="60">
        <f t="shared" si="5"/>
        <v>433</v>
      </c>
      <c r="AG54" s="61">
        <f t="shared" si="5"/>
        <v>538.1</v>
      </c>
      <c r="AH54" s="47">
        <f t="shared" si="2"/>
        <v>483</v>
      </c>
      <c r="AI54" s="48">
        <f t="shared" si="3"/>
        <v>147.4</v>
      </c>
      <c r="AK54" s="49"/>
    </row>
    <row r="55" spans="1:41" x14ac:dyDescent="0.25">
      <c r="A55" s="44" t="s">
        <v>61</v>
      </c>
      <c r="B55" s="45">
        <v>117</v>
      </c>
      <c r="C55" s="45">
        <v>117</v>
      </c>
      <c r="D55" s="45">
        <v>80</v>
      </c>
      <c r="E55" s="45">
        <v>78.5</v>
      </c>
      <c r="F55" s="45">
        <v>86.8</v>
      </c>
      <c r="G55" s="45">
        <v>77</v>
      </c>
      <c r="H55" s="45">
        <v>81</v>
      </c>
      <c r="I55" s="45">
        <v>71.099999999999994</v>
      </c>
      <c r="J55" s="45">
        <v>60.9</v>
      </c>
      <c r="K55" s="45">
        <v>61.3</v>
      </c>
      <c r="L55" s="45">
        <v>80.3</v>
      </c>
      <c r="M55" s="45">
        <v>71.5</v>
      </c>
      <c r="N55" s="45">
        <v>71.5</v>
      </c>
      <c r="O55" s="45">
        <v>132</v>
      </c>
      <c r="P55" s="45">
        <v>144</v>
      </c>
      <c r="Q55" s="45">
        <v>141</v>
      </c>
      <c r="R55" s="45">
        <v>144</v>
      </c>
      <c r="S55" s="45">
        <v>142</v>
      </c>
      <c r="T55" s="45">
        <v>142.1</v>
      </c>
      <c r="U55" s="45">
        <v>132</v>
      </c>
      <c r="V55" s="45">
        <v>132</v>
      </c>
      <c r="W55" s="45">
        <v>112</v>
      </c>
      <c r="X55" s="45">
        <v>100</v>
      </c>
      <c r="Y55" s="45">
        <v>91</v>
      </c>
      <c r="Z55" s="45">
        <v>102</v>
      </c>
      <c r="AA55" s="45">
        <v>112.7</v>
      </c>
      <c r="AB55" s="45">
        <v>100</v>
      </c>
      <c r="AC55" s="45">
        <v>100.7</v>
      </c>
      <c r="AD55" s="45">
        <v>100.7</v>
      </c>
      <c r="AE55" s="45">
        <v>109</v>
      </c>
      <c r="AF55" s="45">
        <v>100.8</v>
      </c>
      <c r="AG55" s="51">
        <v>144</v>
      </c>
      <c r="AH55" s="47">
        <f t="shared" si="2"/>
        <v>144</v>
      </c>
      <c r="AI55" s="48">
        <f t="shared" si="3"/>
        <v>60.9</v>
      </c>
      <c r="AK55" s="49"/>
    </row>
    <row r="56" spans="1:41" x14ac:dyDescent="0.25">
      <c r="A56" s="53" t="s">
        <v>62</v>
      </c>
      <c r="B56" s="65">
        <v>59</v>
      </c>
      <c r="C56" s="65">
        <v>71.599999999999994</v>
      </c>
      <c r="D56" s="65">
        <v>50.3</v>
      </c>
      <c r="E56" s="65">
        <v>70.3</v>
      </c>
      <c r="F56" s="65">
        <v>60.3</v>
      </c>
      <c r="G56" s="65">
        <v>70.5</v>
      </c>
      <c r="H56" s="65">
        <v>49.4</v>
      </c>
      <c r="I56" s="65">
        <v>61</v>
      </c>
      <c r="J56" s="65">
        <v>50.2</v>
      </c>
      <c r="K56" s="65">
        <v>59.2</v>
      </c>
      <c r="L56" s="65">
        <v>70.400000000000006</v>
      </c>
      <c r="M56" s="65">
        <v>59.6</v>
      </c>
      <c r="N56" s="65">
        <v>59.6</v>
      </c>
      <c r="O56" s="65">
        <v>70</v>
      </c>
      <c r="P56" s="65">
        <v>70</v>
      </c>
      <c r="Q56" s="65">
        <v>70</v>
      </c>
      <c r="R56" s="65">
        <v>70</v>
      </c>
      <c r="S56" s="65">
        <v>72.099999999999994</v>
      </c>
      <c r="T56" s="65">
        <v>72.099999999999994</v>
      </c>
      <c r="U56" s="45">
        <v>60</v>
      </c>
      <c r="V56" s="45">
        <v>60</v>
      </c>
      <c r="W56" s="45">
        <v>45</v>
      </c>
      <c r="X56" s="45">
        <v>35</v>
      </c>
      <c r="Y56" s="45">
        <v>35</v>
      </c>
      <c r="Z56" s="45">
        <v>65.7</v>
      </c>
      <c r="AA56" s="45">
        <v>70.3</v>
      </c>
      <c r="AB56" s="45">
        <v>69.2</v>
      </c>
      <c r="AC56" s="45">
        <v>69.8</v>
      </c>
      <c r="AD56" s="65">
        <v>69.5</v>
      </c>
      <c r="AE56" s="45">
        <v>68.5</v>
      </c>
      <c r="AF56" s="45">
        <v>58.9</v>
      </c>
      <c r="AG56" s="54">
        <v>70</v>
      </c>
      <c r="AH56" s="47">
        <f t="shared" si="2"/>
        <v>72.099999999999994</v>
      </c>
      <c r="AI56" s="48">
        <f t="shared" si="3"/>
        <v>35</v>
      </c>
      <c r="AK56" s="49"/>
    </row>
    <row r="57" spans="1:41" x14ac:dyDescent="0.25">
      <c r="A57" s="53" t="s">
        <v>63</v>
      </c>
      <c r="B57" s="65">
        <v>51.4</v>
      </c>
      <c r="C57" s="65">
        <v>70</v>
      </c>
      <c r="D57" s="65">
        <v>48.7</v>
      </c>
      <c r="E57" s="65">
        <v>69.599999999999994</v>
      </c>
      <c r="F57" s="65">
        <v>57.6</v>
      </c>
      <c r="G57" s="65">
        <v>69.3</v>
      </c>
      <c r="H57" s="65">
        <v>69.5</v>
      </c>
      <c r="I57" s="65">
        <v>70.8</v>
      </c>
      <c r="J57" s="65">
        <v>52.1</v>
      </c>
      <c r="K57" s="65">
        <v>66.8</v>
      </c>
      <c r="L57" s="65">
        <v>70</v>
      </c>
      <c r="M57" s="65">
        <v>52.1</v>
      </c>
      <c r="N57" s="65">
        <v>52.1</v>
      </c>
      <c r="O57" s="65">
        <v>68</v>
      </c>
      <c r="P57" s="65">
        <v>68</v>
      </c>
      <c r="Q57" s="65">
        <v>68</v>
      </c>
      <c r="R57" s="65">
        <v>69.8</v>
      </c>
      <c r="S57" s="65">
        <v>69</v>
      </c>
      <c r="T57" s="65">
        <v>69</v>
      </c>
      <c r="U57" s="45">
        <v>52</v>
      </c>
      <c r="V57" s="45">
        <v>52</v>
      </c>
      <c r="W57" s="45">
        <v>51.3</v>
      </c>
      <c r="X57" s="45">
        <v>51.3</v>
      </c>
      <c r="Y57" s="45">
        <v>51.3</v>
      </c>
      <c r="Z57" s="45">
        <v>69.7</v>
      </c>
      <c r="AA57" s="45">
        <v>69.5</v>
      </c>
      <c r="AB57" s="45">
        <v>70.5</v>
      </c>
      <c r="AC57" s="45">
        <v>69</v>
      </c>
      <c r="AD57" s="65">
        <v>68.8</v>
      </c>
      <c r="AE57" s="45">
        <v>68.5</v>
      </c>
      <c r="AF57" s="45">
        <v>68.3</v>
      </c>
      <c r="AG57" s="54">
        <v>69</v>
      </c>
      <c r="AH57" s="47">
        <f t="shared" si="2"/>
        <v>70.8</v>
      </c>
      <c r="AI57" s="48">
        <f t="shared" si="3"/>
        <v>48.7</v>
      </c>
      <c r="AK57" s="49"/>
    </row>
    <row r="58" spans="1:41" x14ac:dyDescent="0.25">
      <c r="A58" s="53" t="s">
        <v>64</v>
      </c>
      <c r="B58" s="65">
        <v>60.2</v>
      </c>
      <c r="C58" s="65">
        <v>60.2</v>
      </c>
      <c r="D58" s="65">
        <v>60.2</v>
      </c>
      <c r="E58" s="56">
        <v>60.2</v>
      </c>
      <c r="F58" s="56">
        <v>60.2</v>
      </c>
      <c r="G58" s="56">
        <v>60.2</v>
      </c>
      <c r="H58" s="56">
        <v>60.2</v>
      </c>
      <c r="I58" s="56">
        <v>60.2</v>
      </c>
      <c r="J58" s="56">
        <v>60.2</v>
      </c>
      <c r="K58" s="56">
        <v>60.2</v>
      </c>
      <c r="L58" s="56">
        <v>60.2</v>
      </c>
      <c r="M58" s="56">
        <v>60.2</v>
      </c>
      <c r="N58" s="56">
        <v>60.2</v>
      </c>
      <c r="O58" s="56">
        <v>60.2</v>
      </c>
      <c r="P58" s="56">
        <v>60.2</v>
      </c>
      <c r="Q58" s="56">
        <v>60.2</v>
      </c>
      <c r="R58" s="65">
        <v>60</v>
      </c>
      <c r="S58" s="65">
        <v>60</v>
      </c>
      <c r="T58" s="65">
        <v>60</v>
      </c>
      <c r="U58" s="45">
        <v>60.4</v>
      </c>
      <c r="V58" s="45">
        <v>60.4</v>
      </c>
      <c r="W58" s="45">
        <v>60.4</v>
      </c>
      <c r="X58" s="45">
        <v>60.4</v>
      </c>
      <c r="Y58" s="45">
        <v>60.4</v>
      </c>
      <c r="Z58" s="45">
        <v>60.4</v>
      </c>
      <c r="AA58" s="45">
        <v>60.4</v>
      </c>
      <c r="AB58" s="45">
        <v>60.4</v>
      </c>
      <c r="AC58" s="45">
        <v>60.4</v>
      </c>
      <c r="AD58" s="65">
        <v>60.4</v>
      </c>
      <c r="AE58" s="65">
        <v>60.4</v>
      </c>
      <c r="AF58" s="65">
        <v>60.4</v>
      </c>
      <c r="AG58" s="54">
        <v>60</v>
      </c>
      <c r="AH58" s="47">
        <f t="shared" si="2"/>
        <v>60.4</v>
      </c>
      <c r="AI58" s="48">
        <f t="shared" si="3"/>
        <v>60</v>
      </c>
      <c r="AK58" s="49"/>
    </row>
    <row r="59" spans="1:41" x14ac:dyDescent="0.25">
      <c r="A59" s="53" t="s">
        <v>65</v>
      </c>
      <c r="B59" s="65">
        <v>15</v>
      </c>
      <c r="C59" s="65">
        <v>15</v>
      </c>
      <c r="D59" s="65">
        <v>15</v>
      </c>
      <c r="E59" s="56">
        <v>27</v>
      </c>
      <c r="F59" s="56">
        <v>27</v>
      </c>
      <c r="G59" s="56">
        <v>27</v>
      </c>
      <c r="H59" s="56">
        <v>23</v>
      </c>
      <c r="I59" s="56">
        <v>22</v>
      </c>
      <c r="J59" s="56">
        <v>15</v>
      </c>
      <c r="K59" s="56">
        <v>15</v>
      </c>
      <c r="L59" s="56">
        <v>12</v>
      </c>
      <c r="M59" s="56">
        <v>12</v>
      </c>
      <c r="N59" s="56">
        <v>12</v>
      </c>
      <c r="O59" s="56">
        <v>12</v>
      </c>
      <c r="P59" s="56">
        <v>12</v>
      </c>
      <c r="Q59" s="56">
        <v>12</v>
      </c>
      <c r="R59" s="65">
        <v>13</v>
      </c>
      <c r="S59" s="65">
        <v>13</v>
      </c>
      <c r="T59" s="65">
        <v>13</v>
      </c>
      <c r="U59" s="65">
        <v>13</v>
      </c>
      <c r="V59" s="65">
        <v>13</v>
      </c>
      <c r="W59" s="65">
        <v>0</v>
      </c>
      <c r="X59" s="65">
        <v>0</v>
      </c>
      <c r="Y59" s="65">
        <v>0</v>
      </c>
      <c r="Z59" s="45">
        <v>10</v>
      </c>
      <c r="AA59" s="45">
        <v>10</v>
      </c>
      <c r="AB59" s="45">
        <v>25</v>
      </c>
      <c r="AC59" s="45">
        <v>25</v>
      </c>
      <c r="AD59" s="65">
        <v>25</v>
      </c>
      <c r="AE59" s="65">
        <v>15</v>
      </c>
      <c r="AF59" s="65">
        <v>15</v>
      </c>
      <c r="AG59" s="54">
        <v>30</v>
      </c>
      <c r="AH59" s="47">
        <f t="shared" si="2"/>
        <v>27</v>
      </c>
      <c r="AI59" s="48">
        <f t="shared" si="3"/>
        <v>0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0.7</v>
      </c>
      <c r="I60" s="65">
        <v>0.8</v>
      </c>
      <c r="J60" s="65">
        <v>1.4</v>
      </c>
      <c r="K60" s="65">
        <v>4.8</v>
      </c>
      <c r="L60" s="65">
        <v>5.4</v>
      </c>
      <c r="M60" s="65">
        <v>5.4</v>
      </c>
      <c r="N60" s="65">
        <v>5.4</v>
      </c>
      <c r="O60" s="65">
        <v>15</v>
      </c>
      <c r="P60" s="65">
        <v>16</v>
      </c>
      <c r="Q60" s="65">
        <v>16</v>
      </c>
      <c r="R60" s="65">
        <v>16.100000000000001</v>
      </c>
      <c r="S60" s="65">
        <v>16.100000000000001</v>
      </c>
      <c r="T60" s="65">
        <v>16.100000000000001</v>
      </c>
      <c r="U60" s="65">
        <v>16.100000000000001</v>
      </c>
      <c r="V60" s="65">
        <v>16.100000000000001</v>
      </c>
      <c r="W60" s="65">
        <v>16.100000000000001</v>
      </c>
      <c r="X60" s="65">
        <v>8</v>
      </c>
      <c r="Y60" s="6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16.100000000000001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17</v>
      </c>
      <c r="N61" s="65">
        <v>17</v>
      </c>
      <c r="O61" s="65">
        <v>17</v>
      </c>
      <c r="P61" s="65">
        <v>17</v>
      </c>
      <c r="Q61" s="65">
        <v>17</v>
      </c>
      <c r="R61" s="65">
        <v>17</v>
      </c>
      <c r="S61" s="65">
        <v>17</v>
      </c>
      <c r="T61" s="65">
        <v>17</v>
      </c>
      <c r="U61" s="65">
        <v>17</v>
      </c>
      <c r="V61" s="65">
        <v>17</v>
      </c>
      <c r="W61" s="65">
        <v>17</v>
      </c>
      <c r="X61" s="65">
        <v>17</v>
      </c>
      <c r="Y61" s="65">
        <v>17</v>
      </c>
      <c r="Z61" s="65">
        <v>17</v>
      </c>
      <c r="AA61" s="65">
        <v>17</v>
      </c>
      <c r="AB61" s="65">
        <v>17</v>
      </c>
      <c r="AC61" s="65">
        <v>17</v>
      </c>
      <c r="AD61" s="65">
        <v>17</v>
      </c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17</v>
      </c>
      <c r="AK61" s="49"/>
    </row>
    <row r="62" spans="1:41" x14ac:dyDescent="0.25">
      <c r="A62" s="53" t="s">
        <v>68</v>
      </c>
      <c r="B62" s="65">
        <v>2</v>
      </c>
      <c r="C62" s="65">
        <v>2</v>
      </c>
      <c r="D62" s="65">
        <v>2</v>
      </c>
      <c r="E62" s="65">
        <v>2</v>
      </c>
      <c r="F62" s="65">
        <v>2</v>
      </c>
      <c r="G62" s="65">
        <v>2</v>
      </c>
      <c r="H62" s="65">
        <v>2</v>
      </c>
      <c r="I62" s="65">
        <v>2</v>
      </c>
      <c r="J62" s="65">
        <v>2</v>
      </c>
      <c r="K62" s="65">
        <v>2</v>
      </c>
      <c r="L62" s="65">
        <v>2</v>
      </c>
      <c r="M62" s="65">
        <v>2</v>
      </c>
      <c r="N62" s="65">
        <v>2</v>
      </c>
      <c r="O62" s="65">
        <v>2</v>
      </c>
      <c r="P62" s="65">
        <v>2</v>
      </c>
      <c r="Q62" s="65">
        <v>2</v>
      </c>
      <c r="R62" s="65">
        <v>2</v>
      </c>
      <c r="S62" s="65">
        <v>2</v>
      </c>
      <c r="T62" s="65">
        <v>2</v>
      </c>
      <c r="U62" s="65">
        <v>2</v>
      </c>
      <c r="V62" s="65">
        <v>2</v>
      </c>
      <c r="W62" s="65">
        <v>2</v>
      </c>
      <c r="X62" s="65">
        <v>2</v>
      </c>
      <c r="Y62" s="65">
        <v>2</v>
      </c>
      <c r="Z62" s="65">
        <v>2</v>
      </c>
      <c r="AA62" s="65">
        <v>2</v>
      </c>
      <c r="AB62" s="65">
        <v>2</v>
      </c>
      <c r="AC62" s="65">
        <v>2</v>
      </c>
      <c r="AD62" s="65">
        <v>2</v>
      </c>
      <c r="AE62" s="65">
        <v>2</v>
      </c>
      <c r="AF62" s="65">
        <v>2</v>
      </c>
      <c r="AG62" s="54">
        <v>15</v>
      </c>
      <c r="AH62" s="47">
        <f t="shared" si="2"/>
        <v>2</v>
      </c>
      <c r="AI62" s="48">
        <f t="shared" si="3"/>
        <v>2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10.1</v>
      </c>
      <c r="C63" s="65">
        <v>10.1</v>
      </c>
      <c r="D63" s="65">
        <v>10.1</v>
      </c>
      <c r="E63" s="65">
        <v>10.1</v>
      </c>
      <c r="F63" s="65">
        <v>10.1</v>
      </c>
      <c r="G63" s="65">
        <v>10.1</v>
      </c>
      <c r="H63" s="65">
        <v>10.1</v>
      </c>
      <c r="I63" s="65">
        <v>10.1</v>
      </c>
      <c r="J63" s="65">
        <v>10.1</v>
      </c>
      <c r="K63" s="65">
        <v>10.1</v>
      </c>
      <c r="L63" s="65">
        <v>10.1</v>
      </c>
      <c r="M63" s="65">
        <v>10.1</v>
      </c>
      <c r="N63" s="65">
        <v>10.1</v>
      </c>
      <c r="O63" s="65">
        <v>10.1</v>
      </c>
      <c r="P63" s="65">
        <v>10.1</v>
      </c>
      <c r="Q63" s="65">
        <v>10.1</v>
      </c>
      <c r="R63" s="65">
        <v>10.1</v>
      </c>
      <c r="S63" s="65">
        <v>10.1</v>
      </c>
      <c r="T63" s="65">
        <v>10.1</v>
      </c>
      <c r="U63" s="65">
        <v>10.1</v>
      </c>
      <c r="V63" s="65">
        <v>10.1</v>
      </c>
      <c r="W63" s="65">
        <v>10.1</v>
      </c>
      <c r="X63" s="65">
        <v>10.1</v>
      </c>
      <c r="Y63" s="65">
        <v>10.1</v>
      </c>
      <c r="Z63" s="65">
        <v>10.1</v>
      </c>
      <c r="AA63" s="65">
        <v>10.1</v>
      </c>
      <c r="AB63" s="65">
        <v>10.1</v>
      </c>
      <c r="AC63" s="65">
        <v>10.1</v>
      </c>
      <c r="AD63" s="65">
        <v>10.1</v>
      </c>
      <c r="AE63" s="65">
        <v>10.1</v>
      </c>
      <c r="AF63" s="65">
        <v>10.1</v>
      </c>
      <c r="AG63" s="54">
        <v>14.1</v>
      </c>
      <c r="AH63" s="47">
        <f t="shared" si="2"/>
        <v>10.1</v>
      </c>
      <c r="AI63" s="48">
        <f t="shared" si="3"/>
        <v>10.1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9</v>
      </c>
      <c r="C64" s="65">
        <v>9</v>
      </c>
      <c r="D64" s="65">
        <v>9</v>
      </c>
      <c r="E64" s="65">
        <v>9</v>
      </c>
      <c r="F64" s="65">
        <v>9</v>
      </c>
      <c r="G64" s="65">
        <v>9</v>
      </c>
      <c r="H64" s="65">
        <v>9</v>
      </c>
      <c r="I64" s="65">
        <v>9</v>
      </c>
      <c r="J64" s="65">
        <v>9</v>
      </c>
      <c r="K64" s="65">
        <v>9</v>
      </c>
      <c r="L64" s="65">
        <v>9</v>
      </c>
      <c r="M64" s="65">
        <v>9</v>
      </c>
      <c r="N64" s="65">
        <v>9</v>
      </c>
      <c r="O64" s="65">
        <v>9</v>
      </c>
      <c r="P64" s="65">
        <v>9</v>
      </c>
      <c r="Q64" s="65">
        <v>9</v>
      </c>
      <c r="R64" s="65">
        <v>9</v>
      </c>
      <c r="S64" s="65">
        <v>9</v>
      </c>
      <c r="T64" s="65">
        <v>9</v>
      </c>
      <c r="U64" s="65">
        <v>9</v>
      </c>
      <c r="V64" s="65">
        <v>9</v>
      </c>
      <c r="W64" s="65">
        <v>9</v>
      </c>
      <c r="X64" s="65">
        <v>9</v>
      </c>
      <c r="Y64" s="65">
        <v>9</v>
      </c>
      <c r="Z64" s="65">
        <v>9</v>
      </c>
      <c r="AA64" s="65">
        <v>9</v>
      </c>
      <c r="AB64" s="65">
        <v>9</v>
      </c>
      <c r="AC64" s="65">
        <v>9</v>
      </c>
      <c r="AD64" s="65">
        <v>9</v>
      </c>
      <c r="AE64" s="65">
        <v>9</v>
      </c>
      <c r="AF64" s="65">
        <v>9</v>
      </c>
      <c r="AG64" s="54">
        <v>14</v>
      </c>
      <c r="AH64" s="47">
        <f t="shared" si="2"/>
        <v>9</v>
      </c>
      <c r="AI64" s="48">
        <f t="shared" si="3"/>
        <v>9</v>
      </c>
      <c r="AK64" s="49"/>
    </row>
    <row r="65" spans="1:40" x14ac:dyDescent="0.25">
      <c r="A65" s="53" t="s">
        <v>71</v>
      </c>
      <c r="B65" s="65">
        <v>6.8</v>
      </c>
      <c r="C65" s="65">
        <v>6.8</v>
      </c>
      <c r="D65" s="65">
        <v>6.8</v>
      </c>
      <c r="E65" s="65">
        <v>6.8</v>
      </c>
      <c r="F65" s="65">
        <v>6.8</v>
      </c>
      <c r="G65" s="65">
        <v>6.8</v>
      </c>
      <c r="H65" s="65">
        <v>6.8</v>
      </c>
      <c r="I65" s="65">
        <v>6.8</v>
      </c>
      <c r="J65" s="65">
        <v>6.8</v>
      </c>
      <c r="K65" s="65">
        <v>6.8</v>
      </c>
      <c r="L65" s="65">
        <v>6.8</v>
      </c>
      <c r="M65" s="65">
        <v>6.8</v>
      </c>
      <c r="N65" s="65">
        <v>6.8</v>
      </c>
      <c r="O65" s="65">
        <v>6.8</v>
      </c>
      <c r="P65" s="65">
        <v>6.8</v>
      </c>
      <c r="Q65" s="65">
        <v>6.8</v>
      </c>
      <c r="R65" s="65">
        <v>6.8</v>
      </c>
      <c r="S65" s="65">
        <v>6.8</v>
      </c>
      <c r="T65" s="65">
        <v>6.8</v>
      </c>
      <c r="U65" s="65">
        <v>6.8</v>
      </c>
      <c r="V65" s="65">
        <v>6.8</v>
      </c>
      <c r="W65" s="65">
        <v>6.8</v>
      </c>
      <c r="X65" s="65">
        <v>6.8</v>
      </c>
      <c r="Y65" s="65">
        <v>6.8</v>
      </c>
      <c r="Z65" s="65">
        <v>6.8</v>
      </c>
      <c r="AA65" s="65">
        <v>6.8</v>
      </c>
      <c r="AB65" s="65">
        <v>6.8</v>
      </c>
      <c r="AC65" s="65">
        <v>6.8</v>
      </c>
      <c r="AD65" s="65">
        <v>6.8</v>
      </c>
      <c r="AE65" s="65">
        <v>6.8</v>
      </c>
      <c r="AF65" s="65">
        <v>6.8</v>
      </c>
      <c r="AG65" s="54">
        <v>10.050000000000001</v>
      </c>
      <c r="AH65" s="47">
        <f t="shared" si="2"/>
        <v>6.8</v>
      </c>
      <c r="AI65" s="48">
        <f t="shared" si="3"/>
        <v>6.8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6">SUM(B55:B67)</f>
        <v>353.04000000000008</v>
      </c>
      <c r="C68" s="60">
        <f t="shared" si="6"/>
        <v>384.24000000000007</v>
      </c>
      <c r="D68" s="60">
        <f t="shared" si="6"/>
        <v>304.64000000000004</v>
      </c>
      <c r="E68" s="60">
        <f t="shared" si="6"/>
        <v>356.04000000000008</v>
      </c>
      <c r="F68" s="60">
        <f t="shared" si="6"/>
        <v>342.34000000000003</v>
      </c>
      <c r="G68" s="60">
        <f t="shared" si="6"/>
        <v>354.44000000000005</v>
      </c>
      <c r="H68" s="60">
        <f t="shared" si="6"/>
        <v>334.24000000000007</v>
      </c>
      <c r="I68" s="60">
        <f t="shared" si="6"/>
        <v>336.34000000000003</v>
      </c>
      <c r="J68" s="60">
        <f t="shared" si="6"/>
        <v>290.24</v>
      </c>
      <c r="K68" s="60">
        <f t="shared" si="6"/>
        <v>317.74000000000007</v>
      </c>
      <c r="L68" s="60">
        <f t="shared" si="6"/>
        <v>348.74</v>
      </c>
      <c r="M68" s="60">
        <f t="shared" si="6"/>
        <v>311.24</v>
      </c>
      <c r="N68" s="60">
        <f t="shared" si="6"/>
        <v>311.24</v>
      </c>
      <c r="O68" s="60">
        <f t="shared" si="6"/>
        <v>407.64000000000004</v>
      </c>
      <c r="P68" s="60">
        <f t="shared" si="6"/>
        <v>420.64000000000004</v>
      </c>
      <c r="Q68" s="60">
        <f t="shared" si="6"/>
        <v>417.64000000000004</v>
      </c>
      <c r="R68" s="60">
        <f t="shared" si="6"/>
        <v>423.34000000000009</v>
      </c>
      <c r="S68" s="60">
        <f t="shared" si="6"/>
        <v>422.6400000000001</v>
      </c>
      <c r="T68" s="60">
        <f t="shared" si="6"/>
        <v>422.74000000000007</v>
      </c>
      <c r="U68" s="60">
        <f t="shared" si="6"/>
        <v>383.94000000000005</v>
      </c>
      <c r="V68" s="60">
        <f t="shared" si="6"/>
        <v>383.94000000000005</v>
      </c>
      <c r="W68" s="60">
        <f t="shared" si="6"/>
        <v>335.24000000000007</v>
      </c>
      <c r="X68" s="60">
        <f t="shared" si="6"/>
        <v>305.1400000000001</v>
      </c>
      <c r="Y68" s="60">
        <f t="shared" si="6"/>
        <v>288.1400000000001</v>
      </c>
      <c r="Z68" s="60">
        <f t="shared" si="6"/>
        <v>358.24</v>
      </c>
      <c r="AA68" s="60">
        <v>373.34000000000003</v>
      </c>
      <c r="AB68" s="60">
        <f t="shared" si="6"/>
        <v>375.54</v>
      </c>
      <c r="AC68" s="60">
        <f t="shared" si="6"/>
        <v>375.34000000000003</v>
      </c>
      <c r="AD68" s="60">
        <f t="shared" si="6"/>
        <v>374.84000000000003</v>
      </c>
      <c r="AE68" s="60">
        <f t="shared" si="6"/>
        <v>371.84000000000003</v>
      </c>
      <c r="AF68" s="60">
        <f t="shared" si="6"/>
        <v>353.84000000000003</v>
      </c>
      <c r="AG68" s="61">
        <f t="shared" si="6"/>
        <v>489.91</v>
      </c>
      <c r="AH68" s="47">
        <f t="shared" si="2"/>
        <v>423.34000000000009</v>
      </c>
      <c r="AI68" s="48">
        <f t="shared" si="3"/>
        <v>288.1400000000001</v>
      </c>
      <c r="AK68" s="49"/>
    </row>
    <row r="69" spans="1:40" x14ac:dyDescent="0.25">
      <c r="A69" s="44" t="s">
        <v>75</v>
      </c>
      <c r="B69" s="45">
        <v>34</v>
      </c>
      <c r="C69" s="45">
        <v>14</v>
      </c>
      <c r="D69" s="45">
        <v>0</v>
      </c>
      <c r="E69" s="45">
        <v>0</v>
      </c>
      <c r="F69" s="45">
        <v>0</v>
      </c>
      <c r="G69" s="45">
        <v>0</v>
      </c>
      <c r="H69" s="45">
        <v>10</v>
      </c>
      <c r="I69" s="45">
        <v>10</v>
      </c>
      <c r="J69" s="45">
        <v>10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30</v>
      </c>
      <c r="Q69" s="45">
        <v>60</v>
      </c>
      <c r="R69" s="45">
        <v>45</v>
      </c>
      <c r="S69" s="45">
        <v>50</v>
      </c>
      <c r="T69" s="45">
        <v>30</v>
      </c>
      <c r="U69" s="45">
        <v>50</v>
      </c>
      <c r="V69" s="45">
        <v>36</v>
      </c>
      <c r="W69" s="45">
        <v>14</v>
      </c>
      <c r="X69" s="45">
        <v>14</v>
      </c>
      <c r="Y69" s="45">
        <v>14</v>
      </c>
      <c r="Z69" s="45">
        <v>35</v>
      </c>
      <c r="AA69" s="45">
        <v>50</v>
      </c>
      <c r="AB69" s="45">
        <v>40</v>
      </c>
      <c r="AC69" s="45">
        <v>10</v>
      </c>
      <c r="AD69" s="45">
        <v>10</v>
      </c>
      <c r="AE69" s="45">
        <v>0</v>
      </c>
      <c r="AF69" s="45">
        <v>0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13.5</v>
      </c>
      <c r="C70" s="45">
        <v>5.3</v>
      </c>
      <c r="D70" s="65">
        <v>0</v>
      </c>
      <c r="E70" s="65">
        <v>0</v>
      </c>
      <c r="F70" s="65">
        <v>0</v>
      </c>
      <c r="G70" s="65">
        <v>0</v>
      </c>
      <c r="H70" s="65">
        <v>5.3</v>
      </c>
      <c r="I70" s="65">
        <v>4.2</v>
      </c>
      <c r="J70" s="65">
        <v>4.3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14</v>
      </c>
      <c r="Q70" s="65">
        <v>18</v>
      </c>
      <c r="R70" s="65">
        <v>23.6</v>
      </c>
      <c r="S70" s="65">
        <v>24.8</v>
      </c>
      <c r="T70" s="65">
        <v>17.600000000000001</v>
      </c>
      <c r="U70" s="65">
        <v>27</v>
      </c>
      <c r="V70" s="65">
        <v>18.399999999999999</v>
      </c>
      <c r="W70" s="65">
        <v>7.9</v>
      </c>
      <c r="X70" s="65">
        <v>5.8</v>
      </c>
      <c r="Y70" s="65">
        <v>5.8</v>
      </c>
      <c r="Z70" s="65">
        <v>16.7</v>
      </c>
      <c r="AA70" s="65">
        <v>24.7</v>
      </c>
      <c r="AB70" s="65">
        <v>15.8</v>
      </c>
      <c r="AC70" s="65">
        <v>11.6</v>
      </c>
      <c r="AD70" s="65">
        <v>11.6</v>
      </c>
      <c r="AE70" s="65">
        <v>0</v>
      </c>
      <c r="AF70" s="65">
        <v>0</v>
      </c>
      <c r="AG70" s="54">
        <v>32</v>
      </c>
      <c r="AH70" s="47">
        <f t="shared" si="2"/>
        <v>27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5</v>
      </c>
      <c r="C71" s="45">
        <v>1.9</v>
      </c>
      <c r="D71" s="67">
        <v>0</v>
      </c>
      <c r="E71" s="67">
        <v>0</v>
      </c>
      <c r="F71" s="67">
        <v>0</v>
      </c>
      <c r="G71" s="67">
        <v>0</v>
      </c>
      <c r="H71" s="67">
        <v>1.9</v>
      </c>
      <c r="I71" s="67">
        <v>1.5</v>
      </c>
      <c r="J71" s="67">
        <v>1.6</v>
      </c>
      <c r="K71" s="67">
        <v>0</v>
      </c>
      <c r="L71" s="67">
        <v>0</v>
      </c>
      <c r="M71" s="67">
        <v>0</v>
      </c>
      <c r="N71" s="67">
        <v>0</v>
      </c>
      <c r="O71" s="67">
        <v>0</v>
      </c>
      <c r="P71" s="67">
        <v>5</v>
      </c>
      <c r="Q71" s="67">
        <v>7</v>
      </c>
      <c r="R71" s="67">
        <v>8.6</v>
      </c>
      <c r="S71" s="67">
        <v>9</v>
      </c>
      <c r="T71" s="67">
        <v>6.5</v>
      </c>
      <c r="U71" s="67">
        <v>10.3</v>
      </c>
      <c r="V71" s="67">
        <v>6.7</v>
      </c>
      <c r="W71" s="67">
        <v>2.9</v>
      </c>
      <c r="X71" s="67">
        <v>2.1</v>
      </c>
      <c r="Y71" s="67">
        <v>2.1</v>
      </c>
      <c r="Z71" s="67">
        <v>6.1</v>
      </c>
      <c r="AA71" s="67">
        <v>9</v>
      </c>
      <c r="AB71" s="67">
        <v>5.7</v>
      </c>
      <c r="AC71" s="67">
        <v>4.3</v>
      </c>
      <c r="AD71" s="67">
        <v>4.3</v>
      </c>
      <c r="AE71" s="67">
        <v>0</v>
      </c>
      <c r="AF71" s="67">
        <v>0</v>
      </c>
      <c r="AG71" s="68">
        <v>14</v>
      </c>
      <c r="AH71" s="47">
        <f t="shared" si="2"/>
        <v>10.3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52.5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7">M69+M70+M71</f>
        <v>0</v>
      </c>
      <c r="N72" s="60">
        <f t="shared" si="7"/>
        <v>0</v>
      </c>
      <c r="O72" s="60">
        <f t="shared" si="7"/>
        <v>0</v>
      </c>
      <c r="P72" s="60">
        <f t="shared" si="7"/>
        <v>49</v>
      </c>
      <c r="Q72" s="60">
        <f t="shared" si="7"/>
        <v>85</v>
      </c>
      <c r="R72" s="60">
        <f t="shared" si="7"/>
        <v>77.199999999999989</v>
      </c>
      <c r="S72" s="60">
        <f t="shared" si="7"/>
        <v>83.8</v>
      </c>
      <c r="T72" s="60">
        <f t="shared" si="7"/>
        <v>54.1</v>
      </c>
      <c r="U72" s="60">
        <f t="shared" si="7"/>
        <v>87.3</v>
      </c>
      <c r="V72" s="60">
        <f t="shared" si="7"/>
        <v>61.1</v>
      </c>
      <c r="W72" s="60">
        <f t="shared" si="7"/>
        <v>24.799999999999997</v>
      </c>
      <c r="X72" s="60">
        <f t="shared" si="7"/>
        <v>21.900000000000002</v>
      </c>
      <c r="Y72" s="60">
        <f t="shared" si="7"/>
        <v>21.900000000000002</v>
      </c>
      <c r="Z72" s="60">
        <f t="shared" si="7"/>
        <v>57.800000000000004</v>
      </c>
      <c r="AA72" s="60">
        <v>83.7</v>
      </c>
      <c r="AB72" s="60">
        <f t="shared" si="7"/>
        <v>61.5</v>
      </c>
      <c r="AC72" s="60">
        <f t="shared" si="7"/>
        <v>25.900000000000002</v>
      </c>
      <c r="AD72" s="60">
        <f t="shared" si="7"/>
        <v>25.900000000000002</v>
      </c>
      <c r="AE72" s="60">
        <f t="shared" si="7"/>
        <v>0</v>
      </c>
      <c r="AF72" s="60">
        <f t="shared" si="7"/>
        <v>0</v>
      </c>
      <c r="AG72" s="61">
        <f>SUM(AG69:AG71)</f>
        <v>106</v>
      </c>
      <c r="AH72" s="47">
        <f t="shared" si="2"/>
        <v>87.3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57.3</v>
      </c>
      <c r="C73" s="45">
        <v>52.5</v>
      </c>
      <c r="D73" s="45">
        <v>68.599999999999994</v>
      </c>
      <c r="E73" s="45">
        <v>73.900000000000006</v>
      </c>
      <c r="F73" s="45">
        <v>71.2</v>
      </c>
      <c r="G73" s="45">
        <v>68</v>
      </c>
      <c r="H73" s="45">
        <v>65.8</v>
      </c>
      <c r="I73" s="45">
        <v>55</v>
      </c>
      <c r="J73" s="45">
        <v>49</v>
      </c>
      <c r="K73" s="45">
        <v>54</v>
      </c>
      <c r="L73" s="45">
        <v>58</v>
      </c>
      <c r="M73" s="45">
        <v>58</v>
      </c>
      <c r="N73" s="45">
        <v>58</v>
      </c>
      <c r="O73" s="45">
        <v>53</v>
      </c>
      <c r="P73" s="45">
        <v>53</v>
      </c>
      <c r="Q73" s="45">
        <v>55.7</v>
      </c>
      <c r="R73" s="45">
        <v>55.5</v>
      </c>
      <c r="S73" s="45">
        <v>62</v>
      </c>
      <c r="T73" s="45">
        <v>60</v>
      </c>
      <c r="U73" s="45">
        <v>64.400000000000006</v>
      </c>
      <c r="V73" s="45">
        <v>60</v>
      </c>
      <c r="W73" s="45">
        <v>63.9</v>
      </c>
      <c r="X73" s="45">
        <v>73.5</v>
      </c>
      <c r="Y73" s="45">
        <v>63.4</v>
      </c>
      <c r="Z73" s="45">
        <v>62.8</v>
      </c>
      <c r="AA73" s="45">
        <v>61</v>
      </c>
      <c r="AB73" s="45">
        <v>68.599999999999994</v>
      </c>
      <c r="AC73" s="45">
        <v>57</v>
      </c>
      <c r="AD73" s="45">
        <v>54.6</v>
      </c>
      <c r="AE73" s="45">
        <v>75.400000000000006</v>
      </c>
      <c r="AF73" s="45">
        <v>52.5</v>
      </c>
      <c r="AG73" s="51"/>
      <c r="AH73" s="47">
        <f t="shared" si="2"/>
        <v>75.400000000000006</v>
      </c>
      <c r="AI73" s="48">
        <f t="shared" si="3"/>
        <v>49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98</v>
      </c>
      <c r="Q74" s="65">
        <v>91</v>
      </c>
      <c r="R74" s="65">
        <v>95.9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98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35</v>
      </c>
      <c r="C75" s="65">
        <v>-5</v>
      </c>
      <c r="D75" s="65">
        <v>50</v>
      </c>
      <c r="E75" s="65">
        <v>61</v>
      </c>
      <c r="F75" s="65">
        <v>189.34</v>
      </c>
      <c r="G75" s="65">
        <v>195</v>
      </c>
      <c r="H75" s="65">
        <v>193.5</v>
      </c>
      <c r="I75" s="65">
        <v>250</v>
      </c>
      <c r="J75" s="65">
        <v>295</v>
      </c>
      <c r="K75" s="65">
        <v>334</v>
      </c>
      <c r="L75" s="65">
        <v>327</v>
      </c>
      <c r="M75" s="65">
        <v>347</v>
      </c>
      <c r="N75" s="65">
        <v>333</v>
      </c>
      <c r="O75" s="65">
        <v>319</v>
      </c>
      <c r="P75" s="65">
        <v>283</v>
      </c>
      <c r="Q75" s="65">
        <v>228</v>
      </c>
      <c r="R75" s="65">
        <v>217</v>
      </c>
      <c r="S75" s="65">
        <v>280</v>
      </c>
      <c r="T75" s="65">
        <v>260</v>
      </c>
      <c r="U75" s="65">
        <v>368</v>
      </c>
      <c r="V75" s="65">
        <v>240</v>
      </c>
      <c r="W75" s="65">
        <v>250</v>
      </c>
      <c r="X75" s="65">
        <v>230</v>
      </c>
      <c r="Y75" s="65">
        <v>200</v>
      </c>
      <c r="Z75" s="65">
        <v>184</v>
      </c>
      <c r="AA75" s="65">
        <v>0</v>
      </c>
      <c r="AB75" s="65">
        <v>0</v>
      </c>
      <c r="AC75" s="65">
        <v>0</v>
      </c>
      <c r="AD75" s="65">
        <v>0</v>
      </c>
      <c r="AE75" s="65">
        <v>-5</v>
      </c>
      <c r="AF75" s="65">
        <v>0</v>
      </c>
      <c r="AG75" s="75"/>
      <c r="AH75" s="47">
        <f t="shared" si="2"/>
        <v>368</v>
      </c>
      <c r="AI75" s="48">
        <f t="shared" si="3"/>
        <v>-5</v>
      </c>
      <c r="AK75" s="49"/>
    </row>
    <row r="76" spans="1:40" x14ac:dyDescent="0.25">
      <c r="A76" s="53" t="s">
        <v>82</v>
      </c>
      <c r="B76" s="65">
        <v>13</v>
      </c>
      <c r="C76" s="65">
        <v>13</v>
      </c>
      <c r="D76" s="65">
        <v>13</v>
      </c>
      <c r="E76" s="76">
        <v>12.5</v>
      </c>
      <c r="F76" s="76">
        <v>12.5</v>
      </c>
      <c r="G76" s="76">
        <v>12.5</v>
      </c>
      <c r="H76" s="76">
        <v>12.5</v>
      </c>
      <c r="I76" s="76">
        <v>23.6</v>
      </c>
      <c r="J76" s="76">
        <v>27.6</v>
      </c>
      <c r="K76" s="76">
        <v>28.4</v>
      </c>
      <c r="L76" s="76">
        <v>28</v>
      </c>
      <c r="M76" s="76">
        <v>21</v>
      </c>
      <c r="N76" s="76">
        <v>44.7</v>
      </c>
      <c r="O76" s="76">
        <v>45</v>
      </c>
      <c r="P76" s="76">
        <v>45</v>
      </c>
      <c r="Q76" s="76">
        <v>45</v>
      </c>
      <c r="R76" s="76">
        <v>17</v>
      </c>
      <c r="S76" s="76">
        <v>17</v>
      </c>
      <c r="T76" s="76">
        <v>17</v>
      </c>
      <c r="U76" s="76">
        <v>17</v>
      </c>
      <c r="V76" s="76">
        <v>17</v>
      </c>
      <c r="W76" s="76">
        <v>17</v>
      </c>
      <c r="X76" s="76">
        <v>0</v>
      </c>
      <c r="Y76" s="76">
        <v>0</v>
      </c>
      <c r="Z76" s="76">
        <v>10</v>
      </c>
      <c r="AA76" s="76">
        <v>10</v>
      </c>
      <c r="AB76" s="76">
        <v>12</v>
      </c>
      <c r="AC76" s="76">
        <v>12</v>
      </c>
      <c r="AD76" s="76">
        <v>12</v>
      </c>
      <c r="AE76" s="76">
        <v>12</v>
      </c>
      <c r="AF76" s="76">
        <v>12</v>
      </c>
      <c r="AG76" s="75"/>
      <c r="AH76" s="47">
        <f t="shared" si="2"/>
        <v>45</v>
      </c>
      <c r="AI76" s="48">
        <f t="shared" si="3"/>
        <v>0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40.6</v>
      </c>
      <c r="N77" s="45">
        <v>40.6</v>
      </c>
      <c r="O77" s="45">
        <v>40</v>
      </c>
      <c r="P77" s="45">
        <v>40</v>
      </c>
      <c r="Q77" s="45">
        <v>40</v>
      </c>
      <c r="R77" s="45">
        <v>38</v>
      </c>
      <c r="S77" s="45">
        <v>38</v>
      </c>
      <c r="T77" s="45">
        <v>38</v>
      </c>
      <c r="U77" s="45">
        <v>38</v>
      </c>
      <c r="V77" s="45">
        <v>38</v>
      </c>
      <c r="W77" s="45">
        <v>31</v>
      </c>
      <c r="X77" s="45">
        <v>10</v>
      </c>
      <c r="Y77" s="45">
        <v>10</v>
      </c>
      <c r="Z77" s="45">
        <v>25.3</v>
      </c>
      <c r="AA77" s="45">
        <v>27.3</v>
      </c>
      <c r="AB77" s="45">
        <v>27.3</v>
      </c>
      <c r="AC77" s="45">
        <v>27.1</v>
      </c>
      <c r="AD77" s="45">
        <v>28.5</v>
      </c>
      <c r="AE77" s="45">
        <v>28.4</v>
      </c>
      <c r="AF77" s="45">
        <v>29.3</v>
      </c>
      <c r="AG77" s="75"/>
      <c r="AH77" s="47">
        <f t="shared" ref="AH77:AH120" si="8">MAX(B77:AF77)</f>
        <v>40.6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77">
        <v>5</v>
      </c>
      <c r="C78" s="77">
        <v>5</v>
      </c>
      <c r="D78" s="77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8"/>
        <v>5</v>
      </c>
      <c r="AI78" s="48">
        <f t="shared" si="9"/>
        <v>5</v>
      </c>
      <c r="AK78" s="49"/>
    </row>
    <row r="79" spans="1:40" ht="15.75" thickBot="1" x14ac:dyDescent="0.3">
      <c r="A79" s="53" t="s">
        <v>85</v>
      </c>
      <c r="B79" s="77">
        <v>5</v>
      </c>
      <c r="C79" s="77">
        <v>5</v>
      </c>
      <c r="D79" s="77">
        <v>5</v>
      </c>
      <c r="E79" s="77">
        <v>5</v>
      </c>
      <c r="F79" s="77">
        <v>5</v>
      </c>
      <c r="G79" s="77">
        <v>5</v>
      </c>
      <c r="H79" s="77">
        <v>5</v>
      </c>
      <c r="I79" s="77">
        <v>5</v>
      </c>
      <c r="J79" s="77">
        <v>5</v>
      </c>
      <c r="K79" s="77">
        <v>5</v>
      </c>
      <c r="L79" s="77">
        <v>5</v>
      </c>
      <c r="M79" s="77">
        <v>5</v>
      </c>
      <c r="N79" s="77">
        <v>5</v>
      </c>
      <c r="O79" s="77">
        <v>5</v>
      </c>
      <c r="P79" s="77">
        <v>5</v>
      </c>
      <c r="Q79" s="77">
        <v>5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5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5</v>
      </c>
      <c r="C80" s="45">
        <v>5</v>
      </c>
      <c r="D80" s="45">
        <v>5</v>
      </c>
      <c r="E80" s="45">
        <v>5</v>
      </c>
      <c r="F80" s="45">
        <v>5</v>
      </c>
      <c r="G80" s="45">
        <v>5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5</v>
      </c>
      <c r="AF80" s="77">
        <v>5</v>
      </c>
      <c r="AG80" s="75"/>
      <c r="AH80" s="47">
        <f t="shared" si="8"/>
        <v>5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4</v>
      </c>
      <c r="C81" s="45">
        <v>4</v>
      </c>
      <c r="D81" s="45">
        <v>4</v>
      </c>
      <c r="E81" s="45">
        <v>4</v>
      </c>
      <c r="F81" s="45">
        <v>4</v>
      </c>
      <c r="G81" s="45">
        <v>4</v>
      </c>
      <c r="H81" s="45">
        <v>4</v>
      </c>
      <c r="I81" s="45">
        <v>4</v>
      </c>
      <c r="J81" s="45">
        <v>4</v>
      </c>
      <c r="K81" s="45">
        <v>4</v>
      </c>
      <c r="L81" s="45">
        <v>4</v>
      </c>
      <c r="M81" s="45">
        <v>4</v>
      </c>
      <c r="N81" s="45">
        <v>4</v>
      </c>
      <c r="O81" s="45">
        <v>4</v>
      </c>
      <c r="P81" s="45">
        <v>4</v>
      </c>
      <c r="Q81" s="45">
        <v>4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4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>
        <v>0</v>
      </c>
      <c r="C82" s="45">
        <v>0</v>
      </c>
      <c r="D82" s="45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>
        <v>0</v>
      </c>
      <c r="C83" s="45">
        <v>0</v>
      </c>
      <c r="D83" s="45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 t="shared" ref="B84:AF84" si="10">SUMIF(B73:B83,"&gt;0")</f>
        <v>124.3</v>
      </c>
      <c r="C84" s="60">
        <f t="shared" si="10"/>
        <v>84.5</v>
      </c>
      <c r="D84" s="60">
        <f t="shared" si="10"/>
        <v>150.6</v>
      </c>
      <c r="E84" s="60">
        <f t="shared" si="10"/>
        <v>166.4</v>
      </c>
      <c r="F84" s="60">
        <f t="shared" si="10"/>
        <v>292.04000000000002</v>
      </c>
      <c r="G84" s="60">
        <f t="shared" si="10"/>
        <v>294.5</v>
      </c>
      <c r="H84" s="60">
        <f t="shared" si="10"/>
        <v>285.8</v>
      </c>
      <c r="I84" s="60">
        <f t="shared" si="10"/>
        <v>342.6</v>
      </c>
      <c r="J84" s="60">
        <f t="shared" si="10"/>
        <v>385.6</v>
      </c>
      <c r="K84" s="60">
        <f t="shared" si="10"/>
        <v>430.4</v>
      </c>
      <c r="L84" s="60">
        <f t="shared" si="10"/>
        <v>427</v>
      </c>
      <c r="M84" s="60">
        <f t="shared" si="10"/>
        <v>480.6</v>
      </c>
      <c r="N84" s="60">
        <f t="shared" si="10"/>
        <v>490.3</v>
      </c>
      <c r="O84" s="60">
        <f t="shared" si="10"/>
        <v>471</v>
      </c>
      <c r="P84" s="60">
        <f t="shared" si="10"/>
        <v>533</v>
      </c>
      <c r="Q84" s="60">
        <f t="shared" si="10"/>
        <v>473.7</v>
      </c>
      <c r="R84" s="60">
        <f t="shared" si="10"/>
        <v>428.4</v>
      </c>
      <c r="S84" s="60">
        <f t="shared" si="10"/>
        <v>402</v>
      </c>
      <c r="T84" s="60">
        <f t="shared" si="10"/>
        <v>380</v>
      </c>
      <c r="U84" s="60">
        <f t="shared" si="10"/>
        <v>492.4</v>
      </c>
      <c r="V84" s="60">
        <f t="shared" si="10"/>
        <v>360</v>
      </c>
      <c r="W84" s="60">
        <f t="shared" si="10"/>
        <v>366.9</v>
      </c>
      <c r="X84" s="60">
        <f t="shared" si="10"/>
        <v>318.5</v>
      </c>
      <c r="Y84" s="60">
        <f t="shared" si="10"/>
        <v>278.39999999999998</v>
      </c>
      <c r="Z84" s="60">
        <f t="shared" si="10"/>
        <v>287.10000000000002</v>
      </c>
      <c r="AA84" s="60">
        <v>103.3</v>
      </c>
      <c r="AB84" s="60">
        <f t="shared" si="10"/>
        <v>112.89999999999999</v>
      </c>
      <c r="AC84" s="60">
        <f t="shared" si="10"/>
        <v>101.1</v>
      </c>
      <c r="AD84" s="60">
        <f t="shared" si="10"/>
        <v>100.1</v>
      </c>
      <c r="AE84" s="60">
        <f t="shared" si="10"/>
        <v>125.80000000000001</v>
      </c>
      <c r="AF84" s="60">
        <f t="shared" si="10"/>
        <v>103.8</v>
      </c>
      <c r="AG84" s="88">
        <f>SUM(AG73:AG83)</f>
        <v>0</v>
      </c>
      <c r="AH84" s="47">
        <f t="shared" si="8"/>
        <v>533</v>
      </c>
      <c r="AI84" s="48">
        <f t="shared" si="9"/>
        <v>84.5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>
        <v>0</v>
      </c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 t="shared" ref="B89:AG89" si="11">B50+B54+B72+B68+B84+B88</f>
        <v>1603.4399999999998</v>
      </c>
      <c r="C89" s="95">
        <f t="shared" si="11"/>
        <v>1582.34</v>
      </c>
      <c r="D89" s="95">
        <f t="shared" si="11"/>
        <v>1478.84</v>
      </c>
      <c r="E89" s="95">
        <f t="shared" si="11"/>
        <v>1624.6399999999999</v>
      </c>
      <c r="F89" s="95">
        <f t="shared" si="11"/>
        <v>1576.6799999999998</v>
      </c>
      <c r="G89" s="95">
        <f t="shared" si="11"/>
        <v>1598.54</v>
      </c>
      <c r="H89" s="95">
        <f t="shared" si="11"/>
        <v>1549.74</v>
      </c>
      <c r="I89" s="95">
        <f t="shared" si="11"/>
        <v>1609.3400000000001</v>
      </c>
      <c r="J89" s="95">
        <f t="shared" si="11"/>
        <v>1551.2399999999998</v>
      </c>
      <c r="K89" s="95">
        <f t="shared" si="11"/>
        <v>1623.54</v>
      </c>
      <c r="L89" s="95">
        <f t="shared" si="11"/>
        <v>1666.1399999999999</v>
      </c>
      <c r="M89" s="95">
        <f t="shared" si="11"/>
        <v>1685.2399999999998</v>
      </c>
      <c r="N89" s="95">
        <f t="shared" si="11"/>
        <v>1696.9399999999998</v>
      </c>
      <c r="O89" s="95">
        <f t="shared" si="11"/>
        <v>1781.04</v>
      </c>
      <c r="P89" s="95">
        <f t="shared" si="11"/>
        <v>1838.04</v>
      </c>
      <c r="Q89" s="95">
        <f t="shared" si="11"/>
        <v>1866.74</v>
      </c>
      <c r="R89" s="95">
        <f t="shared" si="11"/>
        <v>1843.7400000000002</v>
      </c>
      <c r="S89" s="95">
        <f t="shared" si="11"/>
        <v>1841.14</v>
      </c>
      <c r="T89" s="95">
        <f t="shared" si="11"/>
        <v>1819.64</v>
      </c>
      <c r="U89" s="95">
        <f t="shared" si="11"/>
        <v>1946.44</v>
      </c>
      <c r="V89" s="95">
        <f t="shared" si="11"/>
        <v>1787.8400000000001</v>
      </c>
      <c r="W89" s="95">
        <f t="shared" si="11"/>
        <v>1639.7400000000002</v>
      </c>
      <c r="X89" s="95">
        <f t="shared" si="11"/>
        <v>1628.3400000000001</v>
      </c>
      <c r="Y89" s="95">
        <f t="shared" si="11"/>
        <v>1575.2400000000002</v>
      </c>
      <c r="Z89" s="95">
        <f t="shared" si="11"/>
        <v>1691.44</v>
      </c>
      <c r="AA89" s="95">
        <v>1710.6400000000003</v>
      </c>
      <c r="AB89" s="95">
        <f t="shared" si="11"/>
        <v>1632.8400000000001</v>
      </c>
      <c r="AC89" s="95">
        <f t="shared" si="11"/>
        <v>1660.2400000000002</v>
      </c>
      <c r="AD89" s="95">
        <f t="shared" si="11"/>
        <v>1678.7400000000002</v>
      </c>
      <c r="AE89" s="95">
        <f t="shared" si="11"/>
        <v>1645.5400000000002</v>
      </c>
      <c r="AF89" s="95">
        <f t="shared" si="11"/>
        <v>1585.5400000000002</v>
      </c>
      <c r="AG89" s="61">
        <f t="shared" si="11"/>
        <v>2111.5500000000002</v>
      </c>
      <c r="AH89" s="47">
        <f t="shared" si="8"/>
        <v>1946.44</v>
      </c>
      <c r="AI89" s="48">
        <f t="shared" si="9"/>
        <v>1478.84</v>
      </c>
    </row>
    <row r="90" spans="1:40" ht="15.75" thickBot="1" x14ac:dyDescent="0.3">
      <c r="A90" s="96" t="s">
        <v>99</v>
      </c>
      <c r="B90" s="97">
        <v>150</v>
      </c>
      <c r="C90" s="97">
        <v>150</v>
      </c>
      <c r="D90" s="97">
        <v>200</v>
      </c>
      <c r="E90" s="97">
        <v>30</v>
      </c>
      <c r="F90" s="97">
        <v>30</v>
      </c>
      <c r="G90" s="97">
        <v>30</v>
      </c>
      <c r="H90" s="97">
        <v>30</v>
      </c>
      <c r="I90" s="97">
        <v>30</v>
      </c>
      <c r="J90" s="97">
        <v>150</v>
      </c>
      <c r="K90" s="97">
        <v>150</v>
      </c>
      <c r="L90" s="97">
        <v>150</v>
      </c>
      <c r="M90" s="97">
        <v>150</v>
      </c>
      <c r="N90" s="97">
        <v>150</v>
      </c>
      <c r="O90" s="97">
        <v>150</v>
      </c>
      <c r="P90" s="97"/>
      <c r="Q90" s="97"/>
      <c r="R90" s="97"/>
      <c r="S90" s="97"/>
      <c r="T90" s="97"/>
      <c r="U90" s="97"/>
      <c r="V90" s="97"/>
      <c r="W90" s="97"/>
      <c r="X90" s="97"/>
      <c r="Y90" s="97">
        <v>100</v>
      </c>
      <c r="Z90" s="97">
        <v>100</v>
      </c>
      <c r="AA90" s="97">
        <v>150</v>
      </c>
      <c r="AB90" s="97">
        <v>150</v>
      </c>
      <c r="AC90" s="97">
        <v>150</v>
      </c>
      <c r="AD90" s="97">
        <v>150</v>
      </c>
      <c r="AE90" s="97">
        <v>110</v>
      </c>
      <c r="AF90" s="97">
        <v>85</v>
      </c>
      <c r="AG90" s="88"/>
      <c r="AH90" s="47">
        <f t="shared" si="8"/>
        <v>200</v>
      </c>
      <c r="AI90" s="48">
        <f t="shared" si="9"/>
        <v>30</v>
      </c>
    </row>
    <row r="91" spans="1:40" ht="15.75" thickBot="1" x14ac:dyDescent="0.3">
      <c r="A91" s="74" t="s">
        <v>100</v>
      </c>
      <c r="B91" s="95">
        <f t="shared" ref="B91:AF91" si="12">B89+B90</f>
        <v>1753.4399999999998</v>
      </c>
      <c r="C91" s="95">
        <f t="shared" si="12"/>
        <v>1732.34</v>
      </c>
      <c r="D91" s="95">
        <f t="shared" si="12"/>
        <v>1678.84</v>
      </c>
      <c r="E91" s="95">
        <f t="shared" si="12"/>
        <v>1654.6399999999999</v>
      </c>
      <c r="F91" s="95">
        <f t="shared" si="12"/>
        <v>1606.6799999999998</v>
      </c>
      <c r="G91" s="95">
        <f t="shared" si="12"/>
        <v>1628.54</v>
      </c>
      <c r="H91" s="95">
        <f t="shared" si="12"/>
        <v>1579.74</v>
      </c>
      <c r="I91" s="95">
        <f t="shared" si="12"/>
        <v>1639.3400000000001</v>
      </c>
      <c r="J91" s="95">
        <f t="shared" si="12"/>
        <v>1701.2399999999998</v>
      </c>
      <c r="K91" s="95">
        <f t="shared" si="12"/>
        <v>1773.54</v>
      </c>
      <c r="L91" s="95">
        <f t="shared" si="12"/>
        <v>1816.1399999999999</v>
      </c>
      <c r="M91" s="95">
        <f t="shared" si="12"/>
        <v>1835.2399999999998</v>
      </c>
      <c r="N91" s="95">
        <f t="shared" si="12"/>
        <v>1846.9399999999998</v>
      </c>
      <c r="O91" s="95">
        <f t="shared" si="12"/>
        <v>1931.04</v>
      </c>
      <c r="P91" s="95">
        <f t="shared" si="12"/>
        <v>1838.04</v>
      </c>
      <c r="Q91" s="95">
        <f t="shared" si="12"/>
        <v>1866.74</v>
      </c>
      <c r="R91" s="95">
        <f t="shared" si="12"/>
        <v>1843.7400000000002</v>
      </c>
      <c r="S91" s="95">
        <f t="shared" si="12"/>
        <v>1841.14</v>
      </c>
      <c r="T91" s="95">
        <f t="shared" si="12"/>
        <v>1819.64</v>
      </c>
      <c r="U91" s="95">
        <f t="shared" si="12"/>
        <v>1946.44</v>
      </c>
      <c r="V91" s="95">
        <f t="shared" si="12"/>
        <v>1787.8400000000001</v>
      </c>
      <c r="W91" s="95">
        <f t="shared" si="12"/>
        <v>1639.7400000000002</v>
      </c>
      <c r="X91" s="95">
        <f t="shared" si="12"/>
        <v>1628.3400000000001</v>
      </c>
      <c r="Y91" s="95">
        <f t="shared" si="12"/>
        <v>1675.2400000000002</v>
      </c>
      <c r="Z91" s="95">
        <f t="shared" si="12"/>
        <v>1791.44</v>
      </c>
      <c r="AA91" s="95">
        <v>1860.6400000000003</v>
      </c>
      <c r="AB91" s="95">
        <f t="shared" si="12"/>
        <v>1782.8400000000001</v>
      </c>
      <c r="AC91" s="95">
        <f t="shared" si="12"/>
        <v>1810.2400000000002</v>
      </c>
      <c r="AD91" s="95">
        <f t="shared" si="12"/>
        <v>1828.7400000000002</v>
      </c>
      <c r="AE91" s="95">
        <f t="shared" si="12"/>
        <v>1755.5400000000002</v>
      </c>
      <c r="AF91" s="95">
        <f t="shared" si="12"/>
        <v>1670.5400000000002</v>
      </c>
      <c r="AG91" s="88">
        <f>AG88+AG84+AG72+AG68+AG50+AG90</f>
        <v>1573.45</v>
      </c>
      <c r="AH91" s="47">
        <f t="shared" si="8"/>
        <v>1946.44</v>
      </c>
      <c r="AI91" s="48">
        <f t="shared" si="9"/>
        <v>1579.74</v>
      </c>
    </row>
    <row r="92" spans="1:40" ht="15.75" thickBot="1" x14ac:dyDescent="0.3">
      <c r="A92" s="74" t="s">
        <v>101</v>
      </c>
      <c r="B92" s="95">
        <f t="shared" ref="B92:AF92" si="13">B91-B99</f>
        <v>1753.4399999999998</v>
      </c>
      <c r="C92" s="95">
        <f t="shared" si="13"/>
        <v>1732.34</v>
      </c>
      <c r="D92" s="95">
        <f t="shared" si="13"/>
        <v>1678.84</v>
      </c>
      <c r="E92" s="95">
        <f t="shared" si="13"/>
        <v>1654.6399999999999</v>
      </c>
      <c r="F92" s="95">
        <f t="shared" si="13"/>
        <v>1606.6799999999998</v>
      </c>
      <c r="G92" s="95">
        <f t="shared" si="13"/>
        <v>1628.54</v>
      </c>
      <c r="H92" s="95">
        <f t="shared" si="13"/>
        <v>1579.74</v>
      </c>
      <c r="I92" s="95">
        <f t="shared" si="13"/>
        <v>1639.3400000000001</v>
      </c>
      <c r="J92" s="95">
        <f t="shared" si="13"/>
        <v>1701.2399999999998</v>
      </c>
      <c r="K92" s="95">
        <f t="shared" si="13"/>
        <v>1773.54</v>
      </c>
      <c r="L92" s="95">
        <f t="shared" si="13"/>
        <v>1816.1399999999999</v>
      </c>
      <c r="M92" s="95">
        <f t="shared" si="13"/>
        <v>1835.2399999999998</v>
      </c>
      <c r="N92" s="95">
        <f t="shared" si="13"/>
        <v>1846.9399999999998</v>
      </c>
      <c r="O92" s="95">
        <f t="shared" si="13"/>
        <v>1931.04</v>
      </c>
      <c r="P92" s="95">
        <f t="shared" si="13"/>
        <v>1838.04</v>
      </c>
      <c r="Q92" s="95">
        <f t="shared" si="13"/>
        <v>1866.74</v>
      </c>
      <c r="R92" s="95">
        <f t="shared" si="13"/>
        <v>1843.7400000000002</v>
      </c>
      <c r="S92" s="95">
        <f t="shared" si="13"/>
        <v>1841.14</v>
      </c>
      <c r="T92" s="95">
        <f t="shared" si="13"/>
        <v>1819.64</v>
      </c>
      <c r="U92" s="95">
        <f t="shared" si="13"/>
        <v>1946.44</v>
      </c>
      <c r="V92" s="95">
        <f t="shared" si="13"/>
        <v>1787.8400000000001</v>
      </c>
      <c r="W92" s="95">
        <f t="shared" si="13"/>
        <v>1639.7400000000002</v>
      </c>
      <c r="X92" s="95">
        <f t="shared" si="13"/>
        <v>1628.3400000000001</v>
      </c>
      <c r="Y92" s="95">
        <f t="shared" si="13"/>
        <v>1675.2400000000002</v>
      </c>
      <c r="Z92" s="95">
        <f t="shared" si="13"/>
        <v>1791.44</v>
      </c>
      <c r="AA92" s="95">
        <v>1860.6400000000003</v>
      </c>
      <c r="AB92" s="95">
        <f t="shared" si="13"/>
        <v>1782.8400000000001</v>
      </c>
      <c r="AC92" s="95">
        <f t="shared" si="13"/>
        <v>1810.2400000000002</v>
      </c>
      <c r="AD92" s="95">
        <f t="shared" si="13"/>
        <v>1828.7400000000002</v>
      </c>
      <c r="AE92" s="95">
        <f t="shared" si="13"/>
        <v>1755.5400000000002</v>
      </c>
      <c r="AF92" s="95">
        <f t="shared" si="13"/>
        <v>1670.5400000000002</v>
      </c>
      <c r="AG92" s="88"/>
      <c r="AH92" s="47">
        <f t="shared" si="8"/>
        <v>1946.44</v>
      </c>
      <c r="AI92" s="48">
        <f t="shared" si="9"/>
        <v>1579.74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0</v>
      </c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 t="shared" ref="B100:AF100" si="14">B84-B99</f>
        <v>124.3</v>
      </c>
      <c r="C100" s="60">
        <f t="shared" si="14"/>
        <v>84.5</v>
      </c>
      <c r="D100" s="60">
        <f t="shared" si="14"/>
        <v>150.6</v>
      </c>
      <c r="E100" s="60">
        <f t="shared" si="14"/>
        <v>166.4</v>
      </c>
      <c r="F100" s="60">
        <f t="shared" si="14"/>
        <v>292.04000000000002</v>
      </c>
      <c r="G100" s="60">
        <f t="shared" si="14"/>
        <v>294.5</v>
      </c>
      <c r="H100" s="60">
        <f t="shared" si="14"/>
        <v>285.8</v>
      </c>
      <c r="I100" s="60">
        <f t="shared" si="14"/>
        <v>342.6</v>
      </c>
      <c r="J100" s="60">
        <f t="shared" si="14"/>
        <v>385.6</v>
      </c>
      <c r="K100" s="60">
        <f t="shared" si="14"/>
        <v>430.4</v>
      </c>
      <c r="L100" s="60">
        <f t="shared" si="14"/>
        <v>427</v>
      </c>
      <c r="M100" s="60">
        <f t="shared" si="14"/>
        <v>480.6</v>
      </c>
      <c r="N100" s="60">
        <f t="shared" si="14"/>
        <v>490.3</v>
      </c>
      <c r="O100" s="60">
        <f t="shared" si="14"/>
        <v>471</v>
      </c>
      <c r="P100" s="60">
        <f t="shared" si="14"/>
        <v>533</v>
      </c>
      <c r="Q100" s="60">
        <f t="shared" si="14"/>
        <v>473.7</v>
      </c>
      <c r="R100" s="60">
        <f t="shared" si="14"/>
        <v>428.4</v>
      </c>
      <c r="S100" s="60">
        <f t="shared" si="14"/>
        <v>402</v>
      </c>
      <c r="T100" s="60">
        <f t="shared" si="14"/>
        <v>380</v>
      </c>
      <c r="U100" s="60">
        <f t="shared" si="14"/>
        <v>492.4</v>
      </c>
      <c r="V100" s="60">
        <f t="shared" si="14"/>
        <v>360</v>
      </c>
      <c r="W100" s="60">
        <f t="shared" si="14"/>
        <v>366.9</v>
      </c>
      <c r="X100" s="60">
        <f t="shared" si="14"/>
        <v>318.5</v>
      </c>
      <c r="Y100" s="60">
        <f t="shared" si="14"/>
        <v>278.39999999999998</v>
      </c>
      <c r="Z100" s="60">
        <f t="shared" si="14"/>
        <v>287.10000000000002</v>
      </c>
      <c r="AA100" s="60">
        <v>103.3</v>
      </c>
      <c r="AB100" s="60">
        <f t="shared" si="14"/>
        <v>112.89999999999999</v>
      </c>
      <c r="AC100" s="60">
        <f t="shared" si="14"/>
        <v>101.1</v>
      </c>
      <c r="AD100" s="60">
        <f t="shared" si="14"/>
        <v>100.1</v>
      </c>
      <c r="AE100" s="60">
        <f t="shared" si="14"/>
        <v>125.80000000000001</v>
      </c>
      <c r="AF100" s="60">
        <f t="shared" si="14"/>
        <v>103.8</v>
      </c>
      <c r="AG100" s="88"/>
      <c r="AH100" s="47">
        <f t="shared" si="8"/>
        <v>533</v>
      </c>
      <c r="AI100" s="48">
        <f t="shared" si="9"/>
        <v>84.5</v>
      </c>
    </row>
    <row r="101" spans="1:37" x14ac:dyDescent="0.25">
      <c r="A101" s="100" t="s">
        <v>107</v>
      </c>
      <c r="B101" s="101">
        <v>50.076000000000001</v>
      </c>
      <c r="C101" s="101">
        <v>50.023000000000003</v>
      </c>
      <c r="D101" s="101">
        <v>50.122</v>
      </c>
      <c r="E101" s="101">
        <v>49.872</v>
      </c>
      <c r="F101" s="101">
        <v>49.917000000000002</v>
      </c>
      <c r="G101" s="101">
        <v>49.999000000000002</v>
      </c>
      <c r="H101" s="101">
        <v>49.999000000000002</v>
      </c>
      <c r="I101" s="101">
        <v>50.055</v>
      </c>
      <c r="J101" s="101">
        <v>50.023000000000003</v>
      </c>
      <c r="K101" s="101">
        <v>50.02</v>
      </c>
      <c r="L101" s="101">
        <v>49.98</v>
      </c>
      <c r="M101" s="101">
        <v>49.978000000000002</v>
      </c>
      <c r="N101" s="101">
        <v>50.012</v>
      </c>
      <c r="O101" s="101">
        <v>50.075000000000003</v>
      </c>
      <c r="P101" s="101">
        <v>50.078000000000003</v>
      </c>
      <c r="Q101" s="101">
        <v>49.999000000000002</v>
      </c>
      <c r="R101" s="101">
        <v>50.061999999999998</v>
      </c>
      <c r="S101" s="101">
        <v>49.94</v>
      </c>
      <c r="T101" s="101">
        <v>49.95</v>
      </c>
      <c r="U101" s="101">
        <v>50.09</v>
      </c>
      <c r="V101" s="101">
        <v>50.06</v>
      </c>
      <c r="W101" s="101">
        <v>50.01</v>
      </c>
      <c r="X101" s="101">
        <v>50.1</v>
      </c>
      <c r="Y101" s="101">
        <v>49.92</v>
      </c>
      <c r="Z101" s="101">
        <v>49.85</v>
      </c>
      <c r="AA101" s="101">
        <v>50.07</v>
      </c>
      <c r="AB101" s="101">
        <v>50.127000000000002</v>
      </c>
      <c r="AC101" s="101">
        <v>50.014000000000003</v>
      </c>
      <c r="AD101" s="101">
        <v>50.006</v>
      </c>
      <c r="AE101" s="101">
        <v>50.030999999999999</v>
      </c>
      <c r="AF101" s="101">
        <v>49.954999999999998</v>
      </c>
      <c r="AG101" s="102"/>
      <c r="AH101" s="47">
        <f t="shared" si="8"/>
        <v>50.127000000000002</v>
      </c>
      <c r="AI101" s="48">
        <f t="shared" si="9"/>
        <v>49.85</v>
      </c>
    </row>
    <row r="102" spans="1:37" x14ac:dyDescent="0.25">
      <c r="A102" s="103" t="s">
        <v>108</v>
      </c>
      <c r="B102" s="65">
        <v>124.3</v>
      </c>
      <c r="C102" s="65">
        <v>123.1</v>
      </c>
      <c r="D102" s="65">
        <v>123.8</v>
      </c>
      <c r="E102" s="65">
        <v>122.9</v>
      </c>
      <c r="F102" s="65">
        <v>124.1</v>
      </c>
      <c r="G102" s="65">
        <v>122.1</v>
      </c>
      <c r="H102" s="65">
        <v>122.1</v>
      </c>
      <c r="I102" s="65">
        <v>124.6</v>
      </c>
      <c r="J102" s="65">
        <v>124.1</v>
      </c>
      <c r="K102" s="65">
        <v>122.4</v>
      </c>
      <c r="L102" s="65">
        <v>120.7</v>
      </c>
      <c r="M102" s="65">
        <v>121.7</v>
      </c>
      <c r="N102" s="65">
        <v>122.5</v>
      </c>
      <c r="O102" s="65">
        <v>119.8</v>
      </c>
      <c r="P102" s="65">
        <v>121</v>
      </c>
      <c r="Q102" s="65">
        <v>121.4</v>
      </c>
      <c r="R102" s="65">
        <v>124.2</v>
      </c>
      <c r="S102" s="65">
        <v>123.9</v>
      </c>
      <c r="T102" s="65">
        <v>124.4</v>
      </c>
      <c r="U102" s="65">
        <v>124</v>
      </c>
      <c r="V102" s="65">
        <v>125.2</v>
      </c>
      <c r="W102" s="65">
        <v>124.9</v>
      </c>
      <c r="X102" s="65">
        <v>124.9</v>
      </c>
      <c r="Y102" s="65">
        <v>124.2</v>
      </c>
      <c r="Z102" s="65">
        <v>124.9</v>
      </c>
      <c r="AA102" s="65">
        <v>127.7</v>
      </c>
      <c r="AB102" s="65">
        <v>127</v>
      </c>
      <c r="AC102" s="65">
        <v>127</v>
      </c>
      <c r="AD102" s="65">
        <v>124.6</v>
      </c>
      <c r="AE102" s="65">
        <v>124.6</v>
      </c>
      <c r="AF102" s="65">
        <v>122.9</v>
      </c>
      <c r="AG102" s="104"/>
      <c r="AH102" s="47">
        <f t="shared" si="8"/>
        <v>127.7</v>
      </c>
      <c r="AI102" s="48">
        <f t="shared" si="9"/>
        <v>119.8</v>
      </c>
    </row>
    <row r="103" spans="1:37" x14ac:dyDescent="0.25">
      <c r="A103" s="103" t="s">
        <v>109</v>
      </c>
      <c r="B103" s="65">
        <v>130.1</v>
      </c>
      <c r="C103" s="65">
        <v>129.4</v>
      </c>
      <c r="D103" s="65">
        <v>129.6</v>
      </c>
      <c r="E103" s="65">
        <v>128.1</v>
      </c>
      <c r="F103" s="65">
        <v>129.4</v>
      </c>
      <c r="G103" s="65">
        <v>128.1</v>
      </c>
      <c r="H103" s="65">
        <v>128.1</v>
      </c>
      <c r="I103" s="65">
        <v>129.30000000000001</v>
      </c>
      <c r="J103" s="65">
        <v>128.30000000000001</v>
      </c>
      <c r="K103" s="65">
        <v>126.6</v>
      </c>
      <c r="L103" s="65">
        <v>125.6</v>
      </c>
      <c r="M103" s="65">
        <v>125.4</v>
      </c>
      <c r="N103" s="65">
        <v>126</v>
      </c>
      <c r="O103" s="65">
        <v>124.1</v>
      </c>
      <c r="P103" s="65">
        <v>125.1</v>
      </c>
      <c r="Q103" s="65">
        <v>126.2</v>
      </c>
      <c r="R103" s="65">
        <v>127.7</v>
      </c>
      <c r="S103" s="65">
        <v>127.7</v>
      </c>
      <c r="T103" s="65">
        <v>128.1</v>
      </c>
      <c r="U103" s="65">
        <v>127.8</v>
      </c>
      <c r="V103" s="65">
        <v>128</v>
      </c>
      <c r="W103" s="65">
        <v>128.1</v>
      </c>
      <c r="X103" s="65">
        <v>129</v>
      </c>
      <c r="Y103" s="65">
        <v>127.9</v>
      </c>
      <c r="Z103" s="65">
        <v>128.1</v>
      </c>
      <c r="AA103" s="65">
        <v>130.6</v>
      </c>
      <c r="AB103" s="65">
        <v>130</v>
      </c>
      <c r="AC103" s="65">
        <v>130</v>
      </c>
      <c r="AD103" s="65">
        <v>128.4</v>
      </c>
      <c r="AE103" s="65">
        <v>128.4</v>
      </c>
      <c r="AF103" s="65">
        <v>128.4</v>
      </c>
      <c r="AG103" s="104"/>
      <c r="AH103" s="47">
        <f t="shared" si="8"/>
        <v>130.6</v>
      </c>
      <c r="AI103" s="48">
        <f t="shared" si="9"/>
        <v>124.1</v>
      </c>
    </row>
    <row r="104" spans="1:37" x14ac:dyDescent="0.25">
      <c r="A104" s="103" t="s">
        <v>110</v>
      </c>
      <c r="B104" s="65">
        <v>126.7</v>
      </c>
      <c r="C104" s="65">
        <v>127.6</v>
      </c>
      <c r="D104" s="65">
        <v>127.4</v>
      </c>
      <c r="E104" s="65">
        <v>126.9</v>
      </c>
      <c r="F104" s="65">
        <v>129.5</v>
      </c>
      <c r="G104" s="65">
        <v>129.30000000000001</v>
      </c>
      <c r="H104" s="65">
        <v>129.30000000000001</v>
      </c>
      <c r="I104" s="65">
        <v>128.1</v>
      </c>
      <c r="J104" s="65">
        <v>126.4</v>
      </c>
      <c r="K104" s="65">
        <v>125.4</v>
      </c>
      <c r="L104" s="65">
        <v>124</v>
      </c>
      <c r="M104" s="65">
        <v>124.4</v>
      </c>
      <c r="N104" s="65">
        <v>121.5</v>
      </c>
      <c r="O104" s="65">
        <v>118.9</v>
      </c>
      <c r="P104" s="65">
        <v>126.5</v>
      </c>
      <c r="Q104" s="65">
        <v>126.8</v>
      </c>
      <c r="R104" s="65"/>
      <c r="S104" s="65">
        <v>122.7</v>
      </c>
      <c r="T104" s="65">
        <v>126</v>
      </c>
      <c r="U104" s="65">
        <v>129.4</v>
      </c>
      <c r="V104" s="65">
        <v>131</v>
      </c>
      <c r="W104" s="65">
        <v>129.19999999999999</v>
      </c>
      <c r="X104" s="65">
        <v>129.9</v>
      </c>
      <c r="Y104" s="65">
        <v>129.4</v>
      </c>
      <c r="Z104" s="65">
        <v>128.69999999999999</v>
      </c>
      <c r="AA104" s="65">
        <v>128.69999999999999</v>
      </c>
      <c r="AB104" s="65">
        <v>129</v>
      </c>
      <c r="AC104" s="65">
        <v>129</v>
      </c>
      <c r="AD104" s="65">
        <v>125.7</v>
      </c>
      <c r="AE104" s="65">
        <v>125.7</v>
      </c>
      <c r="AF104" s="65">
        <v>125.7</v>
      </c>
      <c r="AG104" s="104"/>
      <c r="AH104" s="47">
        <f t="shared" si="8"/>
        <v>131</v>
      </c>
      <c r="AI104" s="48">
        <f t="shared" si="9"/>
        <v>118.9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135.5</v>
      </c>
      <c r="C106" s="106">
        <v>133.5</v>
      </c>
      <c r="D106" s="106">
        <v>134.30000000000001</v>
      </c>
      <c r="E106" s="106">
        <v>132</v>
      </c>
      <c r="F106" s="106">
        <v>132</v>
      </c>
      <c r="G106" s="106">
        <v>132.19999999999999</v>
      </c>
      <c r="H106" s="106">
        <v>132.19999999999999</v>
      </c>
      <c r="I106" s="106">
        <v>133.1</v>
      </c>
      <c r="J106" s="106">
        <v>132.69999999999999</v>
      </c>
      <c r="K106" s="106">
        <v>130.80000000000001</v>
      </c>
      <c r="L106" s="106">
        <v>133.5</v>
      </c>
      <c r="M106" s="106">
        <v>128.69999999999999</v>
      </c>
      <c r="N106" s="106">
        <v>129.19999999999999</v>
      </c>
      <c r="O106" s="106">
        <v>134.69999999999999</v>
      </c>
      <c r="P106" s="106">
        <v>134.19999999999999</v>
      </c>
      <c r="Q106" s="106">
        <v>132.19999999999999</v>
      </c>
      <c r="R106" s="106"/>
      <c r="S106" s="106">
        <v>131.19999999999999</v>
      </c>
      <c r="T106" s="106">
        <v>133.19999999999999</v>
      </c>
      <c r="U106" s="106">
        <v>135</v>
      </c>
      <c r="V106" s="106">
        <v>136.4</v>
      </c>
      <c r="W106" s="106">
        <v>135</v>
      </c>
      <c r="X106" s="106">
        <v>134.30000000000001</v>
      </c>
      <c r="Y106" s="106">
        <v>132</v>
      </c>
      <c r="Z106" s="106">
        <v>133.80000000000001</v>
      </c>
      <c r="AA106" s="106">
        <v>134.80000000000001</v>
      </c>
      <c r="AB106" s="106">
        <v>132.5</v>
      </c>
      <c r="AC106" s="106">
        <v>132.5</v>
      </c>
      <c r="AD106" s="106">
        <v>133.6</v>
      </c>
      <c r="AE106" s="106">
        <v>133.6</v>
      </c>
      <c r="AF106" s="106">
        <v>133.6</v>
      </c>
      <c r="AG106" s="107"/>
      <c r="AH106" s="47">
        <f t="shared" si="8"/>
        <v>136.4</v>
      </c>
      <c r="AI106" s="48">
        <f t="shared" si="9"/>
        <v>128.69999999999999</v>
      </c>
    </row>
    <row r="107" spans="1:37" x14ac:dyDescent="0.25">
      <c r="A107" s="103" t="s">
        <v>113</v>
      </c>
      <c r="B107" s="65">
        <v>129.5</v>
      </c>
      <c r="C107" s="65">
        <v>133.30000000000001</v>
      </c>
      <c r="D107" s="65">
        <v>131.4</v>
      </c>
      <c r="E107" s="65">
        <v>129.5</v>
      </c>
      <c r="F107" s="65">
        <v>130.9</v>
      </c>
      <c r="G107" s="65">
        <v>131.6</v>
      </c>
      <c r="H107" s="65">
        <v>131.6</v>
      </c>
      <c r="I107" s="65">
        <v>129.80000000000001</v>
      </c>
      <c r="J107" s="65">
        <v>133.69999999999999</v>
      </c>
      <c r="K107" s="65">
        <v>132.4</v>
      </c>
      <c r="L107" s="65">
        <v>131.19999999999999</v>
      </c>
      <c r="M107" s="65">
        <v>127.5</v>
      </c>
      <c r="N107" s="65">
        <v>122.8</v>
      </c>
      <c r="O107" s="65">
        <v>131.4</v>
      </c>
      <c r="P107" s="65">
        <v>129.9</v>
      </c>
      <c r="Q107" s="65">
        <v>124.5</v>
      </c>
      <c r="R107" s="65"/>
      <c r="S107" s="65">
        <v>134</v>
      </c>
      <c r="T107" s="65">
        <v>127.6</v>
      </c>
      <c r="U107" s="65">
        <v>134.30000000000001</v>
      </c>
      <c r="V107" s="65">
        <v>135</v>
      </c>
      <c r="W107" s="65">
        <v>132.1</v>
      </c>
      <c r="X107" s="65">
        <v>132.6</v>
      </c>
      <c r="Y107" s="65">
        <v>134.1</v>
      </c>
      <c r="Z107" s="65">
        <v>133.4</v>
      </c>
      <c r="AA107" s="65">
        <v>128.69999999999999</v>
      </c>
      <c r="AB107" s="65">
        <v>130</v>
      </c>
      <c r="AC107" s="65">
        <v>130</v>
      </c>
      <c r="AD107" s="65">
        <v>129.69999999999999</v>
      </c>
      <c r="AE107" s="65">
        <v>129.69999999999999</v>
      </c>
      <c r="AF107" s="65">
        <v>129.69999999999999</v>
      </c>
      <c r="AG107" s="104"/>
      <c r="AH107" s="47">
        <f t="shared" si="8"/>
        <v>135</v>
      </c>
      <c r="AI107" s="48">
        <f t="shared" si="9"/>
        <v>122.8</v>
      </c>
    </row>
    <row r="108" spans="1:37" ht="15.75" thickBot="1" x14ac:dyDescent="0.3">
      <c r="A108" s="103" t="s">
        <v>114</v>
      </c>
      <c r="B108" s="92">
        <v>65.400000000000006</v>
      </c>
      <c r="C108" s="92">
        <v>65</v>
      </c>
      <c r="D108" s="92">
        <v>65.099999999999994</v>
      </c>
      <c r="E108" s="92">
        <v>64.7</v>
      </c>
      <c r="F108" s="92">
        <v>65</v>
      </c>
      <c r="G108" s="92">
        <v>64.3</v>
      </c>
      <c r="H108" s="92">
        <v>64.3</v>
      </c>
      <c r="I108" s="92">
        <v>64.8</v>
      </c>
      <c r="J108" s="92">
        <v>64.099999999999994</v>
      </c>
      <c r="K108" s="92">
        <v>63.3</v>
      </c>
      <c r="L108" s="92">
        <v>62.6</v>
      </c>
      <c r="M108" s="92">
        <v>62.8</v>
      </c>
      <c r="N108" s="92">
        <v>62.8</v>
      </c>
      <c r="O108" s="92">
        <v>61.9</v>
      </c>
      <c r="P108" s="92">
        <v>62.4</v>
      </c>
      <c r="Q108" s="92">
        <v>63.5</v>
      </c>
      <c r="R108" s="92"/>
      <c r="S108" s="92">
        <v>63.7</v>
      </c>
      <c r="T108" s="92">
        <v>63.9</v>
      </c>
      <c r="U108" s="92">
        <v>63.7</v>
      </c>
      <c r="V108" s="92">
        <v>64</v>
      </c>
      <c r="W108" s="92">
        <v>64</v>
      </c>
      <c r="X108" s="92">
        <v>64.5</v>
      </c>
      <c r="Y108" s="92">
        <v>63.8</v>
      </c>
      <c r="Z108" s="92">
        <v>64</v>
      </c>
      <c r="AA108" s="92">
        <v>65.099999999999994</v>
      </c>
      <c r="AB108" s="92">
        <v>64.900000000000006</v>
      </c>
      <c r="AC108" s="92">
        <v>64.900000000000006</v>
      </c>
      <c r="AD108" s="92">
        <v>64</v>
      </c>
      <c r="AE108" s="92">
        <v>64</v>
      </c>
      <c r="AF108" s="92">
        <v>64</v>
      </c>
      <c r="AG108" s="108"/>
      <c r="AH108" s="47">
        <f t="shared" si="8"/>
        <v>65.400000000000006</v>
      </c>
      <c r="AI108" s="48">
        <f t="shared" si="9"/>
        <v>61.9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 t="s">
        <v>115</v>
      </c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 t="shared" ref="B110:O110" si="15">SUM(B20,B26,B29:B30,B58,B60:B61,B63,B65,B111:B115,B138,B144,B150,B159,B161,B173,B180,B183:B184,B191,B193,B195,B199:B201,B203:B205,B210,B216:B217,B219:B221,B229,B234)</f>
        <v>112.3</v>
      </c>
      <c r="C110" s="111">
        <f t="shared" si="15"/>
        <v>88.240000000000009</v>
      </c>
      <c r="D110" s="111">
        <f t="shared" si="15"/>
        <v>97.939999999999969</v>
      </c>
      <c r="E110" s="111">
        <f t="shared" si="15"/>
        <v>87.240000000000023</v>
      </c>
      <c r="F110" s="111">
        <f t="shared" si="15"/>
        <v>87.439999999999984</v>
      </c>
      <c r="G110" s="111">
        <f t="shared" si="15"/>
        <v>109.53999999999998</v>
      </c>
      <c r="H110" s="111">
        <f t="shared" si="15"/>
        <v>110.24</v>
      </c>
      <c r="I110" s="111">
        <f t="shared" si="15"/>
        <v>180.74</v>
      </c>
      <c r="J110" s="111">
        <f t="shared" si="15"/>
        <v>212.94</v>
      </c>
      <c r="K110" s="111">
        <f t="shared" si="15"/>
        <v>239.04000000000002</v>
      </c>
      <c r="L110" s="111">
        <f t="shared" si="15"/>
        <v>265.64000000000004</v>
      </c>
      <c r="M110" s="111">
        <f t="shared" si="15"/>
        <v>260.44</v>
      </c>
      <c r="N110" s="111">
        <f t="shared" si="15"/>
        <v>262.24</v>
      </c>
      <c r="O110" s="111">
        <f t="shared" si="15"/>
        <v>297.14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282.60000000000002</v>
      </c>
      <c r="R110" s="111">
        <f t="shared" si="16"/>
        <v>244.1</v>
      </c>
      <c r="S110" s="111">
        <f t="shared" si="16"/>
        <v>244.8</v>
      </c>
      <c r="T110" s="111">
        <f t="shared" si="16"/>
        <v>234.90000000000003</v>
      </c>
      <c r="U110" s="111">
        <f t="shared" si="16"/>
        <v>237.9</v>
      </c>
      <c r="V110" s="111">
        <f t="shared" si="16"/>
        <v>240.10000000000002</v>
      </c>
      <c r="W110" s="111">
        <f t="shared" si="16"/>
        <v>260.3</v>
      </c>
      <c r="X110" s="111">
        <f t="shared" si="16"/>
        <v>252.6</v>
      </c>
      <c r="Y110" s="111">
        <f t="shared" si="16"/>
        <v>265.10000000000002</v>
      </c>
      <c r="Z110" s="111">
        <f t="shared" si="16"/>
        <v>266.8</v>
      </c>
      <c r="AA110" s="111">
        <v>336.54</v>
      </c>
      <c r="AB110" s="111">
        <f t="shared" si="16"/>
        <v>274.19999999999993</v>
      </c>
      <c r="AC110" s="111">
        <f t="shared" si="16"/>
        <v>269.7</v>
      </c>
      <c r="AD110" s="111">
        <f t="shared" si="16"/>
        <v>232.89999999999998</v>
      </c>
      <c r="AE110" s="111">
        <f t="shared" si="16"/>
        <v>158.69999999999999</v>
      </c>
      <c r="AF110" s="111">
        <f t="shared" si="16"/>
        <v>123.19999999999997</v>
      </c>
      <c r="AG110" s="112"/>
      <c r="AH110" s="47">
        <f t="shared" si="8"/>
        <v>336.54</v>
      </c>
      <c r="AI110" s="48">
        <f t="shared" si="9"/>
        <v>42</v>
      </c>
    </row>
    <row r="111" spans="1:37" x14ac:dyDescent="0.25">
      <c r="A111" s="100" t="s">
        <v>117</v>
      </c>
      <c r="B111" s="113">
        <v>25</v>
      </c>
      <c r="C111" s="113">
        <v>34.700000000000003</v>
      </c>
      <c r="D111" s="113">
        <v>32.299999999999997</v>
      </c>
      <c r="E111" s="113">
        <v>36.200000000000003</v>
      </c>
      <c r="F111" s="113">
        <v>24.4</v>
      </c>
      <c r="G111" s="113">
        <v>37</v>
      </c>
      <c r="H111" s="113">
        <v>37</v>
      </c>
      <c r="I111" s="113">
        <v>32.4</v>
      </c>
      <c r="J111" s="113">
        <v>25.6</v>
      </c>
      <c r="K111" s="113">
        <v>34.9</v>
      </c>
      <c r="L111" s="113">
        <v>58.1</v>
      </c>
      <c r="M111" s="113">
        <v>39.700000000000003</v>
      </c>
      <c r="N111" s="113">
        <v>33.6</v>
      </c>
      <c r="O111" s="113">
        <v>50.6</v>
      </c>
      <c r="P111" s="113">
        <v>48.7</v>
      </c>
      <c r="Q111" s="113">
        <v>38.299999999999997</v>
      </c>
      <c r="R111" s="113">
        <v>26.4</v>
      </c>
      <c r="S111" s="113">
        <v>30.8</v>
      </c>
      <c r="T111" s="113">
        <v>20.399999999999999</v>
      </c>
      <c r="U111" s="113">
        <v>14.1</v>
      </c>
      <c r="V111" s="113">
        <v>20.3</v>
      </c>
      <c r="W111" s="113">
        <v>23.5</v>
      </c>
      <c r="X111" s="113">
        <v>11.9</v>
      </c>
      <c r="Y111" s="113">
        <v>13.4</v>
      </c>
      <c r="Z111" s="113">
        <v>28.6</v>
      </c>
      <c r="AA111" s="113">
        <v>30.7</v>
      </c>
      <c r="AB111" s="113">
        <v>43.9</v>
      </c>
      <c r="AC111" s="113">
        <v>42.6</v>
      </c>
      <c r="AD111" s="113">
        <v>34.799999999999997</v>
      </c>
      <c r="AE111" s="113">
        <v>27</v>
      </c>
      <c r="AF111" s="113">
        <v>16.7</v>
      </c>
      <c r="AG111" s="114">
        <v>75</v>
      </c>
      <c r="AH111" s="47">
        <f t="shared" si="8"/>
        <v>58.1</v>
      </c>
      <c r="AI111" s="48">
        <f t="shared" si="9"/>
        <v>11.9</v>
      </c>
    </row>
    <row r="112" spans="1:37" x14ac:dyDescent="0.25">
      <c r="A112" s="103" t="s">
        <v>118</v>
      </c>
      <c r="B112" s="115">
        <v>41.5</v>
      </c>
      <c r="C112" s="115">
        <v>56</v>
      </c>
      <c r="D112" s="115">
        <v>50.1</v>
      </c>
      <c r="E112" s="115">
        <v>56.7</v>
      </c>
      <c r="F112" s="115">
        <v>38.6</v>
      </c>
      <c r="G112" s="115">
        <v>55.6</v>
      </c>
      <c r="H112" s="115">
        <v>55.6</v>
      </c>
      <c r="I112" s="115">
        <v>49.5</v>
      </c>
      <c r="J112" s="115">
        <v>37.4</v>
      </c>
      <c r="K112" s="115">
        <v>50.5</v>
      </c>
      <c r="L112" s="115">
        <v>81</v>
      </c>
      <c r="M112" s="115">
        <v>55.7</v>
      </c>
      <c r="N112" s="115">
        <v>49</v>
      </c>
      <c r="O112" s="115">
        <v>71.099999999999994</v>
      </c>
      <c r="P112" s="115">
        <v>69.900000000000006</v>
      </c>
      <c r="Q112" s="115">
        <v>56.9</v>
      </c>
      <c r="R112" s="115">
        <v>41.2</v>
      </c>
      <c r="S112" s="115">
        <v>41.8</v>
      </c>
      <c r="T112" s="115">
        <v>33.299999999999997</v>
      </c>
      <c r="U112" s="115">
        <v>23.8</v>
      </c>
      <c r="V112" s="115">
        <v>31.4</v>
      </c>
      <c r="W112" s="115">
        <v>32.4</v>
      </c>
      <c r="X112" s="115">
        <v>14.7</v>
      </c>
      <c r="Y112" s="115">
        <v>18.399999999999999</v>
      </c>
      <c r="Z112" s="115">
        <v>39.6</v>
      </c>
      <c r="AA112" s="115">
        <v>42.1</v>
      </c>
      <c r="AB112" s="115">
        <v>62.6</v>
      </c>
      <c r="AC112" s="115">
        <v>61.9</v>
      </c>
      <c r="AD112" s="115">
        <v>55.4</v>
      </c>
      <c r="AE112" s="115">
        <v>43.8</v>
      </c>
      <c r="AF112" s="115">
        <v>29.7</v>
      </c>
      <c r="AG112" s="114">
        <v>240</v>
      </c>
      <c r="AH112" s="47">
        <f t="shared" si="8"/>
        <v>81</v>
      </c>
      <c r="AI112" s="48">
        <f t="shared" si="9"/>
        <v>14.7</v>
      </c>
    </row>
    <row r="113" spans="1:37" x14ac:dyDescent="0.25">
      <c r="A113" s="103" t="s">
        <v>119</v>
      </c>
      <c r="B113" s="115">
        <v>-95</v>
      </c>
      <c r="C113" s="115">
        <v>-127</v>
      </c>
      <c r="D113" s="115">
        <v>-103</v>
      </c>
      <c r="E113" s="115">
        <f>-56.4-59.6</f>
        <v>-116</v>
      </c>
      <c r="F113" s="115">
        <f>-41-43.5</f>
        <v>-84.5</v>
      </c>
      <c r="G113" s="115">
        <f>-47.1-48.6</f>
        <v>-95.7</v>
      </c>
      <c r="H113" s="115">
        <f>-47.1-48.6</f>
        <v>-95.7</v>
      </c>
      <c r="I113" s="115">
        <f>-45-50</f>
        <v>-95</v>
      </c>
      <c r="J113" s="115">
        <v>-65</v>
      </c>
      <c r="K113" s="115">
        <f>-34.3-36.8</f>
        <v>-71.099999999999994</v>
      </c>
      <c r="L113" s="115">
        <f>-41.7-44.3</f>
        <v>-86</v>
      </c>
      <c r="M113" s="115">
        <v>-60</v>
      </c>
      <c r="N113" s="115">
        <v>-52</v>
      </c>
      <c r="O113" s="115">
        <v>-66</v>
      </c>
      <c r="P113" s="115">
        <v>-65</v>
      </c>
      <c r="Q113" s="115">
        <v>-67</v>
      </c>
      <c r="R113" s="115">
        <v>-82</v>
      </c>
      <c r="S113" s="115">
        <f>-51.1-32.9</f>
        <v>-84</v>
      </c>
      <c r="T113" s="115">
        <f>-46.5-29.5</f>
        <v>-76</v>
      </c>
      <c r="U113" s="115">
        <f>-55.2-24.7</f>
        <v>-79.900000000000006</v>
      </c>
      <c r="V113" s="115">
        <f>-42.1-24.6</f>
        <v>-66.7</v>
      </c>
      <c r="W113" s="115">
        <f>-27.1-19.5</f>
        <v>-46.6</v>
      </c>
      <c r="X113" s="115">
        <f>-16.3-10.8</f>
        <v>-27.1</v>
      </c>
      <c r="Y113" s="115">
        <f>-16.2-10.5</f>
        <v>-26.7</v>
      </c>
      <c r="Z113" s="115">
        <f>-35-18.3</f>
        <v>-53.3</v>
      </c>
      <c r="AA113" s="115">
        <v>-33.4</v>
      </c>
      <c r="AB113" s="115">
        <v>-50.9</v>
      </c>
      <c r="AC113" s="115">
        <v>-31</v>
      </c>
      <c r="AD113" s="115">
        <v>-78</v>
      </c>
      <c r="AE113" s="115">
        <v>-108.8</v>
      </c>
      <c r="AF113" s="115">
        <v>-118</v>
      </c>
      <c r="AG113" s="114">
        <v>240</v>
      </c>
      <c r="AH113" s="47">
        <f t="shared" si="8"/>
        <v>-26.7</v>
      </c>
      <c r="AI113" s="48">
        <f t="shared" si="9"/>
        <v>-127</v>
      </c>
    </row>
    <row r="114" spans="1:37" x14ac:dyDescent="0.25">
      <c r="A114" s="103" t="s">
        <v>120</v>
      </c>
      <c r="B114" s="115">
        <v>8.1999999999999993</v>
      </c>
      <c r="C114" s="115">
        <v>-9</v>
      </c>
      <c r="D114" s="115">
        <v>-15</v>
      </c>
      <c r="E114" s="115">
        <v>-15.8</v>
      </c>
      <c r="F114" s="115">
        <v>-17.2</v>
      </c>
      <c r="G114" s="115">
        <v>-13.5</v>
      </c>
      <c r="H114" s="115">
        <v>-13.5</v>
      </c>
      <c r="I114" s="115">
        <v>-6.4</v>
      </c>
      <c r="J114" s="115">
        <v>-6.7</v>
      </c>
      <c r="K114" s="115">
        <v>-3.6</v>
      </c>
      <c r="L114" s="115">
        <v>-6.7</v>
      </c>
      <c r="M114" s="115">
        <v>-2.2999999999999998</v>
      </c>
      <c r="N114" s="115">
        <v>-1.1000000000000001</v>
      </c>
      <c r="O114" s="115">
        <v>11.4</v>
      </c>
      <c r="P114" s="115">
        <v>12.2</v>
      </c>
      <c r="Q114" s="115">
        <v>32.1</v>
      </c>
      <c r="R114" s="115">
        <v>28</v>
      </c>
      <c r="S114" s="115">
        <v>22.4</v>
      </c>
      <c r="T114" s="115">
        <v>21.9</v>
      </c>
      <c r="U114" s="115">
        <v>35.4</v>
      </c>
      <c r="V114" s="115">
        <v>22.6</v>
      </c>
      <c r="W114" s="115">
        <v>9.4</v>
      </c>
      <c r="X114" s="115">
        <v>12.7</v>
      </c>
      <c r="Y114" s="115">
        <v>23.3</v>
      </c>
      <c r="Z114" s="115">
        <v>31.4</v>
      </c>
      <c r="AA114" s="115">
        <v>35.4</v>
      </c>
      <c r="AB114" s="115">
        <v>24.2</v>
      </c>
      <c r="AC114" s="115">
        <v>11.9</v>
      </c>
      <c r="AD114" s="115">
        <v>2.1</v>
      </c>
      <c r="AE114" s="115">
        <v>-8.6</v>
      </c>
      <c r="AF114" s="115">
        <v>-13.2</v>
      </c>
      <c r="AG114" s="114">
        <v>60</v>
      </c>
      <c r="AH114" s="47">
        <f t="shared" si="8"/>
        <v>35.4</v>
      </c>
      <c r="AI114" s="48">
        <f t="shared" si="9"/>
        <v>-17.2</v>
      </c>
    </row>
    <row r="115" spans="1:37" x14ac:dyDescent="0.25">
      <c r="A115" s="116" t="s">
        <v>121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73.3</v>
      </c>
      <c r="J115" s="117">
        <v>94.1</v>
      </c>
      <c r="K115" s="117">
        <v>97.4</v>
      </c>
      <c r="L115" s="117">
        <v>87.7</v>
      </c>
      <c r="M115" s="117">
        <v>95.8</v>
      </c>
      <c r="N115" s="117">
        <v>101.2</v>
      </c>
      <c r="O115" s="117">
        <v>88.9</v>
      </c>
      <c r="P115" s="117">
        <v>81.599999999999994</v>
      </c>
      <c r="Q115" s="117">
        <v>81.099999999999994</v>
      </c>
      <c r="R115" s="117">
        <v>89.4</v>
      </c>
      <c r="S115" s="117">
        <v>94.7</v>
      </c>
      <c r="T115" s="117">
        <v>96.2</v>
      </c>
      <c r="U115" s="117">
        <v>105</v>
      </c>
      <c r="V115" s="117">
        <v>93</v>
      </c>
      <c r="W115" s="117">
        <v>102.1</v>
      </c>
      <c r="X115" s="117">
        <v>109</v>
      </c>
      <c r="Y115" s="117">
        <v>113.3</v>
      </c>
      <c r="Z115" s="117">
        <v>97.4</v>
      </c>
      <c r="AA115" s="117">
        <v>93.3</v>
      </c>
      <c r="AB115" s="117">
        <v>71.3</v>
      </c>
      <c r="AC115" s="117">
        <v>61.2</v>
      </c>
      <c r="AD115" s="117">
        <v>95.5</v>
      </c>
      <c r="AE115" s="117">
        <v>82.2</v>
      </c>
      <c r="AF115" s="117">
        <v>84.9</v>
      </c>
      <c r="AG115" s="118">
        <v>120</v>
      </c>
      <c r="AH115" s="47">
        <f t="shared" si="8"/>
        <v>113.3</v>
      </c>
      <c r="AI115" s="48">
        <f t="shared" si="9"/>
        <v>0</v>
      </c>
    </row>
    <row r="116" spans="1:37" x14ac:dyDescent="0.25">
      <c r="A116" s="116" t="s">
        <v>122</v>
      </c>
      <c r="B116" s="117">
        <v>88</v>
      </c>
      <c r="C116" s="117">
        <v>71</v>
      </c>
      <c r="D116" s="117">
        <v>76</v>
      </c>
      <c r="E116" s="117">
        <v>95</v>
      </c>
      <c r="F116" s="117">
        <v>101.3</v>
      </c>
      <c r="G116" s="117">
        <v>101.2</v>
      </c>
      <c r="H116" s="117">
        <v>98</v>
      </c>
      <c r="I116" s="117">
        <v>90.1</v>
      </c>
      <c r="J116" s="117">
        <v>101.5</v>
      </c>
      <c r="K116" s="117">
        <v>102.2</v>
      </c>
      <c r="L116" s="117">
        <v>98.1</v>
      </c>
      <c r="M116" s="117">
        <v>96.1</v>
      </c>
      <c r="N116" s="117">
        <v>95.2</v>
      </c>
      <c r="O116" s="117">
        <v>92.8</v>
      </c>
      <c r="P116" s="117">
        <v>95</v>
      </c>
      <c r="Q116" s="117">
        <v>99.2</v>
      </c>
      <c r="R116" s="117">
        <v>97.8</v>
      </c>
      <c r="S116" s="117">
        <v>97.5</v>
      </c>
      <c r="T116" s="117">
        <v>98</v>
      </c>
      <c r="U116" s="117">
        <v>103.5</v>
      </c>
      <c r="V116" s="117">
        <v>94.8</v>
      </c>
      <c r="W116" s="117">
        <v>96.5</v>
      </c>
      <c r="X116" s="117">
        <v>89.1</v>
      </c>
      <c r="Y116" s="117">
        <v>90.5</v>
      </c>
      <c r="Z116" s="117">
        <v>80</v>
      </c>
      <c r="AA116" s="117">
        <v>75.7</v>
      </c>
      <c r="AB116" s="117">
        <v>73.2</v>
      </c>
      <c r="AC116" s="117">
        <v>83.9</v>
      </c>
      <c r="AD116" s="117">
        <v>70.099999999999994</v>
      </c>
      <c r="AE116" s="117">
        <v>72</v>
      </c>
      <c r="AF116" s="117">
        <v>82.1</v>
      </c>
      <c r="AG116" s="118"/>
      <c r="AH116" s="47">
        <f t="shared" si="8"/>
        <v>103.5</v>
      </c>
      <c r="AI116" s="48">
        <f t="shared" si="9"/>
        <v>70.099999999999994</v>
      </c>
    </row>
    <row r="117" spans="1:37" x14ac:dyDescent="0.25">
      <c r="A117" s="116" t="s">
        <v>123</v>
      </c>
      <c r="B117" s="117">
        <v>54</v>
      </c>
      <c r="C117" s="117">
        <v>49</v>
      </c>
      <c r="D117" s="117">
        <v>43</v>
      </c>
      <c r="E117" s="117">
        <v>56</v>
      </c>
      <c r="F117" s="117">
        <v>55.2</v>
      </c>
      <c r="G117" s="117">
        <v>53.6</v>
      </c>
      <c r="H117" s="117">
        <v>53.6</v>
      </c>
      <c r="I117" s="117">
        <v>49</v>
      </c>
      <c r="J117" s="117">
        <v>52.2</v>
      </c>
      <c r="K117" s="117">
        <v>49.2</v>
      </c>
      <c r="L117" s="117">
        <v>23.4</v>
      </c>
      <c r="M117" s="117">
        <v>32.1</v>
      </c>
      <c r="N117" s="117">
        <v>32.700000000000003</v>
      </c>
      <c r="O117" s="117">
        <v>25.8</v>
      </c>
      <c r="P117" s="117">
        <v>25.9</v>
      </c>
      <c r="Q117" s="117">
        <v>39.6</v>
      </c>
      <c r="R117" s="117">
        <v>54.7</v>
      </c>
      <c r="S117" s="117">
        <v>49.9</v>
      </c>
      <c r="T117" s="117">
        <v>54.5</v>
      </c>
      <c r="U117" s="117">
        <v>53.1</v>
      </c>
      <c r="V117" s="117">
        <v>47.7</v>
      </c>
      <c r="W117" s="117">
        <v>43.3</v>
      </c>
      <c r="X117" s="117">
        <v>47.1</v>
      </c>
      <c r="Y117" s="117">
        <v>56</v>
      </c>
      <c r="Z117" s="117">
        <v>41.6</v>
      </c>
      <c r="AA117" s="117">
        <v>46.3</v>
      </c>
      <c r="AB117" s="117">
        <v>37.4</v>
      </c>
      <c r="AC117" s="117">
        <v>41.5</v>
      </c>
      <c r="AD117" s="117">
        <v>52.1</v>
      </c>
      <c r="AE117" s="117">
        <v>60.1</v>
      </c>
      <c r="AF117" s="117"/>
      <c r="AG117" s="119"/>
      <c r="AH117" s="47">
        <f t="shared" si="8"/>
        <v>60.1</v>
      </c>
      <c r="AI117" s="48">
        <f t="shared" si="9"/>
        <v>23.4</v>
      </c>
    </row>
    <row r="118" spans="1:37" x14ac:dyDescent="0.25">
      <c r="A118" s="120" t="s">
        <v>124</v>
      </c>
      <c r="B118" s="106">
        <v>-28</v>
      </c>
      <c r="C118" s="106">
        <v>-27</v>
      </c>
      <c r="D118" s="106">
        <v>-25</v>
      </c>
      <c r="E118" s="106">
        <v>-20.6</v>
      </c>
      <c r="F118" s="106">
        <v>-19.5</v>
      </c>
      <c r="G118" s="106">
        <v>-15.2</v>
      </c>
      <c r="H118" s="106">
        <v>-15.2</v>
      </c>
      <c r="I118" s="106">
        <v>-14</v>
      </c>
      <c r="J118" s="106">
        <v>-13.9</v>
      </c>
      <c r="K118" s="106">
        <v>-20.9</v>
      </c>
      <c r="L118" s="106">
        <v>-20.6</v>
      </c>
      <c r="M118" s="106">
        <v>-30.5</v>
      </c>
      <c r="N118" s="106">
        <v>-29.1</v>
      </c>
      <c r="O118" s="106">
        <v>-35.5</v>
      </c>
      <c r="P118" s="106">
        <v>-39.5</v>
      </c>
      <c r="Q118" s="106">
        <v>-42.8</v>
      </c>
      <c r="R118" s="106">
        <v>-39</v>
      </c>
      <c r="S118" s="106">
        <v>-18.8</v>
      </c>
      <c r="T118" s="106">
        <v>-8.6999999999999993</v>
      </c>
      <c r="U118" s="106">
        <v>-22.9</v>
      </c>
      <c r="V118" s="106">
        <v>-1.8</v>
      </c>
      <c r="W118" s="106">
        <v>-14.3</v>
      </c>
      <c r="X118" s="106">
        <v>-9.3000000000000007</v>
      </c>
      <c r="Y118" s="106">
        <v>-3.8</v>
      </c>
      <c r="Z118" s="106">
        <v>-9.1999999999999993</v>
      </c>
      <c r="AA118" s="106">
        <v>-10</v>
      </c>
      <c r="AB118" s="106">
        <v>-5</v>
      </c>
      <c r="AC118" s="106">
        <v>-3.6</v>
      </c>
      <c r="AD118" s="106">
        <v>-2.2999999999999998</v>
      </c>
      <c r="AE118" s="106">
        <v>3.4</v>
      </c>
      <c r="AF118" s="106">
        <v>-0.9</v>
      </c>
      <c r="AG118" s="119"/>
      <c r="AH118" s="47">
        <f t="shared" si="8"/>
        <v>3.4</v>
      </c>
      <c r="AI118" s="48">
        <f t="shared" si="9"/>
        <v>-42.8</v>
      </c>
    </row>
    <row r="119" spans="1:37" x14ac:dyDescent="0.25">
      <c r="A119" s="175" t="s">
        <v>265</v>
      </c>
      <c r="B119" s="106">
        <v>91</v>
      </c>
      <c r="C119" s="106">
        <v>99</v>
      </c>
      <c r="D119" s="106">
        <v>70</v>
      </c>
      <c r="E119" s="106">
        <v>77.599999999999994</v>
      </c>
      <c r="F119" s="106">
        <v>53</v>
      </c>
      <c r="G119" s="106">
        <v>63.5</v>
      </c>
      <c r="H119" s="106">
        <v>63.5</v>
      </c>
      <c r="I119" s="106">
        <v>68.7</v>
      </c>
      <c r="J119" s="106">
        <v>32.299999999999997</v>
      </c>
      <c r="K119" s="106">
        <v>32.9</v>
      </c>
      <c r="L119" s="106">
        <v>43.9</v>
      </c>
      <c r="M119" s="106">
        <v>18.7</v>
      </c>
      <c r="N119" s="106">
        <v>9.3000000000000007</v>
      </c>
      <c r="O119" s="106">
        <v>41.5</v>
      </c>
      <c r="P119" s="106">
        <v>41.1</v>
      </c>
      <c r="Q119" s="106">
        <v>68</v>
      </c>
      <c r="R119" s="106">
        <v>49.5</v>
      </c>
      <c r="S119" s="106">
        <v>52.7</v>
      </c>
      <c r="T119" s="106">
        <v>40.4</v>
      </c>
      <c r="U119" s="106">
        <v>50.6</v>
      </c>
      <c r="V119" s="106">
        <v>31.1</v>
      </c>
      <c r="W119" s="106">
        <v>2.8</v>
      </c>
      <c r="X119" s="106">
        <v>-17.5</v>
      </c>
      <c r="Y119" s="106">
        <v>-11.2</v>
      </c>
      <c r="Z119" s="106">
        <v>15.2</v>
      </c>
      <c r="AA119" s="106">
        <v>-9.5</v>
      </c>
      <c r="AB119" s="106">
        <v>14.5</v>
      </c>
      <c r="AC119" s="106">
        <v>6.4</v>
      </c>
      <c r="AD119" s="106">
        <v>35.200000000000003</v>
      </c>
      <c r="AE119" s="106">
        <v>70.599999999999994</v>
      </c>
      <c r="AF119" s="106">
        <v>82.8</v>
      </c>
      <c r="AG119" s="119"/>
      <c r="AH119" s="47">
        <f t="shared" si="8"/>
        <v>99</v>
      </c>
      <c r="AI119" s="48">
        <f t="shared" si="9"/>
        <v>-17.5</v>
      </c>
    </row>
    <row r="120" spans="1:37" ht="15.75" thickBot="1" x14ac:dyDescent="0.3">
      <c r="A120" s="120" t="s">
        <v>125</v>
      </c>
      <c r="B120" s="106">
        <v>97</v>
      </c>
      <c r="C120" s="106">
        <v>98</v>
      </c>
      <c r="D120" s="106">
        <v>104</v>
      </c>
      <c r="E120" s="106">
        <v>107.7</v>
      </c>
      <c r="F120" s="106">
        <v>96.8</v>
      </c>
      <c r="G120" s="106">
        <v>95.5</v>
      </c>
      <c r="H120" s="106">
        <v>95.5</v>
      </c>
      <c r="I120" s="106">
        <v>94.6</v>
      </c>
      <c r="J120" s="106">
        <v>97.2</v>
      </c>
      <c r="K120" s="106">
        <v>105.8</v>
      </c>
      <c r="L120" s="106">
        <v>111.4</v>
      </c>
      <c r="M120" s="106">
        <v>114.5</v>
      </c>
      <c r="N120" s="106">
        <v>110.5</v>
      </c>
      <c r="O120" s="106">
        <v>110.4</v>
      </c>
      <c r="P120" s="106">
        <v>51.5</v>
      </c>
      <c r="Q120" s="106">
        <v>70</v>
      </c>
      <c r="R120" s="106">
        <v>75.599999999999994</v>
      </c>
      <c r="S120" s="106">
        <v>108.1</v>
      </c>
      <c r="T120" s="106">
        <v>101.5</v>
      </c>
      <c r="U120" s="106">
        <v>95</v>
      </c>
      <c r="V120" s="106">
        <v>62</v>
      </c>
      <c r="W120" s="106">
        <v>77.7</v>
      </c>
      <c r="X120" s="106">
        <v>79</v>
      </c>
      <c r="Y120" s="106">
        <v>66.900000000000006</v>
      </c>
      <c r="Z120" s="106">
        <v>85.1</v>
      </c>
      <c r="AA120" s="106">
        <v>85.7</v>
      </c>
      <c r="AB120" s="106">
        <v>88.1</v>
      </c>
      <c r="AC120" s="106">
        <v>92.4</v>
      </c>
      <c r="AD120" s="106">
        <v>93.3</v>
      </c>
      <c r="AE120" s="106">
        <v>77.2</v>
      </c>
      <c r="AF120" s="106">
        <v>85.3</v>
      </c>
      <c r="AG120" s="119"/>
      <c r="AH120" s="47">
        <f t="shared" si="8"/>
        <v>114.5</v>
      </c>
      <c r="AI120" s="48">
        <f t="shared" si="9"/>
        <v>51.5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123.21900000000009</v>
      </c>
      <c r="N231" s="128">
        <f t="shared" ca="1" si="19"/>
        <v>123.21900000000009</v>
      </c>
      <c r="O231" s="128">
        <f t="shared" ca="1" si="19"/>
        <v>123.21900000000009</v>
      </c>
      <c r="P231" s="128">
        <f t="shared" ca="1" si="19"/>
        <v>123.21900000000009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121.23900000000009</v>
      </c>
      <c r="M235" s="136">
        <f t="shared" ca="1" si="20"/>
        <v>113.19900000000007</v>
      </c>
      <c r="N235" s="136">
        <f t="shared" ca="1" si="20"/>
        <v>109.17900000000006</v>
      </c>
      <c r="O235" s="136">
        <f t="shared" ca="1" si="20"/>
        <v>105.15900000000005</v>
      </c>
      <c r="P235" s="136">
        <f t="shared" ca="1" si="20"/>
        <v>125.2590000000001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1846.9399999999998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23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2080/02/23)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2080/02/23)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1753.4399999999998</v>
      </c>
      <c r="U249" s="170">
        <f t="shared" si="21"/>
        <v>1732.34</v>
      </c>
      <c r="V249" s="170">
        <f t="shared" si="21"/>
        <v>1678.84</v>
      </c>
      <c r="W249" s="170">
        <f t="shared" si="21"/>
        <v>1654.6399999999999</v>
      </c>
      <c r="X249" s="170">
        <f t="shared" si="21"/>
        <v>1606.6799999999998</v>
      </c>
      <c r="Y249" s="170">
        <f t="shared" si="21"/>
        <v>1628.54</v>
      </c>
      <c r="Z249" s="170">
        <f t="shared" si="21"/>
        <v>1579.74</v>
      </c>
      <c r="AA249" s="170">
        <f t="shared" si="21"/>
        <v>1639.3400000000001</v>
      </c>
      <c r="AB249" s="170">
        <f t="shared" si="21"/>
        <v>1701.2399999999998</v>
      </c>
      <c r="AC249" s="170">
        <f t="shared" si="21"/>
        <v>1773.54</v>
      </c>
      <c r="AD249" s="170">
        <f t="shared" si="21"/>
        <v>1816.1399999999999</v>
      </c>
      <c r="AE249" s="170">
        <f t="shared" si="21"/>
        <v>1835.2399999999998</v>
      </c>
      <c r="AF249" s="170">
        <f t="shared" si="21"/>
        <v>1846.9399999999998</v>
      </c>
      <c r="AG249" s="170">
        <f t="shared" si="21"/>
        <v>1931.04</v>
      </c>
      <c r="AH249" s="170">
        <f t="shared" si="21"/>
        <v>1838.04</v>
      </c>
      <c r="AI249" s="170">
        <f t="shared" si="21"/>
        <v>1866.74</v>
      </c>
      <c r="AJ249" s="170">
        <f t="shared" si="21"/>
        <v>1843.7400000000002</v>
      </c>
      <c r="AK249" s="170">
        <f t="shared" si="21"/>
        <v>1841.14</v>
      </c>
      <c r="AL249" s="170">
        <f t="shared" si="21"/>
        <v>1819.64</v>
      </c>
      <c r="AM249" s="170">
        <f t="shared" si="21"/>
        <v>1946.44</v>
      </c>
      <c r="AN249" s="170">
        <f t="shared" si="21"/>
        <v>1787.8400000000001</v>
      </c>
      <c r="AO249" s="170">
        <f t="shared" si="21"/>
        <v>1639.7400000000002</v>
      </c>
      <c r="AP249" s="170">
        <f t="shared" si="21"/>
        <v>1628.3400000000001</v>
      </c>
      <c r="AQ249" s="170">
        <f t="shared" si="21"/>
        <v>1675.2400000000002</v>
      </c>
      <c r="AR249" s="170">
        <f t="shared" si="21"/>
        <v>1791.44</v>
      </c>
      <c r="AS249" s="170">
        <f t="shared" si="21"/>
        <v>1860.6400000000003</v>
      </c>
      <c r="AT249" s="170">
        <f t="shared" si="21"/>
        <v>1782.8400000000001</v>
      </c>
      <c r="AU249" s="170">
        <f t="shared" si="21"/>
        <v>1810.2400000000002</v>
      </c>
      <c r="AV249" s="170">
        <f t="shared" si="21"/>
        <v>1828.7400000000002</v>
      </c>
      <c r="AW249" s="170">
        <f t="shared" si="21"/>
        <v>1755.5400000000002</v>
      </c>
      <c r="AX249" s="170">
        <f t="shared" si="21"/>
        <v>1670.5400000000002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2:AF12 B14:AF17">
    <cfRule type="expression" dxfId="5010" priority="409">
      <formula>B$9&gt;=20/24</formula>
    </cfRule>
    <cfRule type="expression" dxfId="5009" priority="410">
      <formula>AND(B$9&gt;=14/24,B$9&lt;20/24)</formula>
    </cfRule>
    <cfRule type="expression" dxfId="5008" priority="411">
      <formula>AND(B$9&gt;=8/24,B$9&lt;14/24)</formula>
    </cfRule>
    <cfRule type="expression" dxfId="5007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G67 B12:AF12 B14:AF17">
    <cfRule type="expression" dxfId="5006" priority="407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5005" priority="406">
      <formula>$AH12=0</formula>
    </cfRule>
  </conditionalFormatting>
  <conditionalFormatting sqref="A116">
    <cfRule type="expression" dxfId="5004" priority="405">
      <formula>$AH116=0</formula>
    </cfRule>
  </conditionalFormatting>
  <conditionalFormatting sqref="AL44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5003" priority="403">
      <formula>$AH47=0</formula>
    </cfRule>
  </conditionalFormatting>
  <conditionalFormatting sqref="A100">
    <cfRule type="expression" dxfId="5002" priority="402">
      <formula>$AH100=0</formula>
    </cfRule>
  </conditionalFormatting>
  <conditionalFormatting sqref="A20">
    <cfRule type="expression" dxfId="5001" priority="401">
      <formula>$AH20=0</formula>
    </cfRule>
  </conditionalFormatting>
  <conditionalFormatting sqref="A199:A204">
    <cfRule type="expression" dxfId="5000" priority="400">
      <formula>$AH199=0</formula>
    </cfRule>
  </conditionalFormatting>
  <conditionalFormatting sqref="A193:A198">
    <cfRule type="expression" dxfId="4999" priority="399">
      <formula>$AH193=0</formula>
    </cfRule>
  </conditionalFormatting>
  <conditionalFormatting sqref="A60">
    <cfRule type="expression" dxfId="4998" priority="398">
      <formula>$AH60=0</formula>
    </cfRule>
  </conditionalFormatting>
  <conditionalFormatting sqref="A96">
    <cfRule type="expression" dxfId="4997" priority="397">
      <formula>$AH96=0</formula>
    </cfRule>
  </conditionalFormatting>
  <conditionalFormatting sqref="E101:Y101 AD101:AF101">
    <cfRule type="expression" dxfId="4996" priority="393">
      <formula>E$9&gt;=20/24</formula>
    </cfRule>
    <cfRule type="expression" dxfId="4995" priority="394">
      <formula>AND(E$9&gt;=14/24,E$9&lt;20/24)</formula>
    </cfRule>
    <cfRule type="expression" dxfId="4994" priority="395">
      <formula>AND(E$9&gt;=8/24,E$9&lt;14/24)</formula>
    </cfRule>
    <cfRule type="expression" dxfId="4993" priority="396">
      <formula>E$9&lt;8/24</formula>
    </cfRule>
  </conditionalFormatting>
  <conditionalFormatting sqref="AL45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992" priority="415">
      <formula>C$9&gt;=20/24</formula>
    </cfRule>
    <cfRule type="expression" dxfId="4991" priority="416">
      <formula>AND(C$9&gt;=14/24,C$9&lt;20/24)</formula>
    </cfRule>
    <cfRule type="expression" dxfId="4990" priority="417">
      <formula>AND(C$9&gt;=8/24,C$9&lt;14/24)</formula>
    </cfRule>
    <cfRule type="expression" dxfId="4989" priority="418">
      <formula>C$9&lt;8/24</formula>
    </cfRule>
  </conditionalFormatting>
  <conditionalFormatting sqref="A236">
    <cfRule type="expression" dxfId="4988" priority="419">
      <formula>$AH236=0</formula>
    </cfRule>
  </conditionalFormatting>
  <conditionalFormatting sqref="AG248">
    <cfRule type="expression" dxfId="4987" priority="420">
      <formula>B$9&gt;=20/24</formula>
    </cfRule>
    <cfRule type="expression" dxfId="4986" priority="421">
      <formula>AND(B$9&gt;=14/24,B$9&lt;20/24)</formula>
    </cfRule>
    <cfRule type="expression" dxfId="4985" priority="422">
      <formula>AND(B$9&gt;=8/24,B$9&lt;14/24)</formula>
    </cfRule>
    <cfRule type="expression" dxfId="4984" priority="423">
      <formula>B$9&lt;8/24</formula>
    </cfRule>
  </conditionalFormatting>
  <conditionalFormatting sqref="S8">
    <cfRule type="expression" dxfId="4983" priority="388">
      <formula>U$9&gt;=20/24</formula>
    </cfRule>
    <cfRule type="expression" dxfId="4982" priority="389">
      <formula>AND(U$9&gt;=14/24,U$9&lt;20/24)</formula>
    </cfRule>
    <cfRule type="expression" dxfId="4981" priority="390">
      <formula>AND(U$9&gt;=8/24,U$9&lt;14/24)</formula>
    </cfRule>
    <cfRule type="expression" dxfId="4980" priority="391">
      <formula>U$9&lt;8/24</formula>
    </cfRule>
  </conditionalFormatting>
  <conditionalFormatting sqref="AB8">
    <cfRule type="expression" dxfId="4979" priority="384">
      <formula>AD$9&gt;=20/24</formula>
    </cfRule>
    <cfRule type="expression" dxfId="4978" priority="385">
      <formula>AND(AD$9&gt;=14/24,AD$9&lt;20/24)</formula>
    </cfRule>
    <cfRule type="expression" dxfId="4977" priority="386">
      <formula>AND(AD$9&gt;=8/24,AD$9&lt;14/24)</formula>
    </cfRule>
    <cfRule type="expression" dxfId="4976" priority="387">
      <formula>AD$9&lt;8/24</formula>
    </cfRule>
  </conditionalFormatting>
  <conditionalFormatting sqref="AH248:AX248">
    <cfRule type="expression" dxfId="4975" priority="424">
      <formula>AG$9&gt;=20/24</formula>
    </cfRule>
    <cfRule type="expression" dxfId="4974" priority="425">
      <formula>AND(AG$9&gt;=14/24,AG$9&lt;20/24)</formula>
    </cfRule>
    <cfRule type="expression" dxfId="4973" priority="426">
      <formula>AND(AG$9&gt;=8/24,AG$9&lt;14/24)</formula>
    </cfRule>
    <cfRule type="expression" dxfId="4972" priority="427">
      <formula>AG$9&lt;8/24</formula>
    </cfRule>
  </conditionalFormatting>
  <conditionalFormatting sqref="T248">
    <cfRule type="expression" dxfId="4971" priority="428">
      <formula>AX$9&gt;=20/24</formula>
    </cfRule>
    <cfRule type="expression" dxfId="4970" priority="429">
      <formula>AND(AX$9&gt;=14/24,AX$9&lt;20/24)</formula>
    </cfRule>
    <cfRule type="expression" dxfId="4969" priority="430">
      <formula>AND(AX$9&gt;=8/24,AX$9&lt;14/24)</formula>
    </cfRule>
    <cfRule type="expression" dxfId="4968" priority="431">
      <formula>AX$9&lt;8/24</formula>
    </cfRule>
  </conditionalFormatting>
  <conditionalFormatting sqref="A117:A119">
    <cfRule type="expression" dxfId="4967" priority="383">
      <formula>$AH117=0</formula>
    </cfRule>
  </conditionalFormatting>
  <conditionalFormatting sqref="AD56:AD59 AF73 R56:T59 E73:AD73 U59:Y59 AE58:AF59">
    <cfRule type="expression" dxfId="4966" priority="379">
      <formula>E$9&gt;=20/24</formula>
    </cfRule>
    <cfRule type="expression" dxfId="4965" priority="380">
      <formula>AND(E$9&gt;=14/24,E$9&lt;20/24)</formula>
    </cfRule>
    <cfRule type="expression" dxfId="4964" priority="381">
      <formula>AND(E$9&gt;=8/24,E$9&lt;14/24)</formula>
    </cfRule>
    <cfRule type="expression" dxfId="4963" priority="382">
      <formula>E$9&lt;8/24</formula>
    </cfRule>
  </conditionalFormatting>
  <conditionalFormatting sqref="AD55 P55:S55">
    <cfRule type="expression" dxfId="4962" priority="375">
      <formula>P$9&gt;=20/24</formula>
    </cfRule>
    <cfRule type="expression" dxfId="4961" priority="376">
      <formula>AND(P$9&gt;=14/24,P$9&lt;20/24)</formula>
    </cfRule>
    <cfRule type="expression" dxfId="4960" priority="377">
      <formula>AND(P$9&gt;=8/24,P$9&lt;14/24)</formula>
    </cfRule>
    <cfRule type="expression" dxfId="4959" priority="378">
      <formula>P$9&lt;8/24</formula>
    </cfRule>
  </conditionalFormatting>
  <conditionalFormatting sqref="AD55:AD59 P55:Q55 R55:S59 T56:T59 U59:Y59 AE58:AF59">
    <cfRule type="expression" dxfId="4958" priority="374">
      <formula>P55&gt;$AG55</formula>
    </cfRule>
  </conditionalFormatting>
  <conditionalFormatting sqref="D88:AF88 X98:AF98 X49:AF49 AF75 M102:Y108 E74:AD75 AA69:AF71">
    <cfRule type="expression" dxfId="4957" priority="370">
      <formula>D$9&gt;=20/24</formula>
    </cfRule>
    <cfRule type="expression" dxfId="4956" priority="371">
      <formula>AND(D$9&gt;=14/24,D$9&lt;20/24)</formula>
    </cfRule>
    <cfRule type="expression" dxfId="4955" priority="372">
      <formula>AND(D$9&gt;=8/24,D$9&lt;14/24)</formula>
    </cfRule>
    <cfRule type="expression" dxfId="4954" priority="373">
      <formula>D$9&lt;8/24</formula>
    </cfRule>
  </conditionalFormatting>
  <conditionalFormatting sqref="X49:AF49 AA69:AF71">
    <cfRule type="expression" dxfId="4953" priority="369">
      <formula>X49&gt;$AG49</formula>
    </cfRule>
  </conditionalFormatting>
  <conditionalFormatting sqref="T55:U55 U56:U58 V55:AC57 Z59:AB60 V58:AB58 AC58:AC60 AD60:AF60">
    <cfRule type="expression" dxfId="4952" priority="365">
      <formula>T$9&gt;=20/24</formula>
    </cfRule>
    <cfRule type="expression" dxfId="4951" priority="366">
      <formula>AND(T$9&gt;=14/24,T$9&lt;20/24)</formula>
    </cfRule>
    <cfRule type="expression" dxfId="4950" priority="367">
      <formula>AND(T$9&gt;=8/24,T$9&lt;14/24)</formula>
    </cfRule>
    <cfRule type="expression" dxfId="4949" priority="368">
      <formula>T$9&lt;8/24</formula>
    </cfRule>
  </conditionalFormatting>
  <conditionalFormatting sqref="T55:U55 U56:U58 V55:AC57 Z59:AB60 V58:AB58 AC58:AC60 AD60:AF60">
    <cfRule type="expression" dxfId="4948" priority="364">
      <formula>T55&gt;$AG55</formula>
    </cfRule>
  </conditionalFormatting>
  <conditionalFormatting sqref="C99:AF99 D90:AF90">
    <cfRule type="expression" dxfId="4947" priority="360">
      <formula>C$9&gt;=20/24</formula>
    </cfRule>
    <cfRule type="expression" dxfId="4946" priority="361">
      <formula>AND(C$9&gt;=14/24,C$9&lt;20/24)</formula>
    </cfRule>
    <cfRule type="expression" dxfId="4945" priority="362">
      <formula>AND(C$9&gt;=8/24,C$9&lt;14/24)</formula>
    </cfRule>
    <cfRule type="expression" dxfId="4944" priority="363">
      <formula>C$9&lt;8/24</formula>
    </cfRule>
  </conditionalFormatting>
  <conditionalFormatting sqref="T49:W49">
    <cfRule type="expression" dxfId="4943" priority="356">
      <formula>T$9&gt;=20/24</formula>
    </cfRule>
    <cfRule type="expression" dxfId="4942" priority="357">
      <formula>AND(T$9&gt;=14/24,T$9&lt;20/24)</formula>
    </cfRule>
    <cfRule type="expression" dxfId="4941" priority="358">
      <formula>AND(T$9&gt;=8/24,T$9&lt;14/24)</formula>
    </cfRule>
    <cfRule type="expression" dxfId="4940" priority="359">
      <formula>T$9&lt;8/24</formula>
    </cfRule>
  </conditionalFormatting>
  <conditionalFormatting sqref="T49:W49">
    <cfRule type="expression" dxfId="4939" priority="355">
      <formula>T49&gt;$AG49</formula>
    </cfRule>
  </conditionalFormatting>
  <conditionalFormatting sqref="E56:Q57">
    <cfRule type="expression" dxfId="4938" priority="351">
      <formula>E$9&gt;=20/24</formula>
    </cfRule>
    <cfRule type="expression" dxfId="4937" priority="352">
      <formula>AND(E$9&gt;=14/24,E$9&lt;20/24)</formula>
    </cfRule>
    <cfRule type="expression" dxfId="4936" priority="353">
      <formula>AND(E$9&gt;=8/24,E$9&lt;14/24)</formula>
    </cfRule>
    <cfRule type="expression" dxfId="4935" priority="354">
      <formula>E$9&lt;8/24</formula>
    </cfRule>
  </conditionalFormatting>
  <conditionalFormatting sqref="E55:O55">
    <cfRule type="expression" dxfId="4934" priority="347">
      <formula>E$9&gt;=20/24</formula>
    </cfRule>
    <cfRule type="expression" dxfId="4933" priority="348">
      <formula>AND(E$9&gt;=14/24,E$9&lt;20/24)</formula>
    </cfRule>
    <cfRule type="expression" dxfId="4932" priority="349">
      <formula>AND(E$9&gt;=8/24,E$9&lt;14/24)</formula>
    </cfRule>
    <cfRule type="expression" dxfId="4931" priority="350">
      <formula>E$9&lt;8/24</formula>
    </cfRule>
  </conditionalFormatting>
  <conditionalFormatting sqref="E55:O57 P56:Q57">
    <cfRule type="expression" dxfId="4930" priority="346">
      <formula>E55&gt;$AG55</formula>
    </cfRule>
  </conditionalFormatting>
  <conditionalFormatting sqref="AG72 AG89 E102:L108">
    <cfRule type="expression" dxfId="4929" priority="342">
      <formula>E$9&gt;=20/24</formula>
    </cfRule>
    <cfRule type="expression" dxfId="4928" priority="343">
      <formula>AND(E$9&gt;=14/24,E$9&lt;20/24)</formula>
    </cfRule>
    <cfRule type="expression" dxfId="4927" priority="344">
      <formula>AND(E$9&gt;=8/24,E$9&lt;14/24)</formula>
    </cfRule>
    <cfRule type="expression" dxfId="4926" priority="345">
      <formula>E$9&lt;8/24</formula>
    </cfRule>
  </conditionalFormatting>
  <conditionalFormatting sqref="AG50 AG68 AG72">
    <cfRule type="expression" dxfId="4925" priority="341">
      <formula>AG50&gt;$AG50</formula>
    </cfRule>
  </conditionalFormatting>
  <conditionalFormatting sqref="A45">
    <cfRule type="expression" dxfId="4924" priority="335">
      <formula>$AH45=0</formula>
    </cfRule>
  </conditionalFormatting>
  <conditionalFormatting sqref="X93:AF97">
    <cfRule type="expression" dxfId="4923" priority="331">
      <formula>X$9&gt;=20/24</formula>
    </cfRule>
    <cfRule type="expression" dxfId="4922" priority="332">
      <formula>AND(X$9&gt;=14/24,X$9&lt;20/24)</formula>
    </cfRule>
    <cfRule type="expression" dxfId="4921" priority="333">
      <formula>AND(X$9&gt;=8/24,X$9&lt;14/24)</formula>
    </cfRule>
    <cfRule type="expression" dxfId="4920" priority="334">
      <formula>X$9&lt;8/24</formula>
    </cfRule>
  </conditionalFormatting>
  <conditionalFormatting sqref="AL47 AL43 AL24:AL34 AL40:AL41 AL19:AL22 AL36:AL38 AL7:AL17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4919" priority="327">
      <formula>E$9&gt;=20/24</formula>
    </cfRule>
    <cfRule type="expression" dxfId="4918" priority="328">
      <formula>AND(E$9&gt;=14/24,E$9&lt;20/24)</formula>
    </cfRule>
    <cfRule type="expression" dxfId="4917" priority="329">
      <formula>AND(E$9&gt;=8/24,E$9&lt;14/24)</formula>
    </cfRule>
    <cfRule type="expression" dxfId="4916" priority="330">
      <formula>E$9&lt;8/24</formula>
    </cfRule>
  </conditionalFormatting>
  <conditionalFormatting sqref="E51:AF53">
    <cfRule type="expression" dxfId="4915" priority="326">
      <formula>E51&gt;$AG51</formula>
    </cfRule>
  </conditionalFormatting>
  <conditionalFormatting sqref="AG54">
    <cfRule type="expression" dxfId="4914" priority="322">
      <formula>AG$9&gt;=20/24</formula>
    </cfRule>
    <cfRule type="expression" dxfId="4913" priority="323">
      <formula>AND(AG$9&gt;=14/24,AG$9&lt;20/24)</formula>
    </cfRule>
    <cfRule type="expression" dxfId="4912" priority="324">
      <formula>AND(AG$9&gt;=8/24,AG$9&lt;14/24)</formula>
    </cfRule>
    <cfRule type="expression" dxfId="4911" priority="325">
      <formula>AG$9&lt;8/24</formula>
    </cfRule>
  </conditionalFormatting>
  <conditionalFormatting sqref="AG54">
    <cfRule type="expression" dxfId="4910" priority="321">
      <formula>AG54&gt;$AG54</formula>
    </cfRule>
  </conditionalFormatting>
  <conditionalFormatting sqref="C109:AF109">
    <cfRule type="expression" dxfId="4909" priority="317">
      <formula>C$9&gt;=20/24</formula>
    </cfRule>
    <cfRule type="expression" dxfId="4908" priority="318">
      <formula>AND(C$9&gt;=14/24,C$9&lt;20/24)</formula>
    </cfRule>
    <cfRule type="expression" dxfId="4907" priority="319">
      <formula>AND(C$9&gt;=8/24,C$9&lt;14/24)</formula>
    </cfRule>
    <cfRule type="expression" dxfId="4906" priority="320">
      <formula>C$9&lt;8/24</formula>
    </cfRule>
  </conditionalFormatting>
  <conditionalFormatting sqref="AL42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4905" priority="315">
      <formula>$AH42=0</formula>
    </cfRule>
  </conditionalFormatting>
  <conditionalFormatting sqref="A92">
    <cfRule type="expression" dxfId="4904" priority="313">
      <formula>$AH92=0</formula>
    </cfRule>
  </conditionalFormatting>
  <conditionalFormatting sqref="A89">
    <cfRule type="expression" dxfId="4903" priority="314">
      <formula>$AH89=0</formula>
    </cfRule>
  </conditionalFormatting>
  <conditionalFormatting sqref="D112:AF112">
    <cfRule type="expression" dxfId="4902" priority="309">
      <formula>D$9&gt;=20/24</formula>
    </cfRule>
    <cfRule type="expression" dxfId="4901" priority="310">
      <formula>AND(D$9&gt;=14/24,D$9&lt;20/24)</formula>
    </cfRule>
    <cfRule type="expression" dxfId="4900" priority="311">
      <formula>AND(D$9&gt;=8/24,D$9&lt;14/24)</formula>
    </cfRule>
    <cfRule type="expression" dxfId="4899" priority="312">
      <formula>D$9&lt;8/24</formula>
    </cfRule>
  </conditionalFormatting>
  <conditionalFormatting sqref="A112">
    <cfRule type="expression" dxfId="4898" priority="308">
      <formula>$AH112=0</formula>
    </cfRule>
  </conditionalFormatting>
  <conditionalFormatting sqref="A23">
    <cfRule type="expression" dxfId="4897" priority="306">
      <formula>$AH23=0</formula>
    </cfRule>
  </conditionalFormatting>
  <conditionalFormatting sqref="AL2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4896" priority="304">
      <formula>$AH39=0</formula>
    </cfRule>
  </conditionalFormatting>
  <conditionalFormatting sqref="AL39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4895" priority="300">
      <formula>Z$9&gt;=20/24</formula>
    </cfRule>
    <cfRule type="expression" dxfId="4894" priority="301">
      <formula>AND(Z$9&gt;=14/24,Z$9&lt;20/24)</formula>
    </cfRule>
    <cfRule type="expression" dxfId="4893" priority="302">
      <formula>AND(Z$9&gt;=8/24,Z$9&lt;14/24)</formula>
    </cfRule>
    <cfRule type="expression" dxfId="4892" priority="303">
      <formula>Z$9&lt;8/24</formula>
    </cfRule>
  </conditionalFormatting>
  <conditionalFormatting sqref="Z102:AF108">
    <cfRule type="expression" dxfId="4891" priority="296">
      <formula>Z$9&gt;=20/24</formula>
    </cfRule>
    <cfRule type="expression" dxfId="4890" priority="297">
      <formula>AND(Z$9&gt;=14/24,Z$9&lt;20/24)</formula>
    </cfRule>
    <cfRule type="expression" dxfId="4889" priority="298">
      <formula>AND(Z$9&gt;=8/24,Z$9&lt;14/24)</formula>
    </cfRule>
    <cfRule type="expression" dxfId="4888" priority="299">
      <formula>Z$9&lt;8/24</formula>
    </cfRule>
  </conditionalFormatting>
  <conditionalFormatting sqref="C111 C113:C119 AA19:AF30 AA36:AF45 AA32:AF34">
    <cfRule type="expression" dxfId="4887" priority="292">
      <formula>C$9&gt;=20/24</formula>
    </cfRule>
    <cfRule type="expression" dxfId="4886" priority="293">
      <formula>AND(C$9&gt;=14/24,C$9&lt;20/24)</formula>
    </cfRule>
    <cfRule type="expression" dxfId="4885" priority="294">
      <formula>AND(C$9&gt;=8/24,C$9&lt;14/24)</formula>
    </cfRule>
    <cfRule type="expression" dxfId="4884" priority="295">
      <formula>C$9&lt;8/24</formula>
    </cfRule>
  </conditionalFormatting>
  <conditionalFormatting sqref="E49:S49">
    <cfRule type="expression" dxfId="4883" priority="288">
      <formula>E$9&gt;=20/24</formula>
    </cfRule>
    <cfRule type="expression" dxfId="4882" priority="289">
      <formula>AND(E$9&gt;=14/24,E$9&lt;20/24)</formula>
    </cfRule>
    <cfRule type="expression" dxfId="4881" priority="290">
      <formula>AND(E$9&gt;=8/24,E$9&lt;14/24)</formula>
    </cfRule>
    <cfRule type="expression" dxfId="4880" priority="291">
      <formula>E$9&lt;8/24</formula>
    </cfRule>
  </conditionalFormatting>
  <conditionalFormatting sqref="E49:S49 AA19:AF30 AA36:AF45 AA32:AF34">
    <cfRule type="expression" dxfId="4879" priority="287">
      <formula>E19&gt;$AG19</formula>
    </cfRule>
  </conditionalFormatting>
  <conditionalFormatting sqref="C101:D101">
    <cfRule type="expression" dxfId="4878" priority="283">
      <formula>C$9&gt;=20/24</formula>
    </cfRule>
    <cfRule type="expression" dxfId="4877" priority="284">
      <formula>AND(C$9&gt;=14/24,C$9&lt;20/24)</formula>
    </cfRule>
    <cfRule type="expression" dxfId="4876" priority="285">
      <formula>AND(C$9&gt;=8/24,C$9&lt;14/24)</formula>
    </cfRule>
    <cfRule type="expression" dxfId="4875" priority="286">
      <formula>C$9&lt;8/24</formula>
    </cfRule>
  </conditionalFormatting>
  <conditionalFormatting sqref="C88 C98:W98 C85:AF87 D102:D108 E76:L77 B78:L78 E69:Z71 M76:AD78 AE78:AF78">
    <cfRule type="expression" dxfId="4874" priority="279">
      <formula>B$9&gt;=20/24</formula>
    </cfRule>
    <cfRule type="expression" dxfId="4873" priority="280">
      <formula>AND(B$9&gt;=14/24,B$9&lt;20/24)</formula>
    </cfRule>
    <cfRule type="expression" dxfId="4872" priority="281">
      <formula>AND(B$9&gt;=8/24,B$9&lt;14/24)</formula>
    </cfRule>
    <cfRule type="expression" dxfId="4871" priority="282">
      <formula>B$9&lt;8/24</formula>
    </cfRule>
  </conditionalFormatting>
  <conditionalFormatting sqref="E58:Q59 E69:Z71">
    <cfRule type="expression" dxfId="4870" priority="278">
      <formula>E58&gt;$AG58</formula>
    </cfRule>
  </conditionalFormatting>
  <conditionalFormatting sqref="C89:AF89 C91:AF91 C100:AF100 C72:AF72">
    <cfRule type="expression" dxfId="4869" priority="274">
      <formula>C$9&gt;=20/24</formula>
    </cfRule>
    <cfRule type="expression" dxfId="4868" priority="275">
      <formula>AND(C$9&gt;=14/24,C$9&lt;20/24)</formula>
    </cfRule>
    <cfRule type="expression" dxfId="4867" priority="276">
      <formula>AND(C$9&gt;=8/24,C$9&lt;14/24)</formula>
    </cfRule>
    <cfRule type="expression" dxfId="4866" priority="277">
      <formula>C$9&lt;8/24</formula>
    </cfRule>
  </conditionalFormatting>
  <conditionalFormatting sqref="C72:AF72 D67:AF68">
    <cfRule type="expression" dxfId="4865" priority="273">
      <formula>C67&gt;$AG67</formula>
    </cfRule>
  </conditionalFormatting>
  <conditionalFormatting sqref="C84:AF84">
    <cfRule type="expression" dxfId="4864" priority="269">
      <formula>C$9&gt;=20/24</formula>
    </cfRule>
    <cfRule type="expression" dxfId="4863" priority="270">
      <formula>AND(C$9&gt;=14/24,C$9&lt;20/24)</formula>
    </cfRule>
    <cfRule type="expression" dxfId="4862" priority="271">
      <formula>AND(C$9&gt;=8/24,C$9&lt;14/24)</formula>
    </cfRule>
    <cfRule type="expression" dxfId="4861" priority="272">
      <formula>C$9&lt;8/24</formula>
    </cfRule>
  </conditionalFormatting>
  <conditionalFormatting sqref="C93:W97">
    <cfRule type="expression" dxfId="4860" priority="265">
      <formula>C$9&gt;=20/24</formula>
    </cfRule>
    <cfRule type="expression" dxfId="4859" priority="266">
      <formula>AND(C$9&gt;=14/24,C$9&lt;20/24)</formula>
    </cfRule>
    <cfRule type="expression" dxfId="4858" priority="267">
      <formula>AND(C$9&gt;=8/24,C$9&lt;14/24)</formula>
    </cfRule>
    <cfRule type="expression" dxfId="4857" priority="268">
      <formula>C$9&lt;8/24</formula>
    </cfRule>
  </conditionalFormatting>
  <conditionalFormatting sqref="D54:AF54">
    <cfRule type="expression" dxfId="4856" priority="261">
      <formula>D$9&gt;=20/24</formula>
    </cfRule>
    <cfRule type="expression" dxfId="4855" priority="262">
      <formula>AND(D$9&gt;=14/24,D$9&lt;20/24)</formula>
    </cfRule>
    <cfRule type="expression" dxfId="4854" priority="263">
      <formula>AND(D$9&gt;=8/24,D$9&lt;14/24)</formula>
    </cfRule>
    <cfRule type="expression" dxfId="4853" priority="264">
      <formula>D$9&lt;8/24</formula>
    </cfRule>
  </conditionalFormatting>
  <conditionalFormatting sqref="D54:AF54">
    <cfRule type="expression" dxfId="4852" priority="260">
      <formula>D54&gt;$AG54</formula>
    </cfRule>
  </conditionalFormatting>
  <conditionalFormatting sqref="C112">
    <cfRule type="expression" dxfId="4851" priority="252">
      <formula>C$9&gt;=20/24</formula>
    </cfRule>
    <cfRule type="expression" dxfId="4850" priority="253">
      <formula>AND(C$9&gt;=14/24,C$9&lt;20/24)</formula>
    </cfRule>
    <cfRule type="expression" dxfId="4849" priority="254">
      <formula>AND(C$9&gt;=8/24,C$9&lt;14/24)</formula>
    </cfRule>
    <cfRule type="expression" dxfId="4848" priority="255">
      <formula>C$9&lt;8/24</formula>
    </cfRule>
  </conditionalFormatting>
  <conditionalFormatting sqref="AA61:AF66">
    <cfRule type="expression" dxfId="4847" priority="248">
      <formula>AA$9&gt;=20/24</formula>
    </cfRule>
    <cfRule type="expression" dxfId="4846" priority="249">
      <formula>AND(AA$9&gt;=14/24,AA$9&lt;20/24)</formula>
    </cfRule>
    <cfRule type="expression" dxfId="4845" priority="250">
      <formula>AND(AA$9&gt;=8/24,AA$9&lt;14/24)</formula>
    </cfRule>
    <cfRule type="expression" dxfId="4844" priority="251">
      <formula>AA$9&lt;8/24</formula>
    </cfRule>
  </conditionalFormatting>
  <conditionalFormatting sqref="AA61:AF66">
    <cfRule type="expression" dxfId="4843" priority="247">
      <formula>AA61&gt;$AG61</formula>
    </cfRule>
  </conditionalFormatting>
  <conditionalFormatting sqref="AA47:AF47">
    <cfRule type="expression" dxfId="4842" priority="246">
      <formula>AA47&gt;$AG47</formula>
    </cfRule>
  </conditionalFormatting>
  <conditionalFormatting sqref="AA13:AF13">
    <cfRule type="expression" dxfId="4841" priority="242">
      <formula>AA$9&gt;=20/24</formula>
    </cfRule>
    <cfRule type="expression" dxfId="4840" priority="243">
      <formula>AND(AA$9&gt;=14/24,AA$9&lt;20/24)</formula>
    </cfRule>
    <cfRule type="expression" dxfId="4839" priority="244">
      <formula>AND(AA$9&gt;=8/24,AA$9&lt;14/24)</formula>
    </cfRule>
    <cfRule type="expression" dxfId="4838" priority="245">
      <formula>AA$9&lt;8/24</formula>
    </cfRule>
  </conditionalFormatting>
  <conditionalFormatting sqref="AA13:AF13">
    <cfRule type="expression" dxfId="4837" priority="241">
      <formula>AA13&gt;$AG13</formula>
    </cfRule>
  </conditionalFormatting>
  <conditionalFormatting sqref="AA47:AF47">
    <cfRule type="expression" dxfId="4836" priority="237">
      <formula>AA$9&gt;=20/24</formula>
    </cfRule>
    <cfRule type="expression" dxfId="4835" priority="238">
      <formula>AND(AA$9&gt;=14/24,AA$9&lt;20/24)</formula>
    </cfRule>
    <cfRule type="expression" dxfId="4834" priority="239">
      <formula>AND(AA$9&gt;=8/24,AA$9&lt;14/24)</formula>
    </cfRule>
    <cfRule type="expression" dxfId="4833" priority="240">
      <formula>AA$9&lt;8/24</formula>
    </cfRule>
  </conditionalFormatting>
  <conditionalFormatting sqref="B79:Q79 E82:Q83 R79:AF83">
    <cfRule type="expression" dxfId="4832" priority="233">
      <formula>B$9&gt;=20/24</formula>
    </cfRule>
    <cfRule type="expression" dxfId="4831" priority="234">
      <formula>AND(B$9&gt;=14/24,B$9&lt;20/24)</formula>
    </cfRule>
    <cfRule type="expression" dxfId="4830" priority="235">
      <formula>AND(B$9&gt;=8/24,B$9&lt;14/24)</formula>
    </cfRule>
    <cfRule type="expression" dxfId="4829" priority="236">
      <formula>B$9&lt;8/24</formula>
    </cfRule>
  </conditionalFormatting>
  <conditionalFormatting sqref="AL80:AN80 AL86:AN86 AN81:AN82">
    <cfRule type="expression" dxfId="4828" priority="229">
      <formula>AL$9&gt;=20/24</formula>
    </cfRule>
    <cfRule type="expression" dxfId="4827" priority="230">
      <formula>AND(AL$9&gt;=14/24,AL$9&lt;20/24)</formula>
    </cfRule>
    <cfRule type="expression" dxfId="4826" priority="231">
      <formula>AND(AL$9&gt;=8/24,AL$9&lt;14/24)</formula>
    </cfRule>
    <cfRule type="expression" dxfId="4825" priority="232">
      <formula>AL$9&lt;8/24</formula>
    </cfRule>
  </conditionalFormatting>
  <conditionalFormatting sqref="AN83:AN84">
    <cfRule type="expression" dxfId="4824" priority="225">
      <formula>AN$9&gt;=20/24</formula>
    </cfRule>
    <cfRule type="expression" dxfId="4823" priority="226">
      <formula>AND(AN$9&gt;=14/24,AN$9&lt;20/24)</formula>
    </cfRule>
    <cfRule type="expression" dxfId="4822" priority="227">
      <formula>AND(AN$9&gt;=8/24,AN$9&lt;14/24)</formula>
    </cfRule>
    <cfRule type="expression" dxfId="4821" priority="228">
      <formula>AN$9&lt;8/24</formula>
    </cfRule>
  </conditionalFormatting>
  <conditionalFormatting sqref="AL81:AM85">
    <cfRule type="expression" dxfId="4820" priority="433">
      <formula>AJ$9&gt;=20/24</formula>
    </cfRule>
    <cfRule type="expression" dxfId="4819" priority="434">
      <formula>AND(AJ$9&gt;=14/24,AJ$9&lt;20/24)</formula>
    </cfRule>
    <cfRule type="expression" dxfId="4818" priority="435">
      <formula>AND(AJ$9&gt;=8/24,AJ$9&lt;14/24)</formula>
    </cfRule>
    <cfRule type="expression" dxfId="4817" priority="436">
      <formula>AJ$9&lt;8/24</formula>
    </cfRule>
  </conditionalFormatting>
  <conditionalFormatting sqref="A120">
    <cfRule type="expression" dxfId="4816" priority="224">
      <formula>$AH120=0</formula>
    </cfRule>
  </conditionalFormatting>
  <conditionalFormatting sqref="C102:C108 D69:D71">
    <cfRule type="expression" dxfId="4815" priority="211">
      <formula>C$9&gt;=20/24</formula>
    </cfRule>
    <cfRule type="expression" dxfId="4814" priority="212">
      <formula>AND(C$9&gt;=14/24,C$9&lt;20/24)</formula>
    </cfRule>
    <cfRule type="expression" dxfId="4813" priority="213">
      <formula>AND(C$9&gt;=8/24,C$9&lt;14/24)</formula>
    </cfRule>
    <cfRule type="expression" dxfId="4812" priority="214">
      <formula>C$9&lt;8/24</formula>
    </cfRule>
  </conditionalFormatting>
  <conditionalFormatting sqref="D69:D71">
    <cfRule type="expression" dxfId="4811" priority="210">
      <formula>D69&gt;$AG69</formula>
    </cfRule>
  </conditionalFormatting>
  <conditionalFormatting sqref="AA48:AF48">
    <cfRule type="expression" dxfId="4810" priority="202">
      <formula>AA$9&gt;=20/24</formula>
    </cfRule>
    <cfRule type="expression" dxfId="4809" priority="203">
      <formula>AND(AA$9&gt;=14/24,AA$9&lt;20/24)</formula>
    </cfRule>
    <cfRule type="expression" dxfId="4808" priority="204">
      <formula>AND(AA$9&gt;=8/24,AA$9&lt;14/24)</formula>
    </cfRule>
    <cfRule type="expression" dxfId="4807" priority="205">
      <formula>AA$9&lt;8/24</formula>
    </cfRule>
  </conditionalFormatting>
  <conditionalFormatting sqref="AA48:AF48">
    <cfRule type="expression" dxfId="4806" priority="201">
      <formula>AA48&gt;$AG48</formula>
    </cfRule>
  </conditionalFormatting>
  <conditionalFormatting sqref="E60:Y60">
    <cfRule type="expression" dxfId="4805" priority="197">
      <formula>E$9&gt;=20/24</formula>
    </cfRule>
    <cfRule type="expression" dxfId="4804" priority="198">
      <formula>AND(E$9&gt;=14/24,E$9&lt;20/24)</formula>
    </cfRule>
    <cfRule type="expression" dxfId="4803" priority="199">
      <formula>AND(E$9&gt;=8/24,E$9&lt;14/24)</formula>
    </cfRule>
    <cfRule type="expression" dxfId="4802" priority="200">
      <formula>E$9&lt;8/24</formula>
    </cfRule>
  </conditionalFormatting>
  <conditionalFormatting sqref="E60:Y60">
    <cfRule type="expression" dxfId="4801" priority="196">
      <formula>E60&gt;$AG60</formula>
    </cfRule>
  </conditionalFormatting>
  <conditionalFormatting sqref="B88 B98 B102:B108 B69:C71 B49:D49 B74:D76">
    <cfRule type="expression" dxfId="4800" priority="126">
      <formula>B$9&gt;=20/24</formula>
    </cfRule>
    <cfRule type="expression" dxfId="4799" priority="127">
      <formula>AND(B$9&gt;=14/24,B$9&lt;20/24)</formula>
    </cfRule>
    <cfRule type="expression" dxfId="4798" priority="128">
      <formula>AND(B$9&gt;=8/24,B$9&lt;14/24)</formula>
    </cfRule>
    <cfRule type="expression" dxfId="4797" priority="129">
      <formula>B$9&lt;8/24</formula>
    </cfRule>
  </conditionalFormatting>
  <conditionalFormatting sqref="B60:D60">
    <cfRule type="expression" dxfId="4796" priority="117">
      <formula>B$9&gt;=20/24</formula>
    </cfRule>
    <cfRule type="expression" dxfId="4795" priority="118">
      <formula>AND(B$9&gt;=14/24,B$9&lt;20/24)</formula>
    </cfRule>
    <cfRule type="expression" dxfId="4794" priority="119">
      <formula>AND(B$9&gt;=8/24,B$9&lt;14/24)</formula>
    </cfRule>
    <cfRule type="expression" dxfId="4793" priority="120">
      <formula>B$9&lt;8/24</formula>
    </cfRule>
  </conditionalFormatting>
  <conditionalFormatting sqref="E50:AF50">
    <cfRule type="expression" dxfId="4792" priority="191">
      <formula>E50&gt;$AG50</formula>
    </cfRule>
  </conditionalFormatting>
  <conditionalFormatting sqref="Z61:Z62 E61:Y61">
    <cfRule type="expression" dxfId="4791" priority="187">
      <formula>E$9&gt;=20/24</formula>
    </cfRule>
    <cfRule type="expression" dxfId="4790" priority="188">
      <formula>AND(E$9&gt;=14/24,E$9&lt;20/24)</formula>
    </cfRule>
    <cfRule type="expression" dxfId="4789" priority="189">
      <formula>AND(E$9&gt;=8/24,E$9&lt;14/24)</formula>
    </cfRule>
    <cfRule type="expression" dxfId="4788" priority="190">
      <formula>E$9&lt;8/24</formula>
    </cfRule>
  </conditionalFormatting>
  <conditionalFormatting sqref="Z61:Z62 E61:Y61">
    <cfRule type="expression" dxfId="4787" priority="186">
      <formula>E61&gt;$AG61</formula>
    </cfRule>
  </conditionalFormatting>
  <conditionalFormatting sqref="A11">
    <cfRule type="expression" dxfId="4786" priority="181">
      <formula>$AH11=0</formula>
    </cfRule>
  </conditionalFormatting>
  <conditionalFormatting sqref="AA11:AF11">
    <cfRule type="expression" dxfId="4785" priority="177">
      <formula>AA$9&gt;=20/24</formula>
    </cfRule>
    <cfRule type="expression" dxfId="4784" priority="178">
      <formula>AND(AA$9&gt;=14/24,AA$9&lt;20/24)</formula>
    </cfRule>
    <cfRule type="expression" dxfId="4783" priority="179">
      <formula>AND(AA$9&gt;=8/24,AA$9&lt;14/24)</formula>
    </cfRule>
    <cfRule type="expression" dxfId="4782" priority="180">
      <formula>AA$9&lt;8/24</formula>
    </cfRule>
  </conditionalFormatting>
  <conditionalFormatting sqref="AA11:AF11">
    <cfRule type="expression" dxfId="4781" priority="176">
      <formula>AA11&gt;$AG11</formula>
    </cfRule>
  </conditionalFormatting>
  <conditionalFormatting sqref="A18">
    <cfRule type="expression" dxfId="4780" priority="174">
      <formula>$AH18=0</formula>
    </cfRule>
  </conditionalFormatting>
  <conditionalFormatting sqref="AL1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4779" priority="170">
      <formula>AA$9&gt;=20/24</formula>
    </cfRule>
    <cfRule type="expression" dxfId="4778" priority="171">
      <formula>AND(AA$9&gt;=14/24,AA$9&lt;20/24)</formula>
    </cfRule>
    <cfRule type="expression" dxfId="4777" priority="172">
      <formula>AND(AA$9&gt;=8/24,AA$9&lt;14/24)</formula>
    </cfRule>
    <cfRule type="expression" dxfId="4776" priority="173">
      <formula>AA$9&lt;8/24</formula>
    </cfRule>
  </conditionalFormatting>
  <conditionalFormatting sqref="AA18:AF18">
    <cfRule type="expression" dxfId="4775" priority="169">
      <formula>AA18&gt;$AG18</formula>
    </cfRule>
  </conditionalFormatting>
  <conditionalFormatting sqref="A35">
    <cfRule type="expression" dxfId="4774" priority="167">
      <formula>$AH35=0</formula>
    </cfRule>
  </conditionalFormatting>
  <conditionalFormatting sqref="AL3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4773" priority="163">
      <formula>AA$9&gt;=20/24</formula>
    </cfRule>
    <cfRule type="expression" dxfId="4772" priority="164">
      <formula>AND(AA$9&gt;=14/24,AA$9&lt;20/24)</formula>
    </cfRule>
    <cfRule type="expression" dxfId="4771" priority="165">
      <formula>AND(AA$9&gt;=8/24,AA$9&lt;14/24)</formula>
    </cfRule>
    <cfRule type="expression" dxfId="4770" priority="166">
      <formula>AA$9&lt;8/24</formula>
    </cfRule>
  </conditionalFormatting>
  <conditionalFormatting sqref="AA35:AF35">
    <cfRule type="expression" dxfId="4769" priority="162">
      <formula>AA35&gt;$AG35</formula>
    </cfRule>
  </conditionalFormatting>
  <conditionalFormatting sqref="A46">
    <cfRule type="expression" dxfId="4768" priority="160">
      <formula>$AH46=0</formula>
    </cfRule>
  </conditionalFormatting>
  <conditionalFormatting sqref="AL4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4767" priority="159">
      <formula>AA46&gt;$AG46</formula>
    </cfRule>
  </conditionalFormatting>
  <conditionalFormatting sqref="AA46:AF46">
    <cfRule type="expression" dxfId="4766" priority="155">
      <formula>AA$9&gt;=20/24</formula>
    </cfRule>
    <cfRule type="expression" dxfId="4765" priority="156">
      <formula>AND(AA$9&gt;=14/24,AA$9&lt;20/24)</formula>
    </cfRule>
    <cfRule type="expression" dxfId="4764" priority="157">
      <formula>AND(AA$9&gt;=8/24,AA$9&lt;14/24)</formula>
    </cfRule>
    <cfRule type="expression" dxfId="4763" priority="158">
      <formula>AA$9&lt;8/24</formula>
    </cfRule>
  </conditionalFormatting>
  <conditionalFormatting sqref="B120">
    <cfRule type="expression" dxfId="4762" priority="27">
      <formula>B$9&gt;=20/24</formula>
    </cfRule>
    <cfRule type="expression" dxfId="4761" priority="28">
      <formula>AND(B$9&gt;=14/24,B$9&lt;20/24)</formula>
    </cfRule>
    <cfRule type="expression" dxfId="4760" priority="29">
      <formula>AND(B$9&gt;=8/24,B$9&lt;14/24)</formula>
    </cfRule>
    <cfRule type="expression" dxfId="4759" priority="30">
      <formula>B$9&lt;8/24</formula>
    </cfRule>
  </conditionalFormatting>
  <conditionalFormatting sqref="D120:AF120">
    <cfRule type="expression" dxfId="4758" priority="151">
      <formula>D$9&gt;=20/24</formula>
    </cfRule>
    <cfRule type="expression" dxfId="4757" priority="152">
      <formula>AND(D$9&gt;=14/24,D$9&lt;20/24)</formula>
    </cfRule>
    <cfRule type="expression" dxfId="4756" priority="153">
      <formula>AND(D$9&gt;=8/24,D$9&lt;14/24)</formula>
    </cfRule>
    <cfRule type="expression" dxfId="4755" priority="154">
      <formula>D$9&lt;8/24</formula>
    </cfRule>
  </conditionalFormatting>
  <conditionalFormatting sqref="C120">
    <cfRule type="expression" dxfId="4754" priority="147">
      <formula>C$9&gt;=20/24</formula>
    </cfRule>
    <cfRule type="expression" dxfId="4753" priority="148">
      <formula>AND(C$9&gt;=14/24,C$9&lt;20/24)</formula>
    </cfRule>
    <cfRule type="expression" dxfId="4752" priority="149">
      <formula>AND(C$9&gt;=8/24,C$9&lt;14/24)</formula>
    </cfRule>
    <cfRule type="expression" dxfId="4751" priority="150">
      <formula>C$9&lt;8/24</formula>
    </cfRule>
  </conditionalFormatting>
  <conditionalFormatting sqref="B111 B113:B119">
    <cfRule type="expression" dxfId="4750" priority="143">
      <formula>B$9&gt;=20/24</formula>
    </cfRule>
    <cfRule type="expression" dxfId="4749" priority="144">
      <formula>AND(B$9&gt;=14/24,B$9&lt;20/24)</formula>
    </cfRule>
    <cfRule type="expression" dxfId="4748" priority="145">
      <formula>AND(B$9&gt;=8/24,B$9&lt;14/24)</formula>
    </cfRule>
    <cfRule type="expression" dxfId="4747" priority="146">
      <formula>B$9&lt;8/24</formula>
    </cfRule>
  </conditionalFormatting>
  <conditionalFormatting sqref="B101">
    <cfRule type="expression" dxfId="4746" priority="139">
      <formula>B$9&gt;=20/24</formula>
    </cfRule>
    <cfRule type="expression" dxfId="4745" priority="140">
      <formula>AND(B$9&gt;=14/24,B$9&lt;20/24)</formula>
    </cfRule>
    <cfRule type="expression" dxfId="4744" priority="141">
      <formula>AND(B$9&gt;=8/24,B$9&lt;14/24)</formula>
    </cfRule>
    <cfRule type="expression" dxfId="4743" priority="142">
      <formula>B$9&lt;8/24</formula>
    </cfRule>
  </conditionalFormatting>
  <conditionalFormatting sqref="B56:D59 B73:D73">
    <cfRule type="expression" dxfId="4742" priority="135">
      <formula>B$9&gt;=20/24</formula>
    </cfRule>
    <cfRule type="expression" dxfId="4741" priority="136">
      <formula>AND(B$9&gt;=14/24,B$9&lt;20/24)</formula>
    </cfRule>
    <cfRule type="expression" dxfId="4740" priority="137">
      <formula>AND(B$9&gt;=8/24,B$9&lt;14/24)</formula>
    </cfRule>
    <cfRule type="expression" dxfId="4739" priority="138">
      <formula>B$9&lt;8/24</formula>
    </cfRule>
  </conditionalFormatting>
  <conditionalFormatting sqref="B55:D55">
    <cfRule type="expression" dxfId="4738" priority="131">
      <formula>B$9&gt;=20/24</formula>
    </cfRule>
    <cfRule type="expression" dxfId="4737" priority="132">
      <formula>AND(B$9&gt;=14/24,B$9&lt;20/24)</formula>
    </cfRule>
    <cfRule type="expression" dxfId="4736" priority="133">
      <formula>AND(B$9&gt;=8/24,B$9&lt;14/24)</formula>
    </cfRule>
    <cfRule type="expression" dxfId="4735" priority="134">
      <formula>B$9&lt;8/24</formula>
    </cfRule>
  </conditionalFormatting>
  <conditionalFormatting sqref="B55:D59">
    <cfRule type="expression" dxfId="4734" priority="130">
      <formula>B55&gt;$AG55</formula>
    </cfRule>
  </conditionalFormatting>
  <conditionalFormatting sqref="B69:C71 B49:D49">
    <cfRule type="expression" dxfId="4733" priority="125">
      <formula>B49&gt;$AG49</formula>
    </cfRule>
  </conditionalFormatting>
  <conditionalFormatting sqref="B99 B90:C90">
    <cfRule type="expression" dxfId="4732" priority="121">
      <formula>B$9&gt;=20/24</formula>
    </cfRule>
    <cfRule type="expression" dxfId="4731" priority="122">
      <formula>AND(B$9&gt;=14/24,B$9&lt;20/24)</formula>
    </cfRule>
    <cfRule type="expression" dxfId="4730" priority="123">
      <formula>AND(B$9&gt;=8/24,B$9&lt;14/24)</formula>
    </cfRule>
    <cfRule type="expression" dxfId="4729" priority="124">
      <formula>B$9&lt;8/24</formula>
    </cfRule>
  </conditionalFormatting>
  <conditionalFormatting sqref="B60:D60">
    <cfRule type="expression" dxfId="4728" priority="116">
      <formula>B60&gt;$AG60</formula>
    </cfRule>
  </conditionalFormatting>
  <conditionalFormatting sqref="B93:B97">
    <cfRule type="expression" dxfId="4727" priority="112">
      <formula>B$9&gt;=20/24</formula>
    </cfRule>
    <cfRule type="expression" dxfId="4726" priority="113">
      <formula>AND(B$9&gt;=14/24,B$9&lt;20/24)</formula>
    </cfRule>
    <cfRule type="expression" dxfId="4725" priority="114">
      <formula>AND(B$9&gt;=8/24,B$9&lt;14/24)</formula>
    </cfRule>
    <cfRule type="expression" dxfId="4724" priority="115">
      <formula>B$9&lt;8/24</formula>
    </cfRule>
  </conditionalFormatting>
  <conditionalFormatting sqref="B51:D53">
    <cfRule type="expression" dxfId="4723" priority="108">
      <formula>B$9&gt;=20/24</formula>
    </cfRule>
    <cfRule type="expression" dxfId="4722" priority="109">
      <formula>AND(B$9&gt;=14/24,B$9&lt;20/24)</formula>
    </cfRule>
    <cfRule type="expression" dxfId="4721" priority="110">
      <formula>AND(B$9&gt;=8/24,B$9&lt;14/24)</formula>
    </cfRule>
    <cfRule type="expression" dxfId="4720" priority="111">
      <formula>B$9&lt;8/24</formula>
    </cfRule>
  </conditionalFormatting>
  <conditionalFormatting sqref="B51:D53">
    <cfRule type="expression" dxfId="4719" priority="107">
      <formula>B51&gt;$AG51</formula>
    </cfRule>
  </conditionalFormatting>
  <conditionalFormatting sqref="B109">
    <cfRule type="expression" dxfId="4718" priority="103">
      <formula>B$9&gt;=20/24</formula>
    </cfRule>
    <cfRule type="expression" dxfId="4717" priority="104">
      <formula>AND(B$9&gt;=14/24,B$9&lt;20/24)</formula>
    </cfRule>
    <cfRule type="expression" dxfId="4716" priority="105">
      <formula>AND(B$9&gt;=8/24,B$9&lt;14/24)</formula>
    </cfRule>
    <cfRule type="expression" dxfId="4715" priority="106">
      <formula>B$9&lt;8/24</formula>
    </cfRule>
  </conditionalFormatting>
  <conditionalFormatting sqref="B112">
    <cfRule type="expression" dxfId="4714" priority="99">
      <formula>B$9&gt;=20/24</formula>
    </cfRule>
    <cfRule type="expression" dxfId="4713" priority="100">
      <formula>AND(B$9&gt;=14/24,B$9&lt;20/24)</formula>
    </cfRule>
    <cfRule type="expression" dxfId="4712" priority="101">
      <formula>AND(B$9&gt;=8/24,B$9&lt;14/24)</formula>
    </cfRule>
    <cfRule type="expression" dxfId="4711" priority="102">
      <formula>B$9&lt;8/24</formula>
    </cfRule>
  </conditionalFormatting>
  <conditionalFormatting sqref="B36:Z45 B19:Z34 AA31:AF31">
    <cfRule type="expression" dxfId="4710" priority="95">
      <formula>B$9&gt;=20/24</formula>
    </cfRule>
    <cfRule type="expression" dxfId="4709" priority="96">
      <formula>AND(B$9&gt;=14/24,B$9&lt;20/24)</formula>
    </cfRule>
    <cfRule type="expression" dxfId="4708" priority="97">
      <formula>AND(B$9&gt;=8/24,B$9&lt;14/24)</formula>
    </cfRule>
    <cfRule type="expression" dxfId="4707" priority="98">
      <formula>B$9&lt;8/24</formula>
    </cfRule>
  </conditionalFormatting>
  <conditionalFormatting sqref="B36:Z45 B19:Z34 AA31:AF31">
    <cfRule type="expression" dxfId="4706" priority="94">
      <formula>B19&gt;$AG19</formula>
    </cfRule>
  </conditionalFormatting>
  <conditionalFormatting sqref="B85:B87 B77:D77 B81:D83 E81 B80:E80 F80:Q81">
    <cfRule type="expression" dxfId="4705" priority="90">
      <formula>B$9&gt;=20/24</formula>
    </cfRule>
    <cfRule type="expression" dxfId="4704" priority="91">
      <formula>AND(B$9&gt;=14/24,B$9&lt;20/24)</formula>
    </cfRule>
    <cfRule type="expression" dxfId="4703" priority="92">
      <formula>AND(B$9&gt;=8/24,B$9&lt;14/24)</formula>
    </cfRule>
    <cfRule type="expression" dxfId="4702" priority="93">
      <formula>B$9&lt;8/24</formula>
    </cfRule>
  </conditionalFormatting>
  <conditionalFormatting sqref="B89 B91 B100 B72">
    <cfRule type="expression" dxfId="4701" priority="86">
      <formula>B$9&gt;=20/24</formula>
    </cfRule>
    <cfRule type="expression" dxfId="4700" priority="87">
      <formula>AND(B$9&gt;=14/24,B$9&lt;20/24)</formula>
    </cfRule>
    <cfRule type="expression" dxfId="4699" priority="88">
      <formula>AND(B$9&gt;=8/24,B$9&lt;14/24)</formula>
    </cfRule>
    <cfRule type="expression" dxfId="4698" priority="89">
      <formula>B$9&lt;8/24</formula>
    </cfRule>
  </conditionalFormatting>
  <conditionalFormatting sqref="B72 B67:C68">
    <cfRule type="expression" dxfId="4697" priority="85">
      <formula>B67&gt;$AG67</formula>
    </cfRule>
  </conditionalFormatting>
  <conditionalFormatting sqref="B84">
    <cfRule type="expression" dxfId="4696" priority="81">
      <formula>B$9&gt;=20/24</formula>
    </cfRule>
    <cfRule type="expression" dxfId="4695" priority="82">
      <formula>AND(B$9&gt;=14/24,B$9&lt;20/24)</formula>
    </cfRule>
    <cfRule type="expression" dxfId="4694" priority="83">
      <formula>AND(B$9&gt;=8/24,B$9&lt;14/24)</formula>
    </cfRule>
    <cfRule type="expression" dxfId="4693" priority="84">
      <formula>B$9&lt;8/24</formula>
    </cfRule>
  </conditionalFormatting>
  <conditionalFormatting sqref="B54:C54">
    <cfRule type="expression" dxfId="4692" priority="77">
      <formula>B$9&gt;=20/24</formula>
    </cfRule>
    <cfRule type="expression" dxfId="4691" priority="78">
      <formula>AND(B$9&gt;=14/24,B$9&lt;20/24)</formula>
    </cfRule>
    <cfRule type="expression" dxfId="4690" priority="79">
      <formula>AND(B$9&gt;=8/24,B$9&lt;14/24)</formula>
    </cfRule>
    <cfRule type="expression" dxfId="4689" priority="80">
      <formula>B$9&lt;8/24</formula>
    </cfRule>
  </conditionalFormatting>
  <conditionalFormatting sqref="B54:C54">
    <cfRule type="expression" dxfId="4688" priority="76">
      <formula>B54&gt;$AG54</formula>
    </cfRule>
  </conditionalFormatting>
  <conditionalFormatting sqref="B61:D66 E62:Y66 Z63:Z66">
    <cfRule type="expression" dxfId="4687" priority="68">
      <formula>B$9&gt;=20/24</formula>
    </cfRule>
    <cfRule type="expression" dxfId="4686" priority="69">
      <formula>AND(B$9&gt;=14/24,B$9&lt;20/24)</formula>
    </cfRule>
    <cfRule type="expression" dxfId="4685" priority="70">
      <formula>AND(B$9&gt;=8/24,B$9&lt;14/24)</formula>
    </cfRule>
    <cfRule type="expression" dxfId="4684" priority="71">
      <formula>B$9&lt;8/24</formula>
    </cfRule>
  </conditionalFormatting>
  <conditionalFormatting sqref="B61:D66 E62:Y66 Z63:Z66">
    <cfRule type="expression" dxfId="4683" priority="67">
      <formula>B61&gt;$AG61</formula>
    </cfRule>
  </conditionalFormatting>
  <conditionalFormatting sqref="B47:Z47">
    <cfRule type="expression" dxfId="4682" priority="66">
      <formula>B47&gt;$AG47</formula>
    </cfRule>
  </conditionalFormatting>
  <conditionalFormatting sqref="B13:Z13">
    <cfRule type="expression" dxfId="4681" priority="62">
      <formula>B$9&gt;=20/24</formula>
    </cfRule>
    <cfRule type="expression" dxfId="4680" priority="63">
      <formula>AND(B$9&gt;=14/24,B$9&lt;20/24)</formula>
    </cfRule>
    <cfRule type="expression" dxfId="4679" priority="64">
      <formula>AND(B$9&gt;=8/24,B$9&lt;14/24)</formula>
    </cfRule>
    <cfRule type="expression" dxfId="4678" priority="65">
      <formula>B$9&lt;8/24</formula>
    </cfRule>
  </conditionalFormatting>
  <conditionalFormatting sqref="B13:Z13">
    <cfRule type="expression" dxfId="4677" priority="61">
      <formula>B13&gt;$AG13</formula>
    </cfRule>
  </conditionalFormatting>
  <conditionalFormatting sqref="B47:Z47">
    <cfRule type="expression" dxfId="4676" priority="57">
      <formula>B$9&gt;=20/24</formula>
    </cfRule>
    <cfRule type="expression" dxfId="4675" priority="58">
      <formula>AND(B$9&gt;=14/24,B$9&lt;20/24)</formula>
    </cfRule>
    <cfRule type="expression" dxfId="4674" priority="59">
      <formula>AND(B$9&gt;=8/24,B$9&lt;14/24)</formula>
    </cfRule>
    <cfRule type="expression" dxfId="4673" priority="60">
      <formula>B$9&lt;8/24</formula>
    </cfRule>
  </conditionalFormatting>
  <conditionalFormatting sqref="B48:Z48">
    <cfRule type="expression" dxfId="4672" priority="53">
      <formula>B$9&gt;=20/24</formula>
    </cfRule>
    <cfRule type="expression" dxfId="4671" priority="54">
      <formula>AND(B$9&gt;=14/24,B$9&lt;20/24)</formula>
    </cfRule>
    <cfRule type="expression" dxfId="4670" priority="55">
      <formula>AND(B$9&gt;=8/24,B$9&lt;14/24)</formula>
    </cfRule>
    <cfRule type="expression" dxfId="4669" priority="56">
      <formula>B$9&lt;8/24</formula>
    </cfRule>
  </conditionalFormatting>
  <conditionalFormatting sqref="B48:Z48">
    <cfRule type="expression" dxfId="4668" priority="52">
      <formula>B48&gt;$AG48</formula>
    </cfRule>
  </conditionalFormatting>
  <conditionalFormatting sqref="B50:D50">
    <cfRule type="expression" dxfId="4667" priority="51">
      <formula>B50&gt;$AG50</formula>
    </cfRule>
  </conditionalFormatting>
  <conditionalFormatting sqref="B11:Z11">
    <cfRule type="expression" dxfId="4666" priority="47">
      <formula>B$9&gt;=20/24</formula>
    </cfRule>
    <cfRule type="expression" dxfId="4665" priority="48">
      <formula>AND(B$9&gt;=14/24,B$9&lt;20/24)</formula>
    </cfRule>
    <cfRule type="expression" dxfId="4664" priority="49">
      <formula>AND(B$9&gt;=8/24,B$9&lt;14/24)</formula>
    </cfRule>
    <cfRule type="expression" dxfId="4663" priority="50">
      <formula>B$9&lt;8/24</formula>
    </cfRule>
  </conditionalFormatting>
  <conditionalFormatting sqref="B11:Z11">
    <cfRule type="expression" dxfId="4662" priority="46">
      <formula>B11&gt;$AG11</formula>
    </cfRule>
  </conditionalFormatting>
  <conditionalFormatting sqref="B18:Z18">
    <cfRule type="expression" dxfId="4661" priority="42">
      <formula>B$9&gt;=20/24</formula>
    </cfRule>
    <cfRule type="expression" dxfId="4660" priority="43">
      <formula>AND(B$9&gt;=14/24,B$9&lt;20/24)</formula>
    </cfRule>
    <cfRule type="expression" dxfId="4659" priority="44">
      <formula>AND(B$9&gt;=8/24,B$9&lt;14/24)</formula>
    </cfRule>
    <cfRule type="expression" dxfId="4658" priority="45">
      <formula>B$9&lt;8/24</formula>
    </cfRule>
  </conditionalFormatting>
  <conditionalFormatting sqref="B18:Z18">
    <cfRule type="expression" dxfId="4657" priority="41">
      <formula>B18&gt;$AG18</formula>
    </cfRule>
  </conditionalFormatting>
  <conditionalFormatting sqref="B35:Z35">
    <cfRule type="expression" dxfId="4656" priority="37">
      <formula>B$9&gt;=20/24</formula>
    </cfRule>
    <cfRule type="expression" dxfId="4655" priority="38">
      <formula>AND(B$9&gt;=14/24,B$9&lt;20/24)</formula>
    </cfRule>
    <cfRule type="expression" dxfId="4654" priority="39">
      <formula>AND(B$9&gt;=8/24,B$9&lt;14/24)</formula>
    </cfRule>
    <cfRule type="expression" dxfId="4653" priority="40">
      <formula>B$9&lt;8/24</formula>
    </cfRule>
  </conditionalFormatting>
  <conditionalFormatting sqref="B35:Z35">
    <cfRule type="expression" dxfId="4652" priority="36">
      <formula>B35&gt;$AG35</formula>
    </cfRule>
  </conditionalFormatting>
  <conditionalFormatting sqref="B46:Z46">
    <cfRule type="expression" dxfId="4651" priority="35">
      <formula>B46&gt;$AG46</formula>
    </cfRule>
  </conditionalFormatting>
  <conditionalFormatting sqref="B46:Z46">
    <cfRule type="expression" dxfId="4650" priority="31">
      <formula>B$9&gt;=20/24</formula>
    </cfRule>
    <cfRule type="expression" dxfId="4649" priority="32">
      <formula>AND(B$9&gt;=14/24,B$9&lt;20/24)</formula>
    </cfRule>
    <cfRule type="expression" dxfId="4648" priority="33">
      <formula>AND(B$9&gt;=8/24,B$9&lt;14/24)</formula>
    </cfRule>
    <cfRule type="expression" dxfId="4647" priority="34">
      <formula>B$9&lt;8/24</formula>
    </cfRule>
  </conditionalFormatting>
  <conditionalFormatting sqref="AE55:AF57">
    <cfRule type="expression" dxfId="4646" priority="23">
      <formula>AE$9&gt;=20/24</formula>
    </cfRule>
    <cfRule type="expression" dxfId="4645" priority="24">
      <formula>AND(AE$9&gt;=14/24,AE$9&lt;20/24)</formula>
    </cfRule>
    <cfRule type="expression" dxfId="4644" priority="25">
      <formula>AND(AE$9&gt;=8/24,AE$9&lt;14/24)</formula>
    </cfRule>
    <cfRule type="expression" dxfId="4643" priority="26">
      <formula>AE$9&lt;8/24</formula>
    </cfRule>
  </conditionalFormatting>
  <conditionalFormatting sqref="AE55:AF57">
    <cfRule type="expression" dxfId="4642" priority="22">
      <formula>AE55&gt;$AG55</formula>
    </cfRule>
  </conditionalFormatting>
  <conditionalFormatting sqref="AE73">
    <cfRule type="expression" dxfId="4641" priority="13">
      <formula>AE$9&gt;=20/24</formula>
    </cfRule>
    <cfRule type="expression" dxfId="4640" priority="14">
      <formula>AND(AE$9&gt;=14/24,AE$9&lt;20/24)</formula>
    </cfRule>
    <cfRule type="expression" dxfId="4639" priority="15">
      <formula>AND(AE$9&gt;=8/24,AE$9&lt;14/24)</formula>
    </cfRule>
    <cfRule type="expression" dxfId="4638" priority="16">
      <formula>AE$9&lt;8/24</formula>
    </cfRule>
  </conditionalFormatting>
  <conditionalFormatting sqref="AE74:AE75 AF74">
    <cfRule type="expression" dxfId="4637" priority="9">
      <formula>AE$9&gt;=20/24</formula>
    </cfRule>
    <cfRule type="expression" dxfId="4636" priority="10">
      <formula>AND(AE$9&gt;=14/24,AE$9&lt;20/24)</formula>
    </cfRule>
    <cfRule type="expression" dxfId="4635" priority="11">
      <formula>AND(AE$9&gt;=8/24,AE$9&lt;14/24)</formula>
    </cfRule>
    <cfRule type="expression" dxfId="4634" priority="12">
      <formula>AE$9&lt;8/24</formula>
    </cfRule>
  </conditionalFormatting>
  <conditionalFormatting sqref="AE76:AF77">
    <cfRule type="expression" dxfId="4633" priority="5">
      <formula>AE$9&gt;=20/24</formula>
    </cfRule>
    <cfRule type="expression" dxfId="4632" priority="6">
      <formula>AND(AE$9&gt;=14/24,AE$9&lt;20/24)</formula>
    </cfRule>
    <cfRule type="expression" dxfId="4631" priority="7">
      <formula>AND(AE$9&gt;=8/24,AE$9&lt;14/24)</formula>
    </cfRule>
    <cfRule type="expression" dxfId="4630" priority="8">
      <formula>AE$9&lt;8/24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6" id="{D9A2790B-053E-4CE5-832E-F22C50202FA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7" id="{D957A84B-510B-4C9F-94BC-ACAF6D97EB6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8" id="{F9095E3A-A0F6-442F-A3C6-7B99CAD5069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9" id="{72E398DC-BCBA-486A-990E-E12FD142F9A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2" id="{1BD08E73-3557-471C-86A3-07398D27AAA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B47FFDD9-9AA3-4BFF-8E44-C84E6EC6135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874660EF-7750-46F0-8259-A13B46D91B7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A804FC06-7AB1-4411-93B8-EE97350C608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2"/>
  <dimension ref="A1:CJ281"/>
  <sheetViews>
    <sheetView zoomScale="96" zoomScaleNormal="96" workbookViewId="0">
      <pane xSplit="1" ySplit="10" topLeftCell="F35" activePane="bottomRight" state="frozen"/>
      <selection pane="topRight" activeCell="B1" sqref="B1"/>
      <selection pane="bottomLeft" activeCell="A11" sqref="A11"/>
      <selection pane="bottomRight" activeCell="AF74" activeCellId="3" sqref="Q74:S74 AD74 AE74 AF7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8" style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2080/02/24</v>
      </c>
      <c r="C4" s="191"/>
      <c r="D4" s="191"/>
      <c r="E4" s="192" t="str">
        <f ca="1">"2079/"&amp;"12/"&amp;INT(MID(CELL("filename",G6),FIND("]",CELL("filename",G6))+1,200))</f>
        <v>2079/12/24</v>
      </c>
      <c r="F4" s="192"/>
      <c r="G4" s="192"/>
      <c r="H4" s="192" t="str">
        <f ca="1">TEXT(E4,"dddd")</f>
        <v>Sunday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114.3</v>
      </c>
      <c r="C5" s="30">
        <f t="shared" si="0"/>
        <v>110</v>
      </c>
      <c r="D5" s="30">
        <f t="shared" si="0"/>
        <v>208.20000000000002</v>
      </c>
      <c r="E5" s="30">
        <f t="shared" si="0"/>
        <v>294.89999999999998</v>
      </c>
      <c r="F5" s="30">
        <f t="shared" si="0"/>
        <v>309.3</v>
      </c>
      <c r="G5" s="30">
        <f t="shared" si="0"/>
        <v>308.40000000000003</v>
      </c>
      <c r="H5" s="30">
        <f t="shared" si="0"/>
        <v>314.09999999999997</v>
      </c>
      <c r="I5" s="30">
        <f t="shared" si="0"/>
        <v>305.89999999999998</v>
      </c>
      <c r="J5" s="30">
        <f t="shared" si="0"/>
        <v>453.5</v>
      </c>
      <c r="K5" s="30">
        <f t="shared" si="0"/>
        <v>460.5</v>
      </c>
      <c r="L5" s="30">
        <f t="shared" si="0"/>
        <v>514.79999999999995</v>
      </c>
      <c r="M5" s="30">
        <f t="shared" si="0"/>
        <v>541.6</v>
      </c>
      <c r="N5" s="30">
        <f t="shared" si="0"/>
        <v>509.09999999999997</v>
      </c>
      <c r="O5" s="30">
        <f t="shared" si="0"/>
        <v>551.20000000000005</v>
      </c>
      <c r="P5" s="30">
        <f t="shared" si="0"/>
        <v>489.70000000000005</v>
      </c>
      <c r="Q5" s="30">
        <f t="shared" si="0"/>
        <v>541.5</v>
      </c>
      <c r="R5" s="30">
        <f t="shared" si="0"/>
        <v>500.1</v>
      </c>
      <c r="S5" s="30">
        <f t="shared" si="0"/>
        <v>414.5</v>
      </c>
      <c r="T5" s="30">
        <f t="shared" si="0"/>
        <v>492.2</v>
      </c>
      <c r="U5" s="30">
        <f t="shared" si="0"/>
        <v>395.1</v>
      </c>
      <c r="V5" s="30">
        <f t="shared" si="0"/>
        <v>425.1</v>
      </c>
      <c r="W5" s="30">
        <f t="shared" si="0"/>
        <v>396.2</v>
      </c>
      <c r="X5" s="30">
        <f t="shared" si="0"/>
        <v>404.8</v>
      </c>
      <c r="Y5" s="30">
        <f t="shared" si="0"/>
        <v>271.3</v>
      </c>
      <c r="Z5" s="30">
        <f t="shared" si="0"/>
        <v>231.8</v>
      </c>
      <c r="AA5" s="30">
        <f t="shared" si="0"/>
        <v>100.4</v>
      </c>
      <c r="AB5" s="30">
        <f t="shared" si="0"/>
        <v>78</v>
      </c>
      <c r="AC5" s="30">
        <f t="shared" si="0"/>
        <v>143.89999999999998</v>
      </c>
      <c r="AD5" s="30">
        <f t="shared" si="0"/>
        <v>133.30000000000001</v>
      </c>
      <c r="AE5" s="30">
        <f t="shared" si="0"/>
        <v>145.9</v>
      </c>
      <c r="AF5" s="30">
        <f>B84</f>
        <v>114.3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1878MW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Load=1620</v>
      </c>
      <c r="B7" s="35">
        <f t="shared" ref="B7:AF7" si="1">B91</f>
        <v>1725.9399999999998</v>
      </c>
      <c r="C7" s="35">
        <f t="shared" si="1"/>
        <v>1721.04</v>
      </c>
      <c r="D7" s="35">
        <f t="shared" si="1"/>
        <v>1686.74</v>
      </c>
      <c r="E7" s="35">
        <f t="shared" si="1"/>
        <v>1623.5400000000002</v>
      </c>
      <c r="F7" s="35">
        <f t="shared" si="1"/>
        <v>1642.54</v>
      </c>
      <c r="G7" s="35">
        <f t="shared" si="1"/>
        <v>1620.34</v>
      </c>
      <c r="H7" s="35">
        <f t="shared" si="1"/>
        <v>1628.6400000000003</v>
      </c>
      <c r="I7" s="35">
        <f t="shared" si="1"/>
        <v>1650.1399999999999</v>
      </c>
      <c r="J7" s="35">
        <f t="shared" si="1"/>
        <v>1637.3400000000001</v>
      </c>
      <c r="K7" s="35">
        <f t="shared" si="1"/>
        <v>1766.94</v>
      </c>
      <c r="L7" s="35">
        <f t="shared" si="1"/>
        <v>1810.2400000000002</v>
      </c>
      <c r="M7" s="35">
        <f t="shared" si="1"/>
        <v>1868.8400000000001</v>
      </c>
      <c r="N7" s="35">
        <f>N91</f>
        <v>1877.8400000000001</v>
      </c>
      <c r="O7" s="35">
        <f t="shared" si="1"/>
        <v>1914.94</v>
      </c>
      <c r="P7" s="35">
        <f t="shared" si="1"/>
        <v>1926.0400000000002</v>
      </c>
      <c r="Q7" s="35">
        <f t="shared" si="1"/>
        <v>1911.2400000000002</v>
      </c>
      <c r="R7" s="35">
        <f t="shared" si="1"/>
        <v>1985.8400000000001</v>
      </c>
      <c r="S7" s="35">
        <f t="shared" si="1"/>
        <v>1921.54</v>
      </c>
      <c r="T7" s="35">
        <f t="shared" si="1"/>
        <v>1867.24</v>
      </c>
      <c r="U7" s="35">
        <f t="shared" si="1"/>
        <v>1829.64</v>
      </c>
      <c r="V7" s="35">
        <f t="shared" si="1"/>
        <v>1726.54</v>
      </c>
      <c r="W7" s="35">
        <f t="shared" si="1"/>
        <v>1672.54</v>
      </c>
      <c r="X7" s="35">
        <f t="shared" si="1"/>
        <v>1665.7400000000002</v>
      </c>
      <c r="Y7" s="35">
        <f t="shared" si="1"/>
        <v>1692.14</v>
      </c>
      <c r="Z7" s="35">
        <f t="shared" si="1"/>
        <v>1834.0400000000002</v>
      </c>
      <c r="AA7" s="35">
        <f t="shared" si="1"/>
        <v>1910.24</v>
      </c>
      <c r="AB7" s="35">
        <f t="shared" si="1"/>
        <v>1895.04</v>
      </c>
      <c r="AC7" s="35">
        <f t="shared" si="1"/>
        <v>1855.1399999999999</v>
      </c>
      <c r="AD7" s="35">
        <f t="shared" si="1"/>
        <v>1869.1399999999999</v>
      </c>
      <c r="AE7" s="35">
        <f t="shared" si="1"/>
        <v>1704.2399999999998</v>
      </c>
      <c r="AF7" s="35">
        <f t="shared" si="1"/>
        <v>1669.8400000000001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31</v>
      </c>
      <c r="C11" s="45">
        <v>31</v>
      </c>
      <c r="D11" s="45">
        <v>31</v>
      </c>
      <c r="E11" s="45">
        <v>31</v>
      </c>
      <c r="F11" s="45">
        <v>31</v>
      </c>
      <c r="G11" s="45">
        <v>31</v>
      </c>
      <c r="H11" s="45">
        <v>31</v>
      </c>
      <c r="I11" s="45">
        <v>31</v>
      </c>
      <c r="J11" s="45">
        <v>31</v>
      </c>
      <c r="K11" s="45">
        <v>31</v>
      </c>
      <c r="L11" s="45">
        <v>31</v>
      </c>
      <c r="M11" s="45">
        <v>31</v>
      </c>
      <c r="N11" s="45">
        <v>31</v>
      </c>
      <c r="O11" s="45">
        <v>31</v>
      </c>
      <c r="P11" s="45">
        <v>31</v>
      </c>
      <c r="Q11" s="45">
        <v>35</v>
      </c>
      <c r="R11" s="45">
        <v>35</v>
      </c>
      <c r="S11" s="45">
        <v>35</v>
      </c>
      <c r="T11" s="45">
        <v>35</v>
      </c>
      <c r="U11" s="45">
        <v>35</v>
      </c>
      <c r="V11" s="45">
        <v>35</v>
      </c>
      <c r="W11" s="45">
        <v>35</v>
      </c>
      <c r="X11" s="45">
        <v>35</v>
      </c>
      <c r="Y11" s="45">
        <v>35</v>
      </c>
      <c r="Z11" s="45">
        <v>35</v>
      </c>
      <c r="AA11" s="45">
        <v>35</v>
      </c>
      <c r="AB11" s="45">
        <v>35</v>
      </c>
      <c r="AC11" s="45">
        <v>35</v>
      </c>
      <c r="AD11" s="45">
        <v>35</v>
      </c>
      <c r="AE11" s="45">
        <v>35</v>
      </c>
      <c r="AF11" s="45">
        <v>35</v>
      </c>
      <c r="AG11" s="46">
        <v>86</v>
      </c>
      <c r="AH11" s="47">
        <f t="shared" ref="AH11:AH76" si="2">MAX(B11:AF11)</f>
        <v>35</v>
      </c>
      <c r="AI11" s="48">
        <f t="shared" ref="AI11:AI76" si="3">MIN(B11:AF11)</f>
        <v>31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28</v>
      </c>
      <c r="C12" s="45">
        <v>28</v>
      </c>
      <c r="D12" s="45">
        <v>28</v>
      </c>
      <c r="E12" s="45">
        <v>28</v>
      </c>
      <c r="F12" s="45">
        <v>28</v>
      </c>
      <c r="G12" s="45">
        <v>28</v>
      </c>
      <c r="H12" s="45">
        <v>28</v>
      </c>
      <c r="I12" s="45">
        <v>28</v>
      </c>
      <c r="J12" s="45">
        <v>28</v>
      </c>
      <c r="K12" s="45">
        <v>28</v>
      </c>
      <c r="L12" s="45">
        <v>28</v>
      </c>
      <c r="M12" s="45">
        <v>28</v>
      </c>
      <c r="N12" s="45">
        <v>28</v>
      </c>
      <c r="O12" s="45">
        <v>28</v>
      </c>
      <c r="P12" s="45">
        <v>28</v>
      </c>
      <c r="Q12" s="45">
        <v>28</v>
      </c>
      <c r="R12" s="45">
        <v>26.5</v>
      </c>
      <c r="S12" s="45">
        <v>26.5</v>
      </c>
      <c r="T12" s="45">
        <v>26.5</v>
      </c>
      <c r="U12" s="45">
        <v>26.5</v>
      </c>
      <c r="V12" s="45">
        <v>26.5</v>
      </c>
      <c r="W12" s="45">
        <v>26.5</v>
      </c>
      <c r="X12" s="45">
        <v>26.5</v>
      </c>
      <c r="Y12" s="45">
        <v>26.5</v>
      </c>
      <c r="Z12" s="45">
        <v>26.5</v>
      </c>
      <c r="AA12" s="45">
        <v>26.5</v>
      </c>
      <c r="AB12" s="45">
        <v>26.5</v>
      </c>
      <c r="AC12" s="45">
        <v>26.5</v>
      </c>
      <c r="AD12" s="45">
        <v>26.5</v>
      </c>
      <c r="AE12" s="45">
        <v>26.5</v>
      </c>
      <c r="AF12" s="45">
        <v>26.5</v>
      </c>
      <c r="AG12" s="50">
        <v>54</v>
      </c>
      <c r="AH12" s="47">
        <f t="shared" si="2"/>
        <v>28</v>
      </c>
      <c r="AI12" s="48">
        <f t="shared" si="3"/>
        <v>26.5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27.9</v>
      </c>
      <c r="C13" s="45">
        <v>27.9</v>
      </c>
      <c r="D13" s="45">
        <v>27.9</v>
      </c>
      <c r="E13" s="45">
        <v>27.9</v>
      </c>
      <c r="F13" s="45">
        <v>27.9</v>
      </c>
      <c r="G13" s="45">
        <v>27.9</v>
      </c>
      <c r="H13" s="45">
        <v>27.9</v>
      </c>
      <c r="I13" s="45">
        <v>27.9</v>
      </c>
      <c r="J13" s="45">
        <v>27.9</v>
      </c>
      <c r="K13" s="45">
        <v>27.9</v>
      </c>
      <c r="L13" s="45">
        <v>27.9</v>
      </c>
      <c r="M13" s="45">
        <v>27.9</v>
      </c>
      <c r="N13" s="45">
        <v>27.9</v>
      </c>
      <c r="O13" s="45">
        <v>27.9</v>
      </c>
      <c r="P13" s="45">
        <v>27.9</v>
      </c>
      <c r="Q13" s="45">
        <v>27.9</v>
      </c>
      <c r="R13" s="45">
        <v>23.7</v>
      </c>
      <c r="S13" s="45">
        <v>23.7</v>
      </c>
      <c r="T13" s="45">
        <v>23.7</v>
      </c>
      <c r="U13" s="45">
        <v>23.7</v>
      </c>
      <c r="V13" s="45">
        <v>23.7</v>
      </c>
      <c r="W13" s="45">
        <v>23.7</v>
      </c>
      <c r="X13" s="45">
        <v>23.7</v>
      </c>
      <c r="Y13" s="45">
        <v>23.7</v>
      </c>
      <c r="Z13" s="45">
        <v>23.7</v>
      </c>
      <c r="AA13" s="45">
        <v>23.7</v>
      </c>
      <c r="AB13" s="45">
        <v>23.7</v>
      </c>
      <c r="AC13" s="45">
        <v>23.7</v>
      </c>
      <c r="AD13" s="45">
        <v>23.7</v>
      </c>
      <c r="AE13" s="45">
        <v>23.7</v>
      </c>
      <c r="AF13" s="45">
        <v>23.7</v>
      </c>
      <c r="AG13" s="46">
        <v>52.4</v>
      </c>
      <c r="AH13" s="47">
        <f t="shared" si="2"/>
        <v>27.9</v>
      </c>
      <c r="AI13" s="48">
        <f t="shared" si="3"/>
        <v>23.7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50.5</v>
      </c>
      <c r="C14" s="45">
        <v>50.5</v>
      </c>
      <c r="D14" s="45">
        <v>50.5</v>
      </c>
      <c r="E14" s="45">
        <v>50.5</v>
      </c>
      <c r="F14" s="45">
        <v>50.5</v>
      </c>
      <c r="G14" s="45">
        <v>50.5</v>
      </c>
      <c r="H14" s="45">
        <v>50.5</v>
      </c>
      <c r="I14" s="45">
        <v>50.5</v>
      </c>
      <c r="J14" s="45">
        <v>50.5</v>
      </c>
      <c r="K14" s="45">
        <v>50.5</v>
      </c>
      <c r="L14" s="45">
        <v>50.5</v>
      </c>
      <c r="M14" s="45">
        <v>50.5</v>
      </c>
      <c r="N14" s="45">
        <v>50.5</v>
      </c>
      <c r="O14" s="45">
        <v>50.5</v>
      </c>
      <c r="P14" s="45">
        <v>50.5</v>
      </c>
      <c r="Q14" s="45">
        <v>50.5</v>
      </c>
      <c r="R14" s="45">
        <v>50.4</v>
      </c>
      <c r="S14" s="45">
        <v>50.4</v>
      </c>
      <c r="T14" s="45">
        <v>50.4</v>
      </c>
      <c r="U14" s="45">
        <v>50.4</v>
      </c>
      <c r="V14" s="45">
        <v>50.4</v>
      </c>
      <c r="W14" s="45">
        <v>50.4</v>
      </c>
      <c r="X14" s="45">
        <v>50.4</v>
      </c>
      <c r="Y14" s="45">
        <v>50.4</v>
      </c>
      <c r="Z14" s="45">
        <v>50.4</v>
      </c>
      <c r="AA14" s="45">
        <v>50.4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50">
        <v>50</v>
      </c>
      <c r="AH14" s="47">
        <f t="shared" si="2"/>
        <v>50.5</v>
      </c>
      <c r="AI14" s="48">
        <f t="shared" si="3"/>
        <v>50.4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31.5</v>
      </c>
      <c r="C15" s="45">
        <v>31.5</v>
      </c>
      <c r="D15" s="45">
        <v>31.5</v>
      </c>
      <c r="E15" s="45">
        <v>31.5</v>
      </c>
      <c r="F15" s="45">
        <v>27.4</v>
      </c>
      <c r="G15" s="45">
        <v>27.4</v>
      </c>
      <c r="H15" s="45">
        <v>27.4</v>
      </c>
      <c r="I15" s="45">
        <v>27.4</v>
      </c>
      <c r="J15" s="45">
        <v>27.4</v>
      </c>
      <c r="K15" s="45">
        <v>27.4</v>
      </c>
      <c r="L15" s="45">
        <v>27.4</v>
      </c>
      <c r="M15" s="45">
        <v>27.4</v>
      </c>
      <c r="N15" s="45">
        <v>27.4</v>
      </c>
      <c r="O15" s="45">
        <v>27.4</v>
      </c>
      <c r="P15" s="45">
        <v>27.4</v>
      </c>
      <c r="Q15" s="45">
        <v>27.4</v>
      </c>
      <c r="R15" s="45">
        <v>25.6</v>
      </c>
      <c r="S15" s="45">
        <v>25.6</v>
      </c>
      <c r="T15" s="45">
        <v>25.6</v>
      </c>
      <c r="U15" s="45">
        <v>25.6</v>
      </c>
      <c r="V15" s="45">
        <v>25.6</v>
      </c>
      <c r="W15" s="45">
        <v>25.6</v>
      </c>
      <c r="X15" s="45">
        <v>25.6</v>
      </c>
      <c r="Y15" s="45">
        <v>25.6</v>
      </c>
      <c r="Z15" s="45">
        <v>25.6</v>
      </c>
      <c r="AA15" s="45">
        <v>25.6</v>
      </c>
      <c r="AB15" s="45">
        <v>25.6</v>
      </c>
      <c r="AC15" s="45">
        <v>25.6</v>
      </c>
      <c r="AD15" s="45">
        <v>25.6</v>
      </c>
      <c r="AE15" s="45">
        <v>25.6</v>
      </c>
      <c r="AF15" s="45">
        <v>25.6</v>
      </c>
      <c r="AG15" s="50">
        <v>45</v>
      </c>
      <c r="AH15" s="47">
        <f t="shared" si="2"/>
        <v>31.5</v>
      </c>
      <c r="AI15" s="48">
        <f t="shared" si="3"/>
        <v>25.6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25</v>
      </c>
      <c r="C16" s="45">
        <v>25</v>
      </c>
      <c r="D16" s="45">
        <v>25</v>
      </c>
      <c r="E16" s="45">
        <v>25</v>
      </c>
      <c r="F16" s="45">
        <v>25</v>
      </c>
      <c r="G16" s="45">
        <v>25</v>
      </c>
      <c r="H16" s="45">
        <v>25</v>
      </c>
      <c r="I16" s="45">
        <v>25</v>
      </c>
      <c r="J16" s="45">
        <v>25</v>
      </c>
      <c r="K16" s="45">
        <v>25</v>
      </c>
      <c r="L16" s="45">
        <v>25</v>
      </c>
      <c r="M16" s="45">
        <v>25</v>
      </c>
      <c r="N16" s="45">
        <v>25</v>
      </c>
      <c r="O16" s="45">
        <v>25</v>
      </c>
      <c r="P16" s="45">
        <v>25</v>
      </c>
      <c r="Q16" s="45">
        <v>25</v>
      </c>
      <c r="R16" s="45">
        <v>27</v>
      </c>
      <c r="S16" s="45">
        <v>27</v>
      </c>
      <c r="T16" s="45">
        <v>27</v>
      </c>
      <c r="U16" s="45">
        <v>27</v>
      </c>
      <c r="V16" s="45">
        <v>27</v>
      </c>
      <c r="W16" s="45">
        <v>27</v>
      </c>
      <c r="X16" s="45">
        <v>27</v>
      </c>
      <c r="Y16" s="45">
        <v>27</v>
      </c>
      <c r="Z16" s="45">
        <v>27</v>
      </c>
      <c r="AA16" s="45">
        <v>27</v>
      </c>
      <c r="AB16" s="45">
        <v>27</v>
      </c>
      <c r="AC16" s="45">
        <v>27</v>
      </c>
      <c r="AD16" s="45">
        <v>27</v>
      </c>
      <c r="AE16" s="45">
        <v>27</v>
      </c>
      <c r="AF16" s="45">
        <v>27</v>
      </c>
      <c r="AG16" s="50">
        <v>44</v>
      </c>
      <c r="AH16" s="47">
        <f>MAX(B16:AG16)</f>
        <v>44</v>
      </c>
      <c r="AI16" s="48">
        <f>MIN(B16:AG16)</f>
        <v>25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22</v>
      </c>
      <c r="C17" s="45">
        <v>22</v>
      </c>
      <c r="D17" s="45">
        <v>22</v>
      </c>
      <c r="E17" s="45">
        <v>22</v>
      </c>
      <c r="F17" s="45">
        <v>22</v>
      </c>
      <c r="G17" s="45">
        <v>22</v>
      </c>
      <c r="H17" s="45">
        <v>22</v>
      </c>
      <c r="I17" s="45">
        <v>22</v>
      </c>
      <c r="J17" s="45">
        <v>22</v>
      </c>
      <c r="K17" s="45">
        <v>22</v>
      </c>
      <c r="L17" s="45">
        <v>22</v>
      </c>
      <c r="M17" s="45">
        <v>22</v>
      </c>
      <c r="N17" s="45">
        <v>22</v>
      </c>
      <c r="O17" s="45">
        <v>22</v>
      </c>
      <c r="P17" s="45">
        <v>22</v>
      </c>
      <c r="Q17" s="45">
        <v>22</v>
      </c>
      <c r="R17" s="45">
        <v>22</v>
      </c>
      <c r="S17" s="45">
        <v>22</v>
      </c>
      <c r="T17" s="45">
        <v>22</v>
      </c>
      <c r="U17" s="45">
        <v>22</v>
      </c>
      <c r="V17" s="45">
        <v>22</v>
      </c>
      <c r="W17" s="45">
        <v>22</v>
      </c>
      <c r="X17" s="45">
        <v>22</v>
      </c>
      <c r="Y17" s="45">
        <v>22</v>
      </c>
      <c r="Z17" s="45">
        <v>22</v>
      </c>
      <c r="AA17" s="45">
        <v>22</v>
      </c>
      <c r="AB17" s="45">
        <v>22</v>
      </c>
      <c r="AC17" s="45">
        <v>22</v>
      </c>
      <c r="AD17" s="45">
        <v>22</v>
      </c>
      <c r="AE17" s="45">
        <v>22</v>
      </c>
      <c r="AF17" s="45">
        <v>22</v>
      </c>
      <c r="AG17" s="50">
        <v>42</v>
      </c>
      <c r="AH17" s="47">
        <f t="shared" si="2"/>
        <v>22</v>
      </c>
      <c r="AI17" s="48">
        <f t="shared" si="3"/>
        <v>22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14.4</v>
      </c>
      <c r="C19" s="45">
        <v>14.4</v>
      </c>
      <c r="D19" s="45">
        <v>14.4</v>
      </c>
      <c r="E19" s="45">
        <v>14.4</v>
      </c>
      <c r="F19" s="45">
        <v>14.4</v>
      </c>
      <c r="G19" s="45">
        <v>14.4</v>
      </c>
      <c r="H19" s="45">
        <v>14.4</v>
      </c>
      <c r="I19" s="45">
        <v>14.4</v>
      </c>
      <c r="J19" s="45">
        <v>14.4</v>
      </c>
      <c r="K19" s="45">
        <v>14.4</v>
      </c>
      <c r="L19" s="45">
        <v>14.4</v>
      </c>
      <c r="M19" s="45">
        <v>14.4</v>
      </c>
      <c r="N19" s="45">
        <v>14.4</v>
      </c>
      <c r="O19" s="45">
        <v>14.4</v>
      </c>
      <c r="P19" s="45">
        <v>14.4</v>
      </c>
      <c r="Q19" s="45">
        <v>14.4</v>
      </c>
      <c r="R19" s="45">
        <v>14.4</v>
      </c>
      <c r="S19" s="45">
        <v>14.4</v>
      </c>
      <c r="T19" s="45">
        <v>14.4</v>
      </c>
      <c r="U19" s="45">
        <v>14.4</v>
      </c>
      <c r="V19" s="45">
        <v>14.4</v>
      </c>
      <c r="W19" s="45">
        <v>14.4</v>
      </c>
      <c r="X19" s="45">
        <v>14.4</v>
      </c>
      <c r="Y19" s="45">
        <v>14.4</v>
      </c>
      <c r="Z19" s="45">
        <v>14.4</v>
      </c>
      <c r="AA19" s="45">
        <v>14.4</v>
      </c>
      <c r="AB19" s="45">
        <v>14.4</v>
      </c>
      <c r="AC19" s="45">
        <v>14.4</v>
      </c>
      <c r="AD19" s="45">
        <v>14.4</v>
      </c>
      <c r="AE19" s="45">
        <v>14.4</v>
      </c>
      <c r="AF19" s="45">
        <v>14.4</v>
      </c>
      <c r="AG19" s="50">
        <v>36</v>
      </c>
      <c r="AH19" s="47">
        <f t="shared" si="2"/>
        <v>14.4</v>
      </c>
      <c r="AI19" s="48">
        <f t="shared" si="3"/>
        <v>14.4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18.399999999999999</v>
      </c>
      <c r="C20" s="45">
        <v>18.399999999999999</v>
      </c>
      <c r="D20" s="45">
        <v>18.399999999999999</v>
      </c>
      <c r="E20" s="45">
        <v>18.399999999999999</v>
      </c>
      <c r="F20" s="45">
        <v>18.399999999999999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14.5</v>
      </c>
      <c r="S20" s="45">
        <v>14.5</v>
      </c>
      <c r="T20" s="45">
        <v>14.5</v>
      </c>
      <c r="U20" s="45">
        <v>14.5</v>
      </c>
      <c r="V20" s="45">
        <v>14.5</v>
      </c>
      <c r="W20" s="45">
        <v>14.5</v>
      </c>
      <c r="X20" s="45">
        <v>14.5</v>
      </c>
      <c r="Y20" s="45">
        <v>14.5</v>
      </c>
      <c r="Z20" s="45">
        <v>14.5</v>
      </c>
      <c r="AA20" s="45">
        <v>14.5</v>
      </c>
      <c r="AB20" s="45">
        <v>14.5</v>
      </c>
      <c r="AC20" s="45">
        <v>14.5</v>
      </c>
      <c r="AD20" s="45">
        <v>14.5</v>
      </c>
      <c r="AE20" s="45">
        <v>14.5</v>
      </c>
      <c r="AF20" s="45">
        <v>14.5</v>
      </c>
      <c r="AG20" s="51">
        <v>30</v>
      </c>
      <c r="AH20" s="47">
        <f t="shared" si="2"/>
        <v>18.399999999999999</v>
      </c>
      <c r="AI20" s="48">
        <f t="shared" si="3"/>
        <v>14.5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13.2</v>
      </c>
      <c r="C21" s="45">
        <v>14.3</v>
      </c>
      <c r="D21" s="45">
        <v>14.3</v>
      </c>
      <c r="E21" s="45">
        <v>14.3</v>
      </c>
      <c r="F21" s="45">
        <v>14.3</v>
      </c>
      <c r="G21" s="45">
        <v>14.3</v>
      </c>
      <c r="H21" s="45">
        <v>14.3</v>
      </c>
      <c r="I21" s="45">
        <v>14.3</v>
      </c>
      <c r="J21" s="45">
        <v>14.3</v>
      </c>
      <c r="K21" s="45">
        <v>14.3</v>
      </c>
      <c r="L21" s="45">
        <v>14.3</v>
      </c>
      <c r="M21" s="45">
        <v>14.3</v>
      </c>
      <c r="N21" s="45">
        <v>14.3</v>
      </c>
      <c r="O21" s="45">
        <v>14.3</v>
      </c>
      <c r="P21" s="45">
        <v>14.3</v>
      </c>
      <c r="Q21" s="45">
        <v>14.3</v>
      </c>
      <c r="R21" s="45">
        <v>12.2</v>
      </c>
      <c r="S21" s="45">
        <v>12.2</v>
      </c>
      <c r="T21" s="45">
        <v>12.2</v>
      </c>
      <c r="U21" s="45">
        <v>12.2</v>
      </c>
      <c r="V21" s="45">
        <v>12.2</v>
      </c>
      <c r="W21" s="45">
        <v>12.2</v>
      </c>
      <c r="X21" s="45">
        <v>12.2</v>
      </c>
      <c r="Y21" s="45">
        <v>12.2</v>
      </c>
      <c r="Z21" s="45">
        <v>12.2</v>
      </c>
      <c r="AA21" s="45">
        <v>12.2</v>
      </c>
      <c r="AB21" s="45">
        <v>12.2</v>
      </c>
      <c r="AC21" s="45">
        <v>12.2</v>
      </c>
      <c r="AD21" s="45">
        <v>12.2</v>
      </c>
      <c r="AE21" s="45">
        <v>12.2</v>
      </c>
      <c r="AF21" s="45">
        <v>12.2</v>
      </c>
      <c r="AG21" s="50">
        <v>24.2</v>
      </c>
      <c r="AH21" s="47">
        <f t="shared" si="2"/>
        <v>14.3</v>
      </c>
      <c r="AI21" s="48">
        <f t="shared" si="3"/>
        <v>12.2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10.9</v>
      </c>
      <c r="C22" s="45">
        <v>10.9</v>
      </c>
      <c r="D22" s="45">
        <v>10.9</v>
      </c>
      <c r="E22" s="45">
        <v>10.9</v>
      </c>
      <c r="F22" s="45">
        <v>10.9</v>
      </c>
      <c r="G22" s="45">
        <v>10.9</v>
      </c>
      <c r="H22" s="45">
        <v>10.9</v>
      </c>
      <c r="I22" s="45">
        <v>10.9</v>
      </c>
      <c r="J22" s="45">
        <v>10.9</v>
      </c>
      <c r="K22" s="45">
        <v>10.9</v>
      </c>
      <c r="L22" s="45">
        <v>10.9</v>
      </c>
      <c r="M22" s="45">
        <v>10.9</v>
      </c>
      <c r="N22" s="45">
        <v>10.9</v>
      </c>
      <c r="O22" s="45">
        <v>10.9</v>
      </c>
      <c r="P22" s="45">
        <v>10.9</v>
      </c>
      <c r="Q22" s="45">
        <v>10.9</v>
      </c>
      <c r="R22" s="45">
        <v>10.9</v>
      </c>
      <c r="S22" s="45">
        <v>10.9</v>
      </c>
      <c r="T22" s="45">
        <v>10.9</v>
      </c>
      <c r="U22" s="45">
        <v>10.9</v>
      </c>
      <c r="V22" s="45">
        <v>10.9</v>
      </c>
      <c r="W22" s="45">
        <v>10.9</v>
      </c>
      <c r="X22" s="45">
        <v>10.9</v>
      </c>
      <c r="Y22" s="45">
        <v>10.9</v>
      </c>
      <c r="Z22" s="45">
        <v>10.9</v>
      </c>
      <c r="AA22" s="45">
        <v>10.9</v>
      </c>
      <c r="AB22" s="45">
        <v>10.9</v>
      </c>
      <c r="AC22" s="45">
        <v>10.9</v>
      </c>
      <c r="AD22" s="45">
        <v>10.9</v>
      </c>
      <c r="AE22" s="45">
        <v>10.9</v>
      </c>
      <c r="AF22" s="45">
        <v>10.9</v>
      </c>
      <c r="AG22" s="50">
        <v>28</v>
      </c>
      <c r="AH22" s="47">
        <f t="shared" si="2"/>
        <v>10.9</v>
      </c>
      <c r="AI22" s="48">
        <f t="shared" si="3"/>
        <v>10.9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12</v>
      </c>
      <c r="C23" s="45">
        <v>12</v>
      </c>
      <c r="D23" s="45">
        <v>12</v>
      </c>
      <c r="E23" s="45">
        <v>12</v>
      </c>
      <c r="F23" s="45">
        <v>12</v>
      </c>
      <c r="G23" s="45">
        <v>12</v>
      </c>
      <c r="H23" s="45">
        <v>12</v>
      </c>
      <c r="I23" s="45">
        <v>12</v>
      </c>
      <c r="J23" s="45">
        <v>12</v>
      </c>
      <c r="K23" s="45">
        <v>12</v>
      </c>
      <c r="L23" s="45">
        <v>12</v>
      </c>
      <c r="M23" s="45">
        <v>12</v>
      </c>
      <c r="N23" s="45">
        <v>12</v>
      </c>
      <c r="O23" s="45">
        <v>12</v>
      </c>
      <c r="P23" s="45">
        <v>12</v>
      </c>
      <c r="Q23" s="45">
        <v>12</v>
      </c>
      <c r="R23" s="45">
        <v>12</v>
      </c>
      <c r="S23" s="45">
        <v>12</v>
      </c>
      <c r="T23" s="45">
        <v>12</v>
      </c>
      <c r="U23" s="45">
        <v>12</v>
      </c>
      <c r="V23" s="45">
        <v>12</v>
      </c>
      <c r="W23" s="45">
        <v>12</v>
      </c>
      <c r="X23" s="45">
        <v>12</v>
      </c>
      <c r="Y23" s="45">
        <v>12</v>
      </c>
      <c r="Z23" s="45">
        <v>12</v>
      </c>
      <c r="AA23" s="45">
        <v>12</v>
      </c>
      <c r="AB23" s="45">
        <v>12</v>
      </c>
      <c r="AC23" s="45">
        <v>12</v>
      </c>
      <c r="AD23" s="45">
        <v>12</v>
      </c>
      <c r="AE23" s="45">
        <v>12</v>
      </c>
      <c r="AF23" s="45">
        <v>12</v>
      </c>
      <c r="AG23" s="51">
        <v>30</v>
      </c>
      <c r="AH23" s="47">
        <f t="shared" si="2"/>
        <v>12</v>
      </c>
      <c r="AI23" s="48">
        <f t="shared" si="3"/>
        <v>12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14.8</v>
      </c>
      <c r="C24" s="45">
        <v>14.8</v>
      </c>
      <c r="D24" s="45">
        <v>14.8</v>
      </c>
      <c r="E24" s="45">
        <v>14.8</v>
      </c>
      <c r="F24" s="45">
        <v>14.8</v>
      </c>
      <c r="G24" s="45">
        <v>14.8</v>
      </c>
      <c r="H24" s="45">
        <v>14.8</v>
      </c>
      <c r="I24" s="45">
        <v>14.8</v>
      </c>
      <c r="J24" s="45">
        <v>14.8</v>
      </c>
      <c r="K24" s="45">
        <v>14.8</v>
      </c>
      <c r="L24" s="45">
        <v>14.8</v>
      </c>
      <c r="M24" s="45">
        <v>14.8</v>
      </c>
      <c r="N24" s="45">
        <v>14.8</v>
      </c>
      <c r="O24" s="45">
        <v>14.8</v>
      </c>
      <c r="P24" s="45">
        <v>14.8</v>
      </c>
      <c r="Q24" s="45">
        <v>14.8</v>
      </c>
      <c r="R24" s="45">
        <v>14.3</v>
      </c>
      <c r="S24" s="45">
        <v>14.3</v>
      </c>
      <c r="T24" s="45">
        <v>14.3</v>
      </c>
      <c r="U24" s="45">
        <v>14.3</v>
      </c>
      <c r="V24" s="45">
        <v>14.3</v>
      </c>
      <c r="W24" s="45">
        <v>14.3</v>
      </c>
      <c r="X24" s="45">
        <v>14.3</v>
      </c>
      <c r="Y24" s="45">
        <v>14.3</v>
      </c>
      <c r="Z24" s="45">
        <v>14.3</v>
      </c>
      <c r="AA24" s="45">
        <v>14.3</v>
      </c>
      <c r="AB24" s="45">
        <v>14.3</v>
      </c>
      <c r="AC24" s="45">
        <v>14.3</v>
      </c>
      <c r="AD24" s="45">
        <v>14.3</v>
      </c>
      <c r="AE24" s="45">
        <v>14.3</v>
      </c>
      <c r="AF24" s="45">
        <v>14.3</v>
      </c>
      <c r="AG24" s="50">
        <v>25</v>
      </c>
      <c r="AH24" s="47">
        <f t="shared" si="2"/>
        <v>14.8</v>
      </c>
      <c r="AI24" s="48">
        <f t="shared" si="3"/>
        <v>14.3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14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</v>
      </c>
      <c r="C26" s="45">
        <v>6</v>
      </c>
      <c r="D26" s="45">
        <v>6</v>
      </c>
      <c r="E26" s="45">
        <v>6</v>
      </c>
      <c r="F26" s="45">
        <v>6</v>
      </c>
      <c r="G26" s="45">
        <v>6</v>
      </c>
      <c r="H26" s="45">
        <v>6</v>
      </c>
      <c r="I26" s="45">
        <v>6</v>
      </c>
      <c r="J26" s="45">
        <v>6</v>
      </c>
      <c r="K26" s="45">
        <v>6</v>
      </c>
      <c r="L26" s="45">
        <v>6</v>
      </c>
      <c r="M26" s="45">
        <v>6</v>
      </c>
      <c r="N26" s="45">
        <v>6</v>
      </c>
      <c r="O26" s="45">
        <v>6</v>
      </c>
      <c r="P26" s="45">
        <v>6</v>
      </c>
      <c r="Q26" s="45">
        <v>6</v>
      </c>
      <c r="R26" s="45">
        <v>6</v>
      </c>
      <c r="S26" s="45">
        <v>6</v>
      </c>
      <c r="T26" s="45">
        <v>6</v>
      </c>
      <c r="U26" s="45">
        <v>6</v>
      </c>
      <c r="V26" s="45">
        <v>6</v>
      </c>
      <c r="W26" s="45">
        <v>6</v>
      </c>
      <c r="X26" s="45">
        <v>6</v>
      </c>
      <c r="Y26" s="45">
        <v>6</v>
      </c>
      <c r="Z26" s="45">
        <v>6</v>
      </c>
      <c r="AA26" s="45">
        <v>6</v>
      </c>
      <c r="AB26" s="45">
        <v>6</v>
      </c>
      <c r="AC26" s="45">
        <v>6</v>
      </c>
      <c r="AD26" s="45">
        <v>6</v>
      </c>
      <c r="AE26" s="45">
        <v>6</v>
      </c>
      <c r="AF26" s="45">
        <v>6</v>
      </c>
      <c r="AG26" s="50">
        <v>25</v>
      </c>
      <c r="AH26" s="47">
        <f t="shared" si="2"/>
        <v>6</v>
      </c>
      <c r="AI26" s="48">
        <f t="shared" si="3"/>
        <v>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18</v>
      </c>
      <c r="C27" s="45">
        <v>18</v>
      </c>
      <c r="D27" s="45">
        <v>18</v>
      </c>
      <c r="E27" s="45">
        <v>18</v>
      </c>
      <c r="F27" s="45">
        <v>18</v>
      </c>
      <c r="G27" s="45">
        <v>18</v>
      </c>
      <c r="H27" s="45">
        <v>18</v>
      </c>
      <c r="I27" s="45">
        <v>18</v>
      </c>
      <c r="J27" s="45">
        <v>18</v>
      </c>
      <c r="K27" s="45">
        <v>18</v>
      </c>
      <c r="L27" s="45">
        <v>18</v>
      </c>
      <c r="M27" s="45">
        <v>18</v>
      </c>
      <c r="N27" s="45">
        <v>18</v>
      </c>
      <c r="O27" s="45">
        <v>18</v>
      </c>
      <c r="P27" s="45">
        <v>18</v>
      </c>
      <c r="Q27" s="45">
        <v>18</v>
      </c>
      <c r="R27" s="45">
        <v>18</v>
      </c>
      <c r="S27" s="45">
        <v>18</v>
      </c>
      <c r="T27" s="45">
        <v>18</v>
      </c>
      <c r="U27" s="45">
        <v>18</v>
      </c>
      <c r="V27" s="45">
        <v>18</v>
      </c>
      <c r="W27" s="45">
        <v>18</v>
      </c>
      <c r="X27" s="45">
        <v>18</v>
      </c>
      <c r="Y27" s="45">
        <v>18</v>
      </c>
      <c r="Z27" s="45">
        <v>18</v>
      </c>
      <c r="AA27" s="45">
        <v>18</v>
      </c>
      <c r="AB27" s="45">
        <v>18</v>
      </c>
      <c r="AC27" s="45">
        <v>18</v>
      </c>
      <c r="AD27" s="45">
        <v>18</v>
      </c>
      <c r="AE27" s="45">
        <v>18</v>
      </c>
      <c r="AF27" s="45">
        <v>18</v>
      </c>
      <c r="AG27" s="50">
        <v>25</v>
      </c>
      <c r="AH27" s="47">
        <f t="shared" si="2"/>
        <v>18</v>
      </c>
      <c r="AI27" s="48">
        <f t="shared" si="3"/>
        <v>18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7.7</v>
      </c>
      <c r="S28" s="45">
        <v>7.7</v>
      </c>
      <c r="T28" s="45">
        <v>7.7</v>
      </c>
      <c r="U28" s="45">
        <v>7.7</v>
      </c>
      <c r="V28" s="45">
        <v>7.7</v>
      </c>
      <c r="W28" s="45">
        <v>7.7</v>
      </c>
      <c r="X28" s="45">
        <v>7.7</v>
      </c>
      <c r="Y28" s="45">
        <v>7.7</v>
      </c>
      <c r="Z28" s="45">
        <v>7.7</v>
      </c>
      <c r="AA28" s="45">
        <v>7.7</v>
      </c>
      <c r="AB28" s="45">
        <v>7.7</v>
      </c>
      <c r="AC28" s="45">
        <v>7.7</v>
      </c>
      <c r="AD28" s="45">
        <v>7.7</v>
      </c>
      <c r="AE28" s="45">
        <v>7.7</v>
      </c>
      <c r="AF28" s="45">
        <v>7.7</v>
      </c>
      <c r="AG28" s="50">
        <v>23.5</v>
      </c>
      <c r="AH28" s="47">
        <f t="shared" si="2"/>
        <v>8</v>
      </c>
      <c r="AI28" s="48">
        <f t="shared" si="3"/>
        <v>7.7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4.5</v>
      </c>
      <c r="C29" s="45">
        <v>4.5</v>
      </c>
      <c r="D29" s="45">
        <v>4.5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3.5</v>
      </c>
      <c r="P29" s="45">
        <v>3.5</v>
      </c>
      <c r="Q29" s="45">
        <v>3.5</v>
      </c>
      <c r="R29" s="45">
        <v>3.5</v>
      </c>
      <c r="S29" s="45">
        <v>3.5</v>
      </c>
      <c r="T29" s="45">
        <v>3.5</v>
      </c>
      <c r="U29" s="45">
        <v>3.5</v>
      </c>
      <c r="V29" s="45">
        <v>3.5</v>
      </c>
      <c r="W29" s="45">
        <v>3.5</v>
      </c>
      <c r="X29" s="45">
        <v>3.5</v>
      </c>
      <c r="Y29" s="45">
        <v>3.5</v>
      </c>
      <c r="Z29" s="45">
        <v>3.5</v>
      </c>
      <c r="AA29" s="45">
        <v>3.5</v>
      </c>
      <c r="AB29" s="45">
        <v>3.5</v>
      </c>
      <c r="AC29" s="45">
        <v>3.5</v>
      </c>
      <c r="AD29" s="45">
        <v>3.5</v>
      </c>
      <c r="AE29" s="45">
        <v>3.5</v>
      </c>
      <c r="AF29" s="45">
        <v>3.5</v>
      </c>
      <c r="AG29" s="50">
        <v>22.2</v>
      </c>
      <c r="AH29" s="47">
        <f t="shared" si="2"/>
        <v>4.5</v>
      </c>
      <c r="AI29" s="48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50">
        <v>22</v>
      </c>
      <c r="AH31" s="47">
        <f t="shared" si="2"/>
        <v>4.5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11</v>
      </c>
      <c r="C32" s="45">
        <v>11</v>
      </c>
      <c r="D32" s="45">
        <v>11</v>
      </c>
      <c r="E32" s="45">
        <v>11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>
        <v>8</v>
      </c>
      <c r="N32" s="45">
        <v>8</v>
      </c>
      <c r="O32" s="45">
        <v>8</v>
      </c>
      <c r="P32" s="45">
        <v>8</v>
      </c>
      <c r="Q32" s="45">
        <v>8</v>
      </c>
      <c r="R32" s="45">
        <v>3.9</v>
      </c>
      <c r="S32" s="45">
        <v>3.9</v>
      </c>
      <c r="T32" s="45">
        <v>3.9</v>
      </c>
      <c r="U32" s="45">
        <v>3.9</v>
      </c>
      <c r="V32" s="45">
        <v>3.9</v>
      </c>
      <c r="W32" s="45">
        <v>3.9</v>
      </c>
      <c r="X32" s="45">
        <v>3.9</v>
      </c>
      <c r="Y32" s="45">
        <v>3.9</v>
      </c>
      <c r="Z32" s="45">
        <v>3.9</v>
      </c>
      <c r="AA32" s="45">
        <v>3.9</v>
      </c>
      <c r="AB32" s="45">
        <v>3.9</v>
      </c>
      <c r="AC32" s="45">
        <v>3.9</v>
      </c>
      <c r="AD32" s="45">
        <v>3.9</v>
      </c>
      <c r="AE32" s="45">
        <v>3.9</v>
      </c>
      <c r="AF32" s="45">
        <v>3.9</v>
      </c>
      <c r="AG32" s="50">
        <v>22</v>
      </c>
      <c r="AH32" s="47">
        <f t="shared" si="2"/>
        <v>11</v>
      </c>
      <c r="AI32" s="48">
        <f t="shared" si="3"/>
        <v>3.9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14</v>
      </c>
      <c r="C33" s="45">
        <v>14</v>
      </c>
      <c r="D33" s="45">
        <v>14</v>
      </c>
      <c r="E33" s="45">
        <v>14</v>
      </c>
      <c r="F33" s="45">
        <v>14</v>
      </c>
      <c r="G33" s="45">
        <v>14</v>
      </c>
      <c r="H33" s="45">
        <v>14</v>
      </c>
      <c r="I33" s="45">
        <v>14</v>
      </c>
      <c r="J33" s="45">
        <v>14</v>
      </c>
      <c r="K33" s="45">
        <v>14</v>
      </c>
      <c r="L33" s="45">
        <v>14</v>
      </c>
      <c r="M33" s="45">
        <v>14</v>
      </c>
      <c r="N33" s="45">
        <v>14</v>
      </c>
      <c r="O33" s="45">
        <v>14</v>
      </c>
      <c r="P33" s="45">
        <v>14</v>
      </c>
      <c r="Q33" s="45">
        <v>14</v>
      </c>
      <c r="R33" s="45">
        <v>14</v>
      </c>
      <c r="S33" s="45">
        <v>14</v>
      </c>
      <c r="T33" s="45">
        <v>14</v>
      </c>
      <c r="U33" s="45">
        <v>14</v>
      </c>
      <c r="V33" s="45">
        <v>14</v>
      </c>
      <c r="W33" s="45">
        <v>14</v>
      </c>
      <c r="X33" s="45">
        <v>14</v>
      </c>
      <c r="Y33" s="45">
        <v>14</v>
      </c>
      <c r="Z33" s="45">
        <v>14</v>
      </c>
      <c r="AA33" s="45">
        <v>14</v>
      </c>
      <c r="AB33" s="45">
        <v>14</v>
      </c>
      <c r="AC33" s="45">
        <v>14</v>
      </c>
      <c r="AD33" s="45">
        <v>14</v>
      </c>
      <c r="AE33" s="45">
        <v>14</v>
      </c>
      <c r="AF33" s="45">
        <v>14</v>
      </c>
      <c r="AG33" s="50">
        <v>20</v>
      </c>
      <c r="AH33" s="47">
        <f t="shared" si="2"/>
        <v>14</v>
      </c>
      <c r="AI33" s="48">
        <f t="shared" si="3"/>
        <v>14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8.8000000000000007</v>
      </c>
      <c r="N34" s="45">
        <v>8.8000000000000007</v>
      </c>
      <c r="O34" s="45">
        <v>8.8000000000000007</v>
      </c>
      <c r="P34" s="45">
        <v>8.8000000000000007</v>
      </c>
      <c r="Q34" s="45">
        <v>8.8000000000000007</v>
      </c>
      <c r="R34" s="45">
        <v>8.6</v>
      </c>
      <c r="S34" s="45">
        <v>8.6</v>
      </c>
      <c r="T34" s="45">
        <v>8.6</v>
      </c>
      <c r="U34" s="45">
        <v>8.6</v>
      </c>
      <c r="V34" s="45">
        <v>8.6</v>
      </c>
      <c r="W34" s="45">
        <v>8.6</v>
      </c>
      <c r="X34" s="45">
        <v>8.6</v>
      </c>
      <c r="Y34" s="45">
        <v>8.6</v>
      </c>
      <c r="Z34" s="45">
        <v>8.6</v>
      </c>
      <c r="AA34" s="45">
        <v>8.6</v>
      </c>
      <c r="AB34" s="45">
        <v>8.6</v>
      </c>
      <c r="AC34" s="45">
        <v>8.6</v>
      </c>
      <c r="AD34" s="45">
        <v>8.6</v>
      </c>
      <c r="AE34" s="45">
        <v>8.6</v>
      </c>
      <c r="AF34" s="45">
        <v>8.6</v>
      </c>
      <c r="AG34" s="50">
        <v>18</v>
      </c>
      <c r="AH34" s="47">
        <f t="shared" si="2"/>
        <v>8.8000000000000007</v>
      </c>
      <c r="AI34" s="48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50">
        <v>13</v>
      </c>
      <c r="AH38" s="47">
        <f t="shared" si="2"/>
        <v>6</v>
      </c>
      <c r="AI38" s="48">
        <f t="shared" si="3"/>
        <v>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6.5</v>
      </c>
      <c r="C39" s="45">
        <v>6.5</v>
      </c>
      <c r="D39" s="45">
        <v>6.5</v>
      </c>
      <c r="E39" s="45">
        <v>6.5</v>
      </c>
      <c r="F39" s="45">
        <v>6.5</v>
      </c>
      <c r="G39" s="45">
        <v>6.5</v>
      </c>
      <c r="H39" s="45">
        <v>6.5</v>
      </c>
      <c r="I39" s="45">
        <v>6.5</v>
      </c>
      <c r="J39" s="45">
        <v>6.5</v>
      </c>
      <c r="K39" s="45">
        <v>6.5</v>
      </c>
      <c r="L39" s="45">
        <v>6.5</v>
      </c>
      <c r="M39" s="45">
        <v>6.5</v>
      </c>
      <c r="N39" s="45">
        <v>6.5</v>
      </c>
      <c r="O39" s="45">
        <v>6.5</v>
      </c>
      <c r="P39" s="45">
        <v>6.5</v>
      </c>
      <c r="Q39" s="45">
        <v>6.5</v>
      </c>
      <c r="R39" s="45">
        <v>6.5</v>
      </c>
      <c r="S39" s="45">
        <v>6.5</v>
      </c>
      <c r="T39" s="45">
        <v>6.5</v>
      </c>
      <c r="U39" s="45">
        <v>6.5</v>
      </c>
      <c r="V39" s="45">
        <v>6.5</v>
      </c>
      <c r="W39" s="45">
        <v>6.5</v>
      </c>
      <c r="X39" s="45">
        <v>6.5</v>
      </c>
      <c r="Y39" s="45">
        <v>6.5</v>
      </c>
      <c r="Z39" s="45">
        <v>6.5</v>
      </c>
      <c r="AA39" s="45">
        <v>6.5</v>
      </c>
      <c r="AB39" s="45">
        <v>6.5</v>
      </c>
      <c r="AC39" s="45">
        <v>6.5</v>
      </c>
      <c r="AD39" s="45">
        <v>6.5</v>
      </c>
      <c r="AE39" s="45">
        <v>6.5</v>
      </c>
      <c r="AF39" s="45">
        <v>6.5</v>
      </c>
      <c r="AG39" s="50">
        <v>12</v>
      </c>
      <c r="AH39" s="47">
        <f t="shared" si="2"/>
        <v>6.5</v>
      </c>
      <c r="AI39" s="48">
        <f t="shared" si="3"/>
        <v>6.5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>
        <v>3.6</v>
      </c>
      <c r="N45" s="45">
        <v>3.6</v>
      </c>
      <c r="O45" s="45">
        <v>3.6</v>
      </c>
      <c r="P45" s="45">
        <v>3.6</v>
      </c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3.6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5</v>
      </c>
      <c r="C46" s="45">
        <v>5</v>
      </c>
      <c r="D46" s="45">
        <v>5</v>
      </c>
      <c r="E46" s="45">
        <v>5</v>
      </c>
      <c r="F46" s="45">
        <v>5</v>
      </c>
      <c r="G46" s="45">
        <v>5</v>
      </c>
      <c r="H46" s="45">
        <v>5</v>
      </c>
      <c r="I46" s="45">
        <v>5</v>
      </c>
      <c r="J46" s="45">
        <v>5</v>
      </c>
      <c r="K46" s="45">
        <v>5</v>
      </c>
      <c r="L46" s="45">
        <v>5</v>
      </c>
      <c r="M46" s="45">
        <v>5</v>
      </c>
      <c r="N46" s="45">
        <v>5</v>
      </c>
      <c r="O46" s="45">
        <v>5</v>
      </c>
      <c r="P46" s="45">
        <v>5</v>
      </c>
      <c r="Q46" s="45">
        <v>5</v>
      </c>
      <c r="R46" s="45">
        <v>5</v>
      </c>
      <c r="S46" s="45">
        <v>5</v>
      </c>
      <c r="T46" s="45">
        <v>5</v>
      </c>
      <c r="U46" s="45">
        <v>5</v>
      </c>
      <c r="V46" s="45">
        <v>5</v>
      </c>
      <c r="W46" s="45">
        <v>5</v>
      </c>
      <c r="X46" s="45">
        <v>5</v>
      </c>
      <c r="Y46" s="45">
        <v>5</v>
      </c>
      <c r="Z46" s="45">
        <v>5</v>
      </c>
      <c r="AA46" s="45">
        <v>5</v>
      </c>
      <c r="AB46" s="45">
        <v>5</v>
      </c>
      <c r="AC46" s="45">
        <v>5</v>
      </c>
      <c r="AD46" s="45">
        <v>5</v>
      </c>
      <c r="AE46" s="45">
        <v>5</v>
      </c>
      <c r="AF46" s="45">
        <v>5</v>
      </c>
      <c r="AG46" s="54">
        <v>10</v>
      </c>
      <c r="AH46" s="47">
        <f t="shared" si="2"/>
        <v>5</v>
      </c>
      <c r="AI46" s="48">
        <f t="shared" si="3"/>
        <v>5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230</v>
      </c>
      <c r="C48" s="56">
        <v>230</v>
      </c>
      <c r="D48" s="56">
        <v>230</v>
      </c>
      <c r="E48" s="56">
        <v>230</v>
      </c>
      <c r="F48" s="56">
        <v>230</v>
      </c>
      <c r="G48" s="56">
        <v>230</v>
      </c>
      <c r="H48" s="56">
        <v>230</v>
      </c>
      <c r="I48" s="56">
        <v>230</v>
      </c>
      <c r="J48" s="56">
        <v>230</v>
      </c>
      <c r="K48" s="56">
        <v>230</v>
      </c>
      <c r="L48" s="56">
        <v>230</v>
      </c>
      <c r="M48" s="56">
        <v>230</v>
      </c>
      <c r="N48" s="56">
        <v>230</v>
      </c>
      <c r="O48" s="56">
        <v>230</v>
      </c>
      <c r="P48" s="56">
        <v>230</v>
      </c>
      <c r="Q48" s="56">
        <v>230</v>
      </c>
      <c r="R48" s="56">
        <v>230</v>
      </c>
      <c r="S48" s="56">
        <v>230</v>
      </c>
      <c r="T48" s="56">
        <v>230</v>
      </c>
      <c r="U48" s="56">
        <v>230</v>
      </c>
      <c r="V48" s="56">
        <v>230</v>
      </c>
      <c r="W48" s="56">
        <v>230</v>
      </c>
      <c r="X48" s="56">
        <v>230</v>
      </c>
      <c r="Y48" s="56">
        <v>230</v>
      </c>
      <c r="Z48" s="56">
        <v>230</v>
      </c>
      <c r="AA48" s="56">
        <v>230</v>
      </c>
      <c r="AB48" s="56">
        <v>230</v>
      </c>
      <c r="AC48" s="56">
        <v>230</v>
      </c>
      <c r="AD48" s="56">
        <v>230</v>
      </c>
      <c r="AE48" s="56">
        <v>230</v>
      </c>
      <c r="AF48" s="56">
        <v>230</v>
      </c>
      <c r="AG48" s="54">
        <v>85</v>
      </c>
      <c r="AH48" s="47">
        <f t="shared" si="2"/>
        <v>230</v>
      </c>
      <c r="AI48" s="48">
        <f t="shared" si="3"/>
        <v>230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>SUM(B11:B48)</f>
        <v>699.6</v>
      </c>
      <c r="C50" s="60">
        <f t="shared" ref="C50:AF50" si="4">SUM(C11:C48)</f>
        <v>700.7</v>
      </c>
      <c r="D50" s="60">
        <f t="shared" si="4"/>
        <v>700.7</v>
      </c>
      <c r="E50" s="60">
        <f t="shared" si="4"/>
        <v>696.2</v>
      </c>
      <c r="F50" s="60">
        <f t="shared" si="4"/>
        <v>689.10000000000014</v>
      </c>
      <c r="G50" s="60">
        <f t="shared" si="4"/>
        <v>685.7</v>
      </c>
      <c r="H50" s="60">
        <f t="shared" si="4"/>
        <v>685.7</v>
      </c>
      <c r="I50" s="60">
        <f t="shared" si="4"/>
        <v>685.7</v>
      </c>
      <c r="J50" s="60">
        <f t="shared" si="4"/>
        <v>685.7</v>
      </c>
      <c r="K50" s="60">
        <f t="shared" si="4"/>
        <v>685.7</v>
      </c>
      <c r="L50" s="60">
        <f t="shared" si="4"/>
        <v>685.7</v>
      </c>
      <c r="M50" s="60">
        <f t="shared" si="4"/>
        <v>694.50000000000011</v>
      </c>
      <c r="N50" s="60">
        <f t="shared" si="4"/>
        <v>694.50000000000011</v>
      </c>
      <c r="O50" s="60">
        <f t="shared" si="4"/>
        <v>698.00000000000011</v>
      </c>
      <c r="P50" s="60">
        <f t="shared" si="4"/>
        <v>698.00000000000011</v>
      </c>
      <c r="Q50" s="60">
        <f t="shared" si="4"/>
        <v>702.00000000000011</v>
      </c>
      <c r="R50" s="60">
        <f t="shared" si="4"/>
        <v>688.7</v>
      </c>
      <c r="S50" s="60">
        <f t="shared" si="4"/>
        <v>688.7</v>
      </c>
      <c r="T50" s="60">
        <f t="shared" si="4"/>
        <v>688.7</v>
      </c>
      <c r="U50" s="60">
        <f t="shared" si="4"/>
        <v>688.7</v>
      </c>
      <c r="V50" s="60">
        <f>SUM(V11:V48)</f>
        <v>688.7</v>
      </c>
      <c r="W50" s="60">
        <f t="shared" si="4"/>
        <v>688.7</v>
      </c>
      <c r="X50" s="60">
        <f>SUM(X11:X48)</f>
        <v>688.7</v>
      </c>
      <c r="Y50" s="60">
        <f t="shared" si="4"/>
        <v>688.7</v>
      </c>
      <c r="Z50" s="60">
        <f t="shared" si="4"/>
        <v>688.7</v>
      </c>
      <c r="AA50" s="60">
        <v>688.7</v>
      </c>
      <c r="AB50" s="60">
        <f t="shared" si="4"/>
        <v>688.7</v>
      </c>
      <c r="AC50" s="60">
        <f t="shared" si="4"/>
        <v>688.7</v>
      </c>
      <c r="AD50" s="60">
        <f t="shared" si="4"/>
        <v>688.7</v>
      </c>
      <c r="AE50" s="60">
        <f t="shared" si="4"/>
        <v>688.7</v>
      </c>
      <c r="AF50" s="60">
        <f t="shared" si="4"/>
        <v>688.7</v>
      </c>
      <c r="AG50" s="61">
        <f>SUM(AG13:AG48)</f>
        <v>922.14</v>
      </c>
      <c r="AH50" s="47">
        <f t="shared" si="2"/>
        <v>702.00000000000011</v>
      </c>
      <c r="AI50" s="48">
        <f t="shared" si="3"/>
        <v>685.7</v>
      </c>
      <c r="AK50" s="49"/>
    </row>
    <row r="51" spans="1:41" x14ac:dyDescent="0.25">
      <c r="A51" s="62" t="s">
        <v>57</v>
      </c>
      <c r="B51" s="45">
        <v>400</v>
      </c>
      <c r="C51" s="45">
        <v>400</v>
      </c>
      <c r="D51" s="45">
        <v>370</v>
      </c>
      <c r="E51" s="45">
        <v>252</v>
      </c>
      <c r="F51" s="45">
        <v>200</v>
      </c>
      <c r="G51" s="45">
        <v>100</v>
      </c>
      <c r="H51" s="45">
        <v>150</v>
      </c>
      <c r="I51" s="45">
        <v>120</v>
      </c>
      <c r="J51" s="45">
        <v>140</v>
      </c>
      <c r="K51" s="45">
        <v>90</v>
      </c>
      <c r="L51" s="45">
        <v>90</v>
      </c>
      <c r="M51" s="45">
        <v>60</v>
      </c>
      <c r="N51" s="63">
        <v>40</v>
      </c>
      <c r="O51" s="63">
        <v>100</v>
      </c>
      <c r="P51" s="63">
        <v>70</v>
      </c>
      <c r="Q51" s="63">
        <v>90</v>
      </c>
      <c r="R51" s="63">
        <v>105</v>
      </c>
      <c r="S51" s="45">
        <v>100</v>
      </c>
      <c r="T51" s="45">
        <v>110</v>
      </c>
      <c r="U51" s="45">
        <v>30</v>
      </c>
      <c r="V51" s="45">
        <v>70</v>
      </c>
      <c r="W51" s="45">
        <v>30</v>
      </c>
      <c r="X51" s="45">
        <v>80</v>
      </c>
      <c r="Y51" s="45">
        <v>70</v>
      </c>
      <c r="Z51" s="45">
        <v>240</v>
      </c>
      <c r="AA51" s="45">
        <v>320</v>
      </c>
      <c r="AB51" s="45">
        <v>345</v>
      </c>
      <c r="AC51" s="45">
        <v>363</v>
      </c>
      <c r="AD51" s="45">
        <v>380</v>
      </c>
      <c r="AE51" s="45">
        <v>310</v>
      </c>
      <c r="AF51" s="45">
        <v>345</v>
      </c>
      <c r="AG51" s="51">
        <v>456</v>
      </c>
      <c r="AH51" s="47">
        <f t="shared" si="2"/>
        <v>400</v>
      </c>
      <c r="AI51" s="48">
        <f t="shared" si="3"/>
        <v>30</v>
      </c>
      <c r="AK51" s="49"/>
    </row>
    <row r="52" spans="1:41" x14ac:dyDescent="0.25">
      <c r="A52" s="64" t="s">
        <v>58</v>
      </c>
      <c r="B52" s="65">
        <v>42</v>
      </c>
      <c r="C52" s="65">
        <v>42</v>
      </c>
      <c r="D52" s="65">
        <v>42</v>
      </c>
      <c r="E52" s="65">
        <v>42</v>
      </c>
      <c r="F52" s="65">
        <v>42</v>
      </c>
      <c r="G52" s="65">
        <v>42</v>
      </c>
      <c r="H52" s="65">
        <v>42</v>
      </c>
      <c r="I52" s="65">
        <v>42</v>
      </c>
      <c r="J52" s="65">
        <v>42</v>
      </c>
      <c r="K52" s="65">
        <v>42</v>
      </c>
      <c r="L52" s="65">
        <v>42</v>
      </c>
      <c r="M52" s="65">
        <v>45.5</v>
      </c>
      <c r="N52" s="65">
        <v>45</v>
      </c>
      <c r="O52" s="65">
        <v>44</v>
      </c>
      <c r="P52" s="65">
        <v>43</v>
      </c>
      <c r="Q52" s="65">
        <v>42</v>
      </c>
      <c r="R52" s="65">
        <v>42</v>
      </c>
      <c r="S52" s="65">
        <v>42</v>
      </c>
      <c r="T52" s="65">
        <v>42</v>
      </c>
      <c r="U52" s="65">
        <v>42</v>
      </c>
      <c r="V52" s="65">
        <v>42</v>
      </c>
      <c r="W52" s="65">
        <v>42</v>
      </c>
      <c r="X52" s="65">
        <v>42</v>
      </c>
      <c r="Y52" s="65">
        <v>42</v>
      </c>
      <c r="Z52" s="65">
        <v>42</v>
      </c>
      <c r="AA52" s="65">
        <v>42</v>
      </c>
      <c r="AB52" s="65">
        <v>42</v>
      </c>
      <c r="AC52" s="65">
        <v>42</v>
      </c>
      <c r="AD52" s="65">
        <v>42</v>
      </c>
      <c r="AE52" s="65">
        <v>42</v>
      </c>
      <c r="AF52" s="65">
        <v>42</v>
      </c>
      <c r="AG52" s="54">
        <v>60</v>
      </c>
      <c r="AH52" s="47">
        <f t="shared" si="2"/>
        <v>45.5</v>
      </c>
      <c r="AI52" s="48">
        <f t="shared" si="3"/>
        <v>42</v>
      </c>
      <c r="AK52" s="49"/>
    </row>
    <row r="53" spans="1:41" ht="15.75" thickBot="1" x14ac:dyDescent="0.3">
      <c r="A53" s="66" t="s">
        <v>59</v>
      </c>
      <c r="B53" s="67">
        <v>21</v>
      </c>
      <c r="C53" s="67">
        <v>21</v>
      </c>
      <c r="D53" s="67">
        <v>21</v>
      </c>
      <c r="E53" s="67">
        <v>21</v>
      </c>
      <c r="F53" s="67">
        <v>22</v>
      </c>
      <c r="G53" s="67">
        <v>22</v>
      </c>
      <c r="H53" s="67">
        <v>22</v>
      </c>
      <c r="I53" s="67">
        <v>22</v>
      </c>
      <c r="J53" s="67">
        <v>22</v>
      </c>
      <c r="K53" s="67">
        <v>22</v>
      </c>
      <c r="L53" s="67">
        <v>22</v>
      </c>
      <c r="M53" s="67">
        <v>21.3</v>
      </c>
      <c r="N53" s="67">
        <v>20.100000000000001</v>
      </c>
      <c r="O53" s="67">
        <v>20.100000000000001</v>
      </c>
      <c r="P53" s="67">
        <v>18.100000000000001</v>
      </c>
      <c r="Q53" s="67">
        <v>18</v>
      </c>
      <c r="R53" s="67">
        <v>18</v>
      </c>
      <c r="S53" s="67">
        <v>18</v>
      </c>
      <c r="T53" s="67">
        <v>18</v>
      </c>
      <c r="U53" s="67">
        <v>18</v>
      </c>
      <c r="V53" s="67">
        <v>18</v>
      </c>
      <c r="W53" s="67">
        <v>18</v>
      </c>
      <c r="X53" s="67">
        <v>18</v>
      </c>
      <c r="Y53" s="67">
        <v>18</v>
      </c>
      <c r="Z53" s="67">
        <v>18</v>
      </c>
      <c r="AA53" s="67">
        <v>18</v>
      </c>
      <c r="AB53" s="67">
        <v>18</v>
      </c>
      <c r="AC53" s="67">
        <v>18</v>
      </c>
      <c r="AD53" s="67">
        <v>18</v>
      </c>
      <c r="AE53" s="67">
        <v>22.4</v>
      </c>
      <c r="AF53" s="67">
        <v>22.5</v>
      </c>
      <c r="AG53" s="68">
        <v>22.1</v>
      </c>
      <c r="AH53" s="47">
        <f t="shared" si="2"/>
        <v>22.5</v>
      </c>
      <c r="AI53" s="48">
        <f t="shared" si="3"/>
        <v>18</v>
      </c>
      <c r="AK53" s="49"/>
    </row>
    <row r="54" spans="1:41" ht="15.75" thickBot="1" x14ac:dyDescent="0.3">
      <c r="A54" s="69" t="s">
        <v>60</v>
      </c>
      <c r="B54" s="60">
        <f>SUM(B51:B53)</f>
        <v>463</v>
      </c>
      <c r="C54" s="60">
        <f t="shared" ref="C54:AG54" si="5">SUM(C51:C53)</f>
        <v>463</v>
      </c>
      <c r="D54" s="60">
        <f t="shared" si="5"/>
        <v>433</v>
      </c>
      <c r="E54" s="60">
        <f t="shared" si="5"/>
        <v>315</v>
      </c>
      <c r="F54" s="60">
        <f t="shared" si="5"/>
        <v>264</v>
      </c>
      <c r="G54" s="60">
        <f t="shared" si="5"/>
        <v>164</v>
      </c>
      <c r="H54" s="60">
        <f t="shared" si="5"/>
        <v>214</v>
      </c>
      <c r="I54" s="60">
        <f t="shared" si="5"/>
        <v>184</v>
      </c>
      <c r="J54" s="60">
        <f t="shared" si="5"/>
        <v>204</v>
      </c>
      <c r="K54" s="60">
        <f t="shared" si="5"/>
        <v>154</v>
      </c>
      <c r="L54" s="60">
        <f t="shared" si="5"/>
        <v>154</v>
      </c>
      <c r="M54" s="60">
        <f t="shared" si="5"/>
        <v>126.8</v>
      </c>
      <c r="N54" s="60">
        <f t="shared" si="5"/>
        <v>105.1</v>
      </c>
      <c r="O54" s="60">
        <f t="shared" si="5"/>
        <v>164.1</v>
      </c>
      <c r="P54" s="60">
        <f t="shared" si="5"/>
        <v>131.1</v>
      </c>
      <c r="Q54" s="60">
        <f t="shared" si="5"/>
        <v>150</v>
      </c>
      <c r="R54" s="60">
        <f t="shared" si="5"/>
        <v>165</v>
      </c>
      <c r="S54" s="60">
        <f t="shared" si="5"/>
        <v>160</v>
      </c>
      <c r="T54" s="60">
        <f t="shared" si="5"/>
        <v>170</v>
      </c>
      <c r="U54" s="60">
        <f t="shared" si="5"/>
        <v>90</v>
      </c>
      <c r="V54" s="60">
        <f t="shared" si="5"/>
        <v>130</v>
      </c>
      <c r="W54" s="60">
        <f t="shared" si="5"/>
        <v>90</v>
      </c>
      <c r="X54" s="60">
        <f t="shared" si="5"/>
        <v>140</v>
      </c>
      <c r="Y54" s="60">
        <f t="shared" si="5"/>
        <v>130</v>
      </c>
      <c r="Z54" s="60">
        <f t="shared" si="5"/>
        <v>300</v>
      </c>
      <c r="AA54" s="60">
        <v>380</v>
      </c>
      <c r="AB54" s="60">
        <f t="shared" si="5"/>
        <v>405</v>
      </c>
      <c r="AC54" s="60">
        <f t="shared" si="5"/>
        <v>423</v>
      </c>
      <c r="AD54" s="60">
        <f t="shared" si="5"/>
        <v>440</v>
      </c>
      <c r="AE54" s="60">
        <f t="shared" si="5"/>
        <v>374.4</v>
      </c>
      <c r="AF54" s="60">
        <f t="shared" si="5"/>
        <v>409.5</v>
      </c>
      <c r="AG54" s="61">
        <f t="shared" si="5"/>
        <v>538.1</v>
      </c>
      <c r="AH54" s="47">
        <f t="shared" si="2"/>
        <v>463</v>
      </c>
      <c r="AI54" s="48">
        <f t="shared" si="3"/>
        <v>90</v>
      </c>
      <c r="AK54" s="49"/>
    </row>
    <row r="55" spans="1:41" x14ac:dyDescent="0.25">
      <c r="A55" s="44" t="s">
        <v>61</v>
      </c>
      <c r="B55" s="45">
        <v>111</v>
      </c>
      <c r="C55" s="45">
        <v>105</v>
      </c>
      <c r="D55" s="45">
        <v>105</v>
      </c>
      <c r="E55" s="45">
        <v>90</v>
      </c>
      <c r="F55" s="45">
        <v>71.3</v>
      </c>
      <c r="G55" s="45">
        <v>85.9</v>
      </c>
      <c r="H55" s="45">
        <v>96</v>
      </c>
      <c r="I55" s="45">
        <v>85.6</v>
      </c>
      <c r="J55" s="45">
        <v>49</v>
      </c>
      <c r="K55" s="45">
        <v>49</v>
      </c>
      <c r="L55" s="45">
        <v>49</v>
      </c>
      <c r="M55" s="45">
        <v>48.9</v>
      </c>
      <c r="N55" s="45">
        <v>48.9</v>
      </c>
      <c r="O55" s="45">
        <v>48.9</v>
      </c>
      <c r="P55" s="45">
        <v>122</v>
      </c>
      <c r="Q55" s="45">
        <v>143.80000000000001</v>
      </c>
      <c r="R55" s="45">
        <v>143.19999999999999</v>
      </c>
      <c r="S55" s="45">
        <v>130</v>
      </c>
      <c r="T55" s="45">
        <v>110</v>
      </c>
      <c r="U55" s="45">
        <v>114</v>
      </c>
      <c r="V55" s="45">
        <v>114</v>
      </c>
      <c r="W55" s="45">
        <v>90</v>
      </c>
      <c r="X55" s="45">
        <v>90</v>
      </c>
      <c r="Y55" s="45">
        <v>80</v>
      </c>
      <c r="Z55" s="45">
        <v>126.4</v>
      </c>
      <c r="AA55" s="45">
        <v>132</v>
      </c>
      <c r="AB55" s="45">
        <v>140.19999999999999</v>
      </c>
      <c r="AC55" s="45">
        <v>117</v>
      </c>
      <c r="AD55" s="45">
        <v>112</v>
      </c>
      <c r="AE55" s="45">
        <v>102</v>
      </c>
      <c r="AF55" s="45">
        <v>96</v>
      </c>
      <c r="AG55" s="51">
        <v>144</v>
      </c>
      <c r="AH55" s="47">
        <f t="shared" si="2"/>
        <v>143.80000000000001</v>
      </c>
      <c r="AI55" s="48">
        <f t="shared" si="3"/>
        <v>48.9</v>
      </c>
      <c r="AK55" s="49"/>
    </row>
    <row r="56" spans="1:41" x14ac:dyDescent="0.25">
      <c r="A56" s="53" t="s">
        <v>62</v>
      </c>
      <c r="B56" s="45">
        <v>58.9</v>
      </c>
      <c r="C56" s="45">
        <v>58.9</v>
      </c>
      <c r="D56" s="45">
        <v>58.9</v>
      </c>
      <c r="E56" s="45">
        <v>60.1</v>
      </c>
      <c r="F56" s="65">
        <v>58.9</v>
      </c>
      <c r="G56" s="65">
        <v>60</v>
      </c>
      <c r="H56" s="65">
        <v>59.3</v>
      </c>
      <c r="I56" s="65">
        <v>60.9</v>
      </c>
      <c r="J56" s="65">
        <v>60.9</v>
      </c>
      <c r="K56" s="65">
        <v>60.9</v>
      </c>
      <c r="L56" s="65">
        <v>59.5</v>
      </c>
      <c r="M56" s="65">
        <v>57.5</v>
      </c>
      <c r="N56" s="65">
        <v>59.4</v>
      </c>
      <c r="O56" s="65">
        <v>59.4</v>
      </c>
      <c r="P56" s="65">
        <v>58.7</v>
      </c>
      <c r="Q56" s="65">
        <v>61.7</v>
      </c>
      <c r="R56" s="65">
        <v>69.5</v>
      </c>
      <c r="S56" s="45">
        <v>60</v>
      </c>
      <c r="T56" s="45">
        <v>54</v>
      </c>
      <c r="U56" s="45">
        <v>43.2</v>
      </c>
      <c r="V56" s="45">
        <v>43.2</v>
      </c>
      <c r="W56" s="45">
        <v>43.2</v>
      </c>
      <c r="X56" s="45">
        <v>35</v>
      </c>
      <c r="Y56" s="45">
        <v>23.6</v>
      </c>
      <c r="Z56" s="45">
        <v>0</v>
      </c>
      <c r="AA56" s="45">
        <v>43.2</v>
      </c>
      <c r="AB56" s="45">
        <v>70.3</v>
      </c>
      <c r="AC56" s="45">
        <v>58</v>
      </c>
      <c r="AD56" s="65">
        <v>60</v>
      </c>
      <c r="AE56" s="45">
        <v>60.2</v>
      </c>
      <c r="AF56" s="45">
        <v>50</v>
      </c>
      <c r="AG56" s="54">
        <v>70</v>
      </c>
      <c r="AH56" s="47">
        <f t="shared" si="2"/>
        <v>70.3</v>
      </c>
      <c r="AI56" s="48">
        <f t="shared" si="3"/>
        <v>0</v>
      </c>
      <c r="AK56" s="49"/>
    </row>
    <row r="57" spans="1:41" x14ac:dyDescent="0.25">
      <c r="A57" s="53" t="s">
        <v>63</v>
      </c>
      <c r="B57" s="45">
        <v>68.3</v>
      </c>
      <c r="C57" s="45">
        <v>68.3</v>
      </c>
      <c r="D57" s="45">
        <v>68.3</v>
      </c>
      <c r="E57" s="45">
        <v>46.2</v>
      </c>
      <c r="F57" s="65">
        <v>68.7</v>
      </c>
      <c r="G57" s="65">
        <v>69.599999999999994</v>
      </c>
      <c r="H57" s="65">
        <v>69.400000000000006</v>
      </c>
      <c r="I57" s="65">
        <v>69</v>
      </c>
      <c r="J57" s="65">
        <v>69</v>
      </c>
      <c r="K57" s="65">
        <v>69</v>
      </c>
      <c r="L57" s="65">
        <v>68.400000000000006</v>
      </c>
      <c r="M57" s="65">
        <v>68.5</v>
      </c>
      <c r="N57" s="65">
        <v>68.7</v>
      </c>
      <c r="O57" s="65">
        <v>68.7</v>
      </c>
      <c r="P57" s="65">
        <v>68.599999999999994</v>
      </c>
      <c r="Q57" s="65">
        <v>67.900000000000006</v>
      </c>
      <c r="R57" s="65">
        <v>61.2</v>
      </c>
      <c r="S57" s="45">
        <v>61</v>
      </c>
      <c r="T57" s="45">
        <v>61</v>
      </c>
      <c r="U57" s="45">
        <v>51</v>
      </c>
      <c r="V57" s="45">
        <v>51</v>
      </c>
      <c r="W57" s="45">
        <v>51</v>
      </c>
      <c r="X57" s="45">
        <v>34</v>
      </c>
      <c r="Y57" s="45">
        <v>35.200000000000003</v>
      </c>
      <c r="Z57" s="45">
        <v>63.9</v>
      </c>
      <c r="AA57" s="45">
        <v>68.5</v>
      </c>
      <c r="AB57" s="45">
        <v>68</v>
      </c>
      <c r="AC57" s="45">
        <v>68</v>
      </c>
      <c r="AD57" s="65">
        <v>64.7</v>
      </c>
      <c r="AE57" s="45">
        <v>64</v>
      </c>
      <c r="AF57" s="45">
        <v>37</v>
      </c>
      <c r="AG57" s="54">
        <v>69</v>
      </c>
      <c r="AH57" s="47">
        <f t="shared" si="2"/>
        <v>69.599999999999994</v>
      </c>
      <c r="AI57" s="48">
        <f t="shared" si="3"/>
        <v>34</v>
      </c>
      <c r="AK57" s="49"/>
    </row>
    <row r="58" spans="1:41" x14ac:dyDescent="0.25">
      <c r="A58" s="53" t="s">
        <v>64</v>
      </c>
      <c r="B58" s="65">
        <v>60.4</v>
      </c>
      <c r="C58" s="65">
        <v>60.4</v>
      </c>
      <c r="D58" s="65">
        <v>60.4</v>
      </c>
      <c r="E58" s="65">
        <v>60.4</v>
      </c>
      <c r="F58" s="56">
        <v>60.2</v>
      </c>
      <c r="G58" s="56">
        <v>60.4</v>
      </c>
      <c r="H58" s="56">
        <v>60.4</v>
      </c>
      <c r="I58" s="56">
        <v>60.4</v>
      </c>
      <c r="J58" s="56">
        <v>60.4</v>
      </c>
      <c r="K58" s="56">
        <v>60.4</v>
      </c>
      <c r="L58" s="56">
        <v>60.9</v>
      </c>
      <c r="M58" s="65">
        <v>60.7</v>
      </c>
      <c r="N58" s="65">
        <v>60.7</v>
      </c>
      <c r="O58" s="65">
        <v>60.7</v>
      </c>
      <c r="P58" s="65">
        <v>60.4</v>
      </c>
      <c r="Q58" s="65">
        <v>60.4</v>
      </c>
      <c r="R58" s="65">
        <v>60.7</v>
      </c>
      <c r="S58" s="65">
        <v>60.7</v>
      </c>
      <c r="T58" s="65">
        <v>60.7</v>
      </c>
      <c r="U58" s="65">
        <v>60.7</v>
      </c>
      <c r="V58" s="65">
        <v>60.7</v>
      </c>
      <c r="W58" s="65">
        <v>60.7</v>
      </c>
      <c r="X58" s="65">
        <v>60.7</v>
      </c>
      <c r="Y58" s="65">
        <v>60.7</v>
      </c>
      <c r="Z58" s="45">
        <v>60.4</v>
      </c>
      <c r="AA58" s="45">
        <v>60.9</v>
      </c>
      <c r="AB58" s="45">
        <v>60.9</v>
      </c>
      <c r="AC58" s="45">
        <v>60.9</v>
      </c>
      <c r="AD58" s="65">
        <v>60.9</v>
      </c>
      <c r="AE58" s="65">
        <v>60.9</v>
      </c>
      <c r="AF58" s="65">
        <v>60.9</v>
      </c>
      <c r="AG58" s="54">
        <v>60</v>
      </c>
      <c r="AH58" s="47">
        <f t="shared" si="2"/>
        <v>60.9</v>
      </c>
      <c r="AI58" s="48">
        <f t="shared" si="3"/>
        <v>60.2</v>
      </c>
      <c r="AK58" s="49"/>
    </row>
    <row r="59" spans="1:41" x14ac:dyDescent="0.25">
      <c r="A59" s="53" t="s">
        <v>65</v>
      </c>
      <c r="B59" s="65">
        <v>15</v>
      </c>
      <c r="C59" s="65">
        <v>15</v>
      </c>
      <c r="D59" s="65">
        <v>15</v>
      </c>
      <c r="E59" s="65">
        <v>12</v>
      </c>
      <c r="F59" s="56">
        <v>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15</v>
      </c>
      <c r="M59" s="56">
        <v>15</v>
      </c>
      <c r="N59" s="56">
        <v>15</v>
      </c>
      <c r="O59" s="56">
        <v>15</v>
      </c>
      <c r="P59" s="65">
        <v>23</v>
      </c>
      <c r="Q59" s="65">
        <v>23</v>
      </c>
      <c r="R59" s="65">
        <v>26</v>
      </c>
      <c r="S59" s="65">
        <v>26</v>
      </c>
      <c r="T59" s="65">
        <v>26</v>
      </c>
      <c r="U59" s="65">
        <v>26</v>
      </c>
      <c r="V59" s="65">
        <v>10</v>
      </c>
      <c r="W59" s="65">
        <v>10</v>
      </c>
      <c r="X59" s="65">
        <v>15</v>
      </c>
      <c r="Y59" s="65">
        <v>15</v>
      </c>
      <c r="Z59" s="45">
        <v>15</v>
      </c>
      <c r="AA59" s="45">
        <v>0</v>
      </c>
      <c r="AB59" s="45">
        <v>15</v>
      </c>
      <c r="AC59" s="45">
        <v>15</v>
      </c>
      <c r="AD59" s="65">
        <v>10</v>
      </c>
      <c r="AE59" s="65">
        <v>10</v>
      </c>
      <c r="AF59" s="65">
        <v>10</v>
      </c>
      <c r="AG59" s="54">
        <v>30</v>
      </c>
      <c r="AH59" s="47">
        <f t="shared" si="2"/>
        <v>26</v>
      </c>
      <c r="AI59" s="48">
        <f t="shared" si="3"/>
        <v>0</v>
      </c>
      <c r="AK59" s="49"/>
    </row>
    <row r="60" spans="1:41" x14ac:dyDescent="0.25">
      <c r="A60" s="53" t="s">
        <v>66</v>
      </c>
      <c r="B60" s="45">
        <v>0</v>
      </c>
      <c r="C60" s="45">
        <v>0</v>
      </c>
      <c r="D60" s="45">
        <v>0</v>
      </c>
      <c r="E60" s="4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2</v>
      </c>
      <c r="K60" s="65">
        <v>4</v>
      </c>
      <c r="L60" s="65">
        <v>5.8</v>
      </c>
      <c r="M60" s="65">
        <v>8.8000000000000007</v>
      </c>
      <c r="N60" s="65">
        <v>8.8000000000000007</v>
      </c>
      <c r="O60" s="65">
        <v>14.8</v>
      </c>
      <c r="P60" s="65">
        <v>16.8</v>
      </c>
      <c r="Q60" s="65">
        <v>17</v>
      </c>
      <c r="R60" s="65">
        <v>16</v>
      </c>
      <c r="S60" s="65">
        <v>16</v>
      </c>
      <c r="T60" s="65">
        <v>16</v>
      </c>
      <c r="U60" s="65">
        <v>16</v>
      </c>
      <c r="V60" s="65">
        <v>16</v>
      </c>
      <c r="W60" s="65">
        <v>16</v>
      </c>
      <c r="X60" s="65">
        <v>6</v>
      </c>
      <c r="Y60" s="65">
        <v>6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17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>
        <v>17</v>
      </c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15</v>
      </c>
      <c r="N61" s="65">
        <v>15</v>
      </c>
      <c r="O61" s="65">
        <v>15</v>
      </c>
      <c r="P61" s="65">
        <v>15</v>
      </c>
      <c r="Q61" s="65">
        <v>15</v>
      </c>
      <c r="R61" s="65">
        <v>15</v>
      </c>
      <c r="S61" s="65">
        <v>15</v>
      </c>
      <c r="T61" s="65">
        <v>15</v>
      </c>
      <c r="U61" s="65">
        <v>15</v>
      </c>
      <c r="V61" s="65">
        <v>15</v>
      </c>
      <c r="W61" s="65">
        <v>15</v>
      </c>
      <c r="X61" s="65">
        <v>15</v>
      </c>
      <c r="Y61" s="65">
        <v>15</v>
      </c>
      <c r="Z61" s="65">
        <v>15</v>
      </c>
      <c r="AA61" s="65">
        <v>15</v>
      </c>
      <c r="AB61" s="65">
        <v>15</v>
      </c>
      <c r="AC61" s="65">
        <v>15</v>
      </c>
      <c r="AD61" s="65">
        <v>15</v>
      </c>
      <c r="AE61" s="65">
        <v>15</v>
      </c>
      <c r="AF61" s="65">
        <v>15</v>
      </c>
      <c r="AG61" s="54">
        <v>24</v>
      </c>
      <c r="AH61" s="47">
        <f t="shared" si="2"/>
        <v>17</v>
      </c>
      <c r="AI61" s="48">
        <f t="shared" si="3"/>
        <v>15</v>
      </c>
      <c r="AK61" s="49"/>
    </row>
    <row r="62" spans="1:41" x14ac:dyDescent="0.25">
      <c r="A62" s="53" t="s">
        <v>68</v>
      </c>
      <c r="B62" s="65">
        <v>2</v>
      </c>
      <c r="C62" s="65">
        <v>2</v>
      </c>
      <c r="D62" s="65">
        <v>2</v>
      </c>
      <c r="E62" s="65">
        <v>2</v>
      </c>
      <c r="F62" s="65">
        <v>2</v>
      </c>
      <c r="G62" s="65">
        <v>2</v>
      </c>
      <c r="H62" s="65">
        <v>2</v>
      </c>
      <c r="I62" s="65">
        <v>2</v>
      </c>
      <c r="J62" s="65">
        <v>2</v>
      </c>
      <c r="K62" s="65">
        <v>2</v>
      </c>
      <c r="L62" s="65">
        <v>2</v>
      </c>
      <c r="M62" s="65">
        <v>2</v>
      </c>
      <c r="N62" s="65">
        <v>2</v>
      </c>
      <c r="O62" s="65">
        <v>2</v>
      </c>
      <c r="P62" s="65">
        <v>2</v>
      </c>
      <c r="Q62" s="65">
        <v>2</v>
      </c>
      <c r="R62" s="65">
        <v>0</v>
      </c>
      <c r="S62" s="65">
        <v>0</v>
      </c>
      <c r="T62" s="65">
        <v>0</v>
      </c>
      <c r="U62" s="65">
        <v>1.5</v>
      </c>
      <c r="V62" s="65">
        <v>1.5</v>
      </c>
      <c r="W62" s="65">
        <v>1.5</v>
      </c>
      <c r="X62" s="65">
        <v>1.5</v>
      </c>
      <c r="Y62" s="65">
        <v>1.5</v>
      </c>
      <c r="Z62" s="65">
        <v>1.5</v>
      </c>
      <c r="AA62" s="65">
        <v>1.5</v>
      </c>
      <c r="AB62" s="65">
        <v>1.5</v>
      </c>
      <c r="AC62" s="65">
        <v>1.5</v>
      </c>
      <c r="AD62" s="65">
        <v>1.5</v>
      </c>
      <c r="AE62" s="65">
        <v>1.5</v>
      </c>
      <c r="AF62" s="65">
        <v>1.5</v>
      </c>
      <c r="AG62" s="54">
        <v>15</v>
      </c>
      <c r="AH62" s="47">
        <f t="shared" si="2"/>
        <v>2</v>
      </c>
      <c r="AI62" s="48">
        <f t="shared" si="3"/>
        <v>0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10.1</v>
      </c>
      <c r="C63" s="65">
        <v>10.1</v>
      </c>
      <c r="D63" s="65">
        <v>10.1</v>
      </c>
      <c r="E63" s="65">
        <v>10.1</v>
      </c>
      <c r="F63" s="65">
        <v>10.1</v>
      </c>
      <c r="G63" s="65">
        <v>10.1</v>
      </c>
      <c r="H63" s="65">
        <v>10.1</v>
      </c>
      <c r="I63" s="65">
        <v>10.1</v>
      </c>
      <c r="J63" s="65">
        <v>10.1</v>
      </c>
      <c r="K63" s="65">
        <v>10.1</v>
      </c>
      <c r="L63" s="65">
        <v>10.1</v>
      </c>
      <c r="M63" s="65">
        <v>10.1</v>
      </c>
      <c r="N63" s="65">
        <v>10.1</v>
      </c>
      <c r="O63" s="65">
        <v>10.1</v>
      </c>
      <c r="P63" s="65">
        <v>10.1</v>
      </c>
      <c r="Q63" s="65">
        <v>10.1</v>
      </c>
      <c r="R63" s="65">
        <v>10.1</v>
      </c>
      <c r="S63" s="65">
        <v>10.1</v>
      </c>
      <c r="T63" s="65">
        <v>10.1</v>
      </c>
      <c r="U63" s="65">
        <v>10.1</v>
      </c>
      <c r="V63" s="65">
        <v>10.1</v>
      </c>
      <c r="W63" s="65">
        <v>10.1</v>
      </c>
      <c r="X63" s="65">
        <v>10.1</v>
      </c>
      <c r="Y63" s="65">
        <v>10.1</v>
      </c>
      <c r="Z63" s="65">
        <v>10.1</v>
      </c>
      <c r="AA63" s="65">
        <v>10.1</v>
      </c>
      <c r="AB63" s="65">
        <v>10.1</v>
      </c>
      <c r="AC63" s="65">
        <v>10.1</v>
      </c>
      <c r="AD63" s="65">
        <v>10.1</v>
      </c>
      <c r="AE63" s="65">
        <v>10.1</v>
      </c>
      <c r="AF63" s="65">
        <v>10.1</v>
      </c>
      <c r="AG63" s="54">
        <v>14.1</v>
      </c>
      <c r="AH63" s="47">
        <f t="shared" si="2"/>
        <v>10.1</v>
      </c>
      <c r="AI63" s="48">
        <f t="shared" si="3"/>
        <v>10.1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9</v>
      </c>
      <c r="C64" s="65">
        <v>9</v>
      </c>
      <c r="D64" s="65">
        <v>9</v>
      </c>
      <c r="E64" s="65">
        <v>9</v>
      </c>
      <c r="F64" s="65">
        <v>9</v>
      </c>
      <c r="G64" s="65">
        <v>9</v>
      </c>
      <c r="H64" s="65">
        <v>9</v>
      </c>
      <c r="I64" s="65">
        <v>9</v>
      </c>
      <c r="J64" s="65">
        <v>9</v>
      </c>
      <c r="K64" s="65">
        <v>9</v>
      </c>
      <c r="L64" s="65">
        <v>9</v>
      </c>
      <c r="M64" s="65">
        <v>9</v>
      </c>
      <c r="N64" s="65">
        <v>9</v>
      </c>
      <c r="O64" s="65">
        <v>9</v>
      </c>
      <c r="P64" s="65">
        <v>9</v>
      </c>
      <c r="Q64" s="65">
        <v>9</v>
      </c>
      <c r="R64" s="65">
        <v>9</v>
      </c>
      <c r="S64" s="65">
        <v>9</v>
      </c>
      <c r="T64" s="65">
        <v>9</v>
      </c>
      <c r="U64" s="65">
        <v>9</v>
      </c>
      <c r="V64" s="65">
        <v>9</v>
      </c>
      <c r="W64" s="65">
        <v>9</v>
      </c>
      <c r="X64" s="65">
        <v>9</v>
      </c>
      <c r="Y64" s="65">
        <v>9</v>
      </c>
      <c r="Z64" s="65">
        <v>9</v>
      </c>
      <c r="AA64" s="65">
        <v>9</v>
      </c>
      <c r="AB64" s="65">
        <v>9</v>
      </c>
      <c r="AC64" s="65">
        <v>9</v>
      </c>
      <c r="AD64" s="65">
        <v>9</v>
      </c>
      <c r="AE64" s="65">
        <v>9</v>
      </c>
      <c r="AF64" s="65">
        <v>9</v>
      </c>
      <c r="AG64" s="54">
        <v>14</v>
      </c>
      <c r="AH64" s="47">
        <f t="shared" si="2"/>
        <v>9</v>
      </c>
      <c r="AI64" s="48">
        <f t="shared" si="3"/>
        <v>9</v>
      </c>
      <c r="AK64" s="49"/>
    </row>
    <row r="65" spans="1:40" x14ac:dyDescent="0.25">
      <c r="A65" s="53" t="s">
        <v>71</v>
      </c>
      <c r="B65" s="65">
        <v>6.8</v>
      </c>
      <c r="C65" s="65">
        <v>6.8</v>
      </c>
      <c r="D65" s="65">
        <v>6.8</v>
      </c>
      <c r="E65" s="65">
        <v>6.8</v>
      </c>
      <c r="F65" s="65">
        <v>6.8</v>
      </c>
      <c r="G65" s="65">
        <v>6.8</v>
      </c>
      <c r="H65" s="65">
        <v>6.8</v>
      </c>
      <c r="I65" s="65">
        <v>6.8</v>
      </c>
      <c r="J65" s="65">
        <v>6.8</v>
      </c>
      <c r="K65" s="65">
        <v>6.8</v>
      </c>
      <c r="L65" s="65">
        <v>6.8</v>
      </c>
      <c r="M65" s="65">
        <v>5</v>
      </c>
      <c r="N65" s="65">
        <v>5</v>
      </c>
      <c r="O65" s="65">
        <v>5</v>
      </c>
      <c r="P65" s="65">
        <v>5</v>
      </c>
      <c r="Q65" s="65">
        <v>5</v>
      </c>
      <c r="R65" s="65">
        <v>4.8</v>
      </c>
      <c r="S65" s="65">
        <v>4.8</v>
      </c>
      <c r="T65" s="65">
        <v>4.8</v>
      </c>
      <c r="U65" s="65">
        <v>4.8</v>
      </c>
      <c r="V65" s="65">
        <v>4.8</v>
      </c>
      <c r="W65" s="65">
        <v>4.8</v>
      </c>
      <c r="X65" s="65">
        <v>4.8</v>
      </c>
      <c r="Y65" s="65">
        <v>4.8</v>
      </c>
      <c r="Z65" s="65">
        <v>4.8</v>
      </c>
      <c r="AA65" s="65">
        <v>4.8</v>
      </c>
      <c r="AB65" s="65">
        <v>4.8</v>
      </c>
      <c r="AC65" s="65">
        <v>4.8</v>
      </c>
      <c r="AD65" s="65">
        <v>4.8</v>
      </c>
      <c r="AE65" s="65">
        <v>4.8</v>
      </c>
      <c r="AF65" s="65">
        <v>4.8</v>
      </c>
      <c r="AG65" s="54">
        <v>10.050000000000001</v>
      </c>
      <c r="AH65" s="47">
        <f t="shared" si="2"/>
        <v>6.8</v>
      </c>
      <c r="AI65" s="48">
        <f t="shared" si="3"/>
        <v>4.8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>SUM(B55:B67)</f>
        <v>364.04</v>
      </c>
      <c r="C68" s="60">
        <f t="shared" ref="C68:AG68" si="6">SUM(C55:C67)</f>
        <v>358.04</v>
      </c>
      <c r="D68" s="60">
        <f t="shared" si="6"/>
        <v>358.04</v>
      </c>
      <c r="E68" s="60">
        <f t="shared" si="6"/>
        <v>319.14000000000004</v>
      </c>
      <c r="F68" s="60">
        <f t="shared" si="6"/>
        <v>309.54000000000002</v>
      </c>
      <c r="G68" s="60">
        <f t="shared" si="6"/>
        <v>326.34000000000003</v>
      </c>
      <c r="H68" s="60">
        <f t="shared" si="6"/>
        <v>335.54000000000008</v>
      </c>
      <c r="I68" s="60">
        <f t="shared" si="6"/>
        <v>326.34000000000003</v>
      </c>
      <c r="J68" s="60">
        <f t="shared" si="6"/>
        <v>291.74000000000007</v>
      </c>
      <c r="K68" s="60">
        <f t="shared" si="6"/>
        <v>293.74000000000007</v>
      </c>
      <c r="L68" s="60">
        <f t="shared" si="6"/>
        <v>309.04000000000008</v>
      </c>
      <c r="M68" s="60">
        <f t="shared" si="6"/>
        <v>306.04000000000008</v>
      </c>
      <c r="N68" s="60">
        <f t="shared" si="6"/>
        <v>308.14000000000004</v>
      </c>
      <c r="O68" s="60">
        <f t="shared" si="6"/>
        <v>314.14000000000004</v>
      </c>
      <c r="P68" s="60">
        <f t="shared" si="6"/>
        <v>396.14000000000004</v>
      </c>
      <c r="Q68" s="60">
        <f t="shared" si="6"/>
        <v>420.44</v>
      </c>
      <c r="R68" s="60">
        <f t="shared" si="6"/>
        <v>421.04</v>
      </c>
      <c r="S68" s="60">
        <f t="shared" si="6"/>
        <v>398.14000000000004</v>
      </c>
      <c r="T68" s="60">
        <f t="shared" si="6"/>
        <v>372.14000000000004</v>
      </c>
      <c r="U68" s="60">
        <f t="shared" si="6"/>
        <v>356.84000000000003</v>
      </c>
      <c r="V68" s="60">
        <f t="shared" si="6"/>
        <v>340.84000000000003</v>
      </c>
      <c r="W68" s="60">
        <f t="shared" si="6"/>
        <v>316.84000000000003</v>
      </c>
      <c r="X68" s="60">
        <f t="shared" si="6"/>
        <v>286.64000000000004</v>
      </c>
      <c r="Y68" s="60">
        <f t="shared" si="6"/>
        <v>266.44000000000005</v>
      </c>
      <c r="Z68" s="60">
        <f t="shared" si="6"/>
        <v>311.6400000000001</v>
      </c>
      <c r="AA68" s="60">
        <v>349.04</v>
      </c>
      <c r="AB68" s="60">
        <f t="shared" si="6"/>
        <v>400.34000000000003</v>
      </c>
      <c r="AC68" s="60">
        <f t="shared" si="6"/>
        <v>364.84000000000003</v>
      </c>
      <c r="AD68" s="60">
        <f t="shared" si="6"/>
        <v>353.54</v>
      </c>
      <c r="AE68" s="60">
        <f t="shared" si="6"/>
        <v>343.04</v>
      </c>
      <c r="AF68" s="60">
        <f t="shared" si="6"/>
        <v>299.84000000000003</v>
      </c>
      <c r="AG68" s="61">
        <f t="shared" si="6"/>
        <v>489.91</v>
      </c>
      <c r="AH68" s="47">
        <f t="shared" si="2"/>
        <v>421.04</v>
      </c>
      <c r="AI68" s="48">
        <f t="shared" si="3"/>
        <v>266.44000000000005</v>
      </c>
      <c r="AK68" s="49"/>
    </row>
    <row r="69" spans="1:40" x14ac:dyDescent="0.25">
      <c r="A69" s="44" t="s">
        <v>75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14</v>
      </c>
      <c r="M69" s="45">
        <v>28</v>
      </c>
      <c r="N69" s="45">
        <v>29</v>
      </c>
      <c r="O69" s="45">
        <v>29</v>
      </c>
      <c r="P69" s="45">
        <v>29</v>
      </c>
      <c r="Q69" s="45">
        <v>29</v>
      </c>
      <c r="R69" s="45">
        <v>45</v>
      </c>
      <c r="S69" s="45">
        <v>50</v>
      </c>
      <c r="T69" s="45">
        <v>60</v>
      </c>
      <c r="U69" s="45">
        <v>60</v>
      </c>
      <c r="V69" s="45">
        <v>60</v>
      </c>
      <c r="W69" s="45">
        <v>40</v>
      </c>
      <c r="X69" s="45">
        <v>30</v>
      </c>
      <c r="Y69" s="45">
        <v>30</v>
      </c>
      <c r="Z69" s="45">
        <v>30</v>
      </c>
      <c r="AA69" s="45">
        <v>30</v>
      </c>
      <c r="AB69" s="45">
        <v>60</v>
      </c>
      <c r="AC69" s="45">
        <v>60</v>
      </c>
      <c r="AD69" s="45">
        <v>25</v>
      </c>
      <c r="AE69" s="45">
        <v>10</v>
      </c>
      <c r="AF69" s="45">
        <v>20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65">
        <v>0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5</v>
      </c>
      <c r="M70" s="65">
        <v>13.7</v>
      </c>
      <c r="N70" s="65">
        <v>14.3</v>
      </c>
      <c r="O70" s="65">
        <v>15.1</v>
      </c>
      <c r="P70" s="65">
        <v>15.1</v>
      </c>
      <c r="Q70" s="65">
        <v>14.7</v>
      </c>
      <c r="R70" s="65">
        <v>18</v>
      </c>
      <c r="S70" s="65">
        <v>18</v>
      </c>
      <c r="T70" s="65">
        <v>30.7</v>
      </c>
      <c r="U70" s="65">
        <v>30.7</v>
      </c>
      <c r="V70" s="65">
        <v>30.7</v>
      </c>
      <c r="W70" s="65">
        <v>30.7</v>
      </c>
      <c r="X70" s="65">
        <v>17.7</v>
      </c>
      <c r="Y70" s="65">
        <v>16.3</v>
      </c>
      <c r="Z70" s="65">
        <v>23.7</v>
      </c>
      <c r="AA70" s="65">
        <v>22.5</v>
      </c>
      <c r="AB70" s="65">
        <v>30</v>
      </c>
      <c r="AC70" s="65">
        <v>30</v>
      </c>
      <c r="AD70" s="65">
        <v>13</v>
      </c>
      <c r="AE70" s="65">
        <v>3.5</v>
      </c>
      <c r="AF70" s="65">
        <v>4.3</v>
      </c>
      <c r="AG70" s="54">
        <v>32</v>
      </c>
      <c r="AH70" s="47">
        <f t="shared" si="2"/>
        <v>30.7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67">
        <v>0</v>
      </c>
      <c r="C71" s="67">
        <v>0</v>
      </c>
      <c r="D71" s="67">
        <v>0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2</v>
      </c>
      <c r="M71" s="67">
        <v>5</v>
      </c>
      <c r="N71" s="67">
        <v>5.2</v>
      </c>
      <c r="O71" s="67">
        <v>5.5</v>
      </c>
      <c r="P71" s="67">
        <v>5.5</v>
      </c>
      <c r="Q71" s="67">
        <v>5.4</v>
      </c>
      <c r="R71" s="67">
        <v>6.6</v>
      </c>
      <c r="S71" s="67">
        <v>6.6</v>
      </c>
      <c r="T71" s="67">
        <v>11.2</v>
      </c>
      <c r="U71" s="67">
        <v>11.2</v>
      </c>
      <c r="V71" s="67">
        <v>11.2</v>
      </c>
      <c r="W71" s="67">
        <v>11.2</v>
      </c>
      <c r="X71" s="67">
        <v>6.5</v>
      </c>
      <c r="Y71" s="67">
        <v>5.9</v>
      </c>
      <c r="Z71" s="67">
        <v>8.6999999999999993</v>
      </c>
      <c r="AA71" s="67">
        <v>8.1999999999999993</v>
      </c>
      <c r="AB71" s="67">
        <v>10.6</v>
      </c>
      <c r="AC71" s="67">
        <v>10.6</v>
      </c>
      <c r="AD71" s="67">
        <v>5</v>
      </c>
      <c r="AE71" s="67">
        <v>1.3</v>
      </c>
      <c r="AF71" s="67">
        <v>1.6</v>
      </c>
      <c r="AG71" s="68">
        <v>14</v>
      </c>
      <c r="AH71" s="47">
        <f t="shared" si="2"/>
        <v>11.2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21</v>
      </c>
      <c r="M72" s="60">
        <f t="shared" ref="M72:AF72" si="7">M69+M70+M71</f>
        <v>46.7</v>
      </c>
      <c r="N72" s="60">
        <f t="shared" si="7"/>
        <v>48.5</v>
      </c>
      <c r="O72" s="60">
        <f t="shared" si="7"/>
        <v>49.6</v>
      </c>
      <c r="P72" s="60">
        <f t="shared" si="7"/>
        <v>49.6</v>
      </c>
      <c r="Q72" s="60">
        <f t="shared" si="7"/>
        <v>49.1</v>
      </c>
      <c r="R72" s="60">
        <f t="shared" si="7"/>
        <v>69.599999999999994</v>
      </c>
      <c r="S72" s="60">
        <f t="shared" si="7"/>
        <v>74.599999999999994</v>
      </c>
      <c r="T72" s="60">
        <f t="shared" si="7"/>
        <v>101.9</v>
      </c>
      <c r="U72" s="60">
        <f t="shared" si="7"/>
        <v>101.9</v>
      </c>
      <c r="V72" s="60">
        <f t="shared" si="7"/>
        <v>101.9</v>
      </c>
      <c r="W72" s="60">
        <f t="shared" si="7"/>
        <v>81.900000000000006</v>
      </c>
      <c r="X72" s="60">
        <f t="shared" si="7"/>
        <v>54.2</v>
      </c>
      <c r="Y72" s="60">
        <f t="shared" si="7"/>
        <v>52.199999999999996</v>
      </c>
      <c r="Z72" s="60">
        <f t="shared" si="7"/>
        <v>62.400000000000006</v>
      </c>
      <c r="AA72" s="60">
        <v>60.7</v>
      </c>
      <c r="AB72" s="60">
        <f t="shared" si="7"/>
        <v>100.6</v>
      </c>
      <c r="AC72" s="60">
        <f t="shared" si="7"/>
        <v>100.6</v>
      </c>
      <c r="AD72" s="60">
        <f t="shared" si="7"/>
        <v>43</v>
      </c>
      <c r="AE72" s="60">
        <f t="shared" si="7"/>
        <v>14.8</v>
      </c>
      <c r="AF72" s="60">
        <f t="shared" si="7"/>
        <v>25.900000000000002</v>
      </c>
      <c r="AG72" s="61">
        <f>SUM(AG69:AG71)</f>
        <v>106</v>
      </c>
      <c r="AH72" s="47">
        <f t="shared" si="2"/>
        <v>101.9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63</v>
      </c>
      <c r="C73" s="45">
        <v>63</v>
      </c>
      <c r="D73" s="45">
        <v>59.6</v>
      </c>
      <c r="E73" s="45">
        <v>56.8</v>
      </c>
      <c r="F73" s="45">
        <v>67.900000000000006</v>
      </c>
      <c r="G73" s="45">
        <v>61.9</v>
      </c>
      <c r="H73" s="45">
        <v>57.9</v>
      </c>
      <c r="I73" s="45">
        <v>55</v>
      </c>
      <c r="J73" s="45">
        <v>54.9</v>
      </c>
      <c r="K73" s="45">
        <v>54</v>
      </c>
      <c r="L73" s="45">
        <v>62</v>
      </c>
      <c r="M73" s="45">
        <v>68</v>
      </c>
      <c r="N73" s="45">
        <v>70.099999999999994</v>
      </c>
      <c r="O73" s="45">
        <v>75</v>
      </c>
      <c r="P73" s="45">
        <v>66.2</v>
      </c>
      <c r="Q73" s="45">
        <v>65.5</v>
      </c>
      <c r="R73" s="45">
        <v>77.099999999999994</v>
      </c>
      <c r="S73" s="45">
        <v>74</v>
      </c>
      <c r="T73" s="45">
        <v>74.5</v>
      </c>
      <c r="U73" s="45">
        <v>72.2</v>
      </c>
      <c r="V73" s="45">
        <v>75.099999999999994</v>
      </c>
      <c r="W73" s="45">
        <v>75.099999999999994</v>
      </c>
      <c r="X73" s="45">
        <v>66.2</v>
      </c>
      <c r="Y73" s="45">
        <v>74.8</v>
      </c>
      <c r="Z73" s="45">
        <v>75.3</v>
      </c>
      <c r="AA73" s="45">
        <v>66.8</v>
      </c>
      <c r="AB73" s="45">
        <v>64</v>
      </c>
      <c r="AC73" s="45">
        <v>70</v>
      </c>
      <c r="AD73" s="45">
        <v>70.099999999999994</v>
      </c>
      <c r="AE73" s="45">
        <v>67</v>
      </c>
      <c r="AF73" s="45">
        <v>60.8</v>
      </c>
      <c r="AG73" s="51"/>
      <c r="AH73" s="47">
        <f t="shared" si="2"/>
        <v>77.099999999999994</v>
      </c>
      <c r="AI73" s="48">
        <f t="shared" si="3"/>
        <v>54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44.6</v>
      </c>
      <c r="R74" s="65">
        <v>93.9</v>
      </c>
      <c r="S74" s="65">
        <v>86.1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55.8</v>
      </c>
      <c r="AE74" s="65">
        <v>55.8</v>
      </c>
      <c r="AF74" s="65">
        <v>61.1</v>
      </c>
      <c r="AG74" s="54"/>
      <c r="AH74" s="47">
        <f t="shared" si="2"/>
        <v>93.9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0</v>
      </c>
      <c r="C75" s="65">
        <v>0</v>
      </c>
      <c r="D75" s="65">
        <v>0</v>
      </c>
      <c r="E75" s="65">
        <v>101</v>
      </c>
      <c r="F75" s="65">
        <v>161</v>
      </c>
      <c r="G75" s="65">
        <v>181.9</v>
      </c>
      <c r="H75" s="65">
        <v>185</v>
      </c>
      <c r="I75" s="65">
        <v>195</v>
      </c>
      <c r="J75" s="65">
        <v>190</v>
      </c>
      <c r="K75" s="65">
        <v>338</v>
      </c>
      <c r="L75" s="65">
        <v>336</v>
      </c>
      <c r="M75" s="65">
        <v>382.7</v>
      </c>
      <c r="N75" s="65">
        <v>401</v>
      </c>
      <c r="O75" s="65">
        <v>353.2</v>
      </c>
      <c r="P75" s="65">
        <v>410</v>
      </c>
      <c r="Q75" s="65">
        <v>296</v>
      </c>
      <c r="R75" s="65">
        <v>313</v>
      </c>
      <c r="S75" s="65">
        <v>280</v>
      </c>
      <c r="T75" s="65">
        <v>280</v>
      </c>
      <c r="U75" s="65">
        <v>360</v>
      </c>
      <c r="V75" s="65">
        <v>260</v>
      </c>
      <c r="W75" s="65">
        <v>290</v>
      </c>
      <c r="X75" s="65">
        <v>270</v>
      </c>
      <c r="Y75" s="65">
        <v>270</v>
      </c>
      <c r="Z75" s="65">
        <v>136</v>
      </c>
      <c r="AA75" s="65">
        <v>105</v>
      </c>
      <c r="AB75" s="65">
        <v>0</v>
      </c>
      <c r="AC75" s="65">
        <v>0</v>
      </c>
      <c r="AD75" s="65">
        <v>10</v>
      </c>
      <c r="AE75" s="65">
        <v>2.5</v>
      </c>
      <c r="AF75" s="65">
        <v>16</v>
      </c>
      <c r="AG75" s="75"/>
      <c r="AH75" s="47">
        <f t="shared" si="2"/>
        <v>410</v>
      </c>
      <c r="AI75" s="48">
        <f t="shared" si="3"/>
        <v>0</v>
      </c>
      <c r="AK75" s="49"/>
    </row>
    <row r="76" spans="1:40" x14ac:dyDescent="0.25">
      <c r="A76" s="53" t="s">
        <v>82</v>
      </c>
      <c r="B76" s="76">
        <v>12</v>
      </c>
      <c r="C76" s="76">
        <v>12</v>
      </c>
      <c r="D76" s="76">
        <v>12</v>
      </c>
      <c r="E76" s="76">
        <v>12</v>
      </c>
      <c r="F76" s="76">
        <v>27</v>
      </c>
      <c r="G76" s="76">
        <v>32.5</v>
      </c>
      <c r="H76" s="76">
        <v>32.700000000000003</v>
      </c>
      <c r="I76" s="76">
        <v>33.200000000000003</v>
      </c>
      <c r="J76" s="76">
        <v>30</v>
      </c>
      <c r="K76" s="76">
        <v>25.5</v>
      </c>
      <c r="L76" s="76">
        <v>25.5</v>
      </c>
      <c r="M76" s="76">
        <v>27</v>
      </c>
      <c r="N76" s="76">
        <v>30</v>
      </c>
      <c r="O76" s="76">
        <v>33</v>
      </c>
      <c r="P76" s="76">
        <v>32</v>
      </c>
      <c r="Q76" s="76">
        <v>35</v>
      </c>
      <c r="R76" s="76">
        <v>15</v>
      </c>
      <c r="S76" s="76">
        <v>15</v>
      </c>
      <c r="T76" s="76">
        <v>15</v>
      </c>
      <c r="U76" s="76">
        <v>15</v>
      </c>
      <c r="V76" s="76">
        <v>15</v>
      </c>
      <c r="W76" s="76">
        <v>15</v>
      </c>
      <c r="X76" s="76">
        <v>15</v>
      </c>
      <c r="Y76" s="76">
        <v>15</v>
      </c>
      <c r="Z76" s="76">
        <v>15</v>
      </c>
      <c r="AA76" s="76">
        <v>15</v>
      </c>
      <c r="AB76" s="76">
        <v>0</v>
      </c>
      <c r="AC76" s="76">
        <v>0</v>
      </c>
      <c r="AD76" s="65">
        <v>0</v>
      </c>
      <c r="AE76" s="65">
        <v>0</v>
      </c>
      <c r="AF76" s="65">
        <v>0</v>
      </c>
      <c r="AG76" s="75"/>
      <c r="AH76" s="47">
        <f t="shared" si="2"/>
        <v>35</v>
      </c>
      <c r="AI76" s="48">
        <f t="shared" si="3"/>
        <v>0</v>
      </c>
      <c r="AK76" s="49"/>
    </row>
    <row r="77" spans="1:40" x14ac:dyDescent="0.25">
      <c r="A77" s="53" t="s">
        <v>83</v>
      </c>
      <c r="B77" s="45">
        <v>29.3</v>
      </c>
      <c r="C77" s="45">
        <v>29.3</v>
      </c>
      <c r="D77" s="45">
        <v>28.4</v>
      </c>
      <c r="E77" s="45">
        <v>28.4</v>
      </c>
      <c r="F77" s="45">
        <v>29</v>
      </c>
      <c r="G77" s="45">
        <v>28</v>
      </c>
      <c r="H77" s="45">
        <v>27.8</v>
      </c>
      <c r="I77" s="45">
        <v>25.9</v>
      </c>
      <c r="J77" s="45">
        <v>26</v>
      </c>
      <c r="K77" s="45">
        <v>31</v>
      </c>
      <c r="L77" s="45">
        <v>32</v>
      </c>
      <c r="M77" s="45">
        <v>32.1</v>
      </c>
      <c r="N77" s="45">
        <v>35.5</v>
      </c>
      <c r="O77" s="45">
        <v>39.9</v>
      </c>
      <c r="P77" s="45">
        <v>35</v>
      </c>
      <c r="Q77" s="45">
        <v>40.6</v>
      </c>
      <c r="R77" s="45">
        <v>34.5</v>
      </c>
      <c r="S77" s="45">
        <v>37</v>
      </c>
      <c r="T77" s="45">
        <v>37</v>
      </c>
      <c r="U77" s="45">
        <v>37</v>
      </c>
      <c r="V77" s="45">
        <v>37</v>
      </c>
      <c r="W77" s="45">
        <v>37</v>
      </c>
      <c r="X77" s="45">
        <v>37</v>
      </c>
      <c r="Y77" s="45">
        <v>37</v>
      </c>
      <c r="Z77" s="45">
        <v>37</v>
      </c>
      <c r="AA77" s="45">
        <v>37</v>
      </c>
      <c r="AB77" s="45">
        <v>28.4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8">MAX(B77:AF77)</f>
        <v>40.6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77">
        <v>5</v>
      </c>
      <c r="C78" s="77">
        <v>5</v>
      </c>
      <c r="D78" s="77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8</v>
      </c>
      <c r="P78" s="77">
        <v>8</v>
      </c>
      <c r="Q78" s="77">
        <v>8</v>
      </c>
      <c r="R78" s="77">
        <v>8</v>
      </c>
      <c r="S78" s="77">
        <v>8</v>
      </c>
      <c r="T78" s="77">
        <v>8</v>
      </c>
      <c r="U78" s="77">
        <v>8</v>
      </c>
      <c r="V78" s="77">
        <v>8</v>
      </c>
      <c r="W78" s="77">
        <v>8</v>
      </c>
      <c r="X78" s="77">
        <v>8</v>
      </c>
      <c r="Y78" s="77">
        <v>8</v>
      </c>
      <c r="Z78" s="77">
        <v>8</v>
      </c>
      <c r="AA78" s="77">
        <v>8</v>
      </c>
      <c r="AB78" s="77">
        <v>8</v>
      </c>
      <c r="AC78" s="77">
        <v>8</v>
      </c>
      <c r="AD78" s="77">
        <v>8</v>
      </c>
      <c r="AE78" s="77">
        <v>8</v>
      </c>
      <c r="AF78" s="77">
        <v>8</v>
      </c>
      <c r="AG78" s="75"/>
      <c r="AH78" s="47">
        <f t="shared" si="8"/>
        <v>8</v>
      </c>
      <c r="AI78" s="48">
        <f t="shared" si="9"/>
        <v>5</v>
      </c>
      <c r="AK78" s="49"/>
    </row>
    <row r="79" spans="1:40" ht="15.75" thickBot="1" x14ac:dyDescent="0.3">
      <c r="A79" s="53" t="s">
        <v>85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77">
        <v>5</v>
      </c>
      <c r="C80" s="77">
        <v>5</v>
      </c>
      <c r="D80" s="77">
        <v>5</v>
      </c>
      <c r="E80" s="77">
        <v>5</v>
      </c>
      <c r="F80" s="77">
        <v>5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5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0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77">
        <v>0</v>
      </c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>SUMIF(B73:B83,"&gt;0")</f>
        <v>114.3</v>
      </c>
      <c r="C84" s="60">
        <f t="shared" ref="C84:AF84" si="10">SUMIF(C73:C83,"&gt;0")</f>
        <v>114.3</v>
      </c>
      <c r="D84" s="60">
        <f t="shared" si="10"/>
        <v>110</v>
      </c>
      <c r="E84" s="60">
        <f t="shared" si="10"/>
        <v>208.20000000000002</v>
      </c>
      <c r="F84" s="60">
        <f t="shared" si="10"/>
        <v>294.89999999999998</v>
      </c>
      <c r="G84" s="60">
        <f t="shared" si="10"/>
        <v>309.3</v>
      </c>
      <c r="H84" s="60">
        <f t="shared" si="10"/>
        <v>308.40000000000003</v>
      </c>
      <c r="I84" s="60">
        <f t="shared" si="10"/>
        <v>314.09999999999997</v>
      </c>
      <c r="J84" s="60">
        <f t="shared" si="10"/>
        <v>305.89999999999998</v>
      </c>
      <c r="K84" s="60">
        <f t="shared" si="10"/>
        <v>453.5</v>
      </c>
      <c r="L84" s="60">
        <f t="shared" si="10"/>
        <v>460.5</v>
      </c>
      <c r="M84" s="60">
        <f t="shared" si="10"/>
        <v>514.79999999999995</v>
      </c>
      <c r="N84" s="60">
        <f t="shared" si="10"/>
        <v>541.6</v>
      </c>
      <c r="O84" s="60">
        <f t="shared" si="10"/>
        <v>509.09999999999997</v>
      </c>
      <c r="P84" s="60">
        <f t="shared" si="10"/>
        <v>551.20000000000005</v>
      </c>
      <c r="Q84" s="60">
        <f t="shared" si="10"/>
        <v>489.70000000000005</v>
      </c>
      <c r="R84" s="60">
        <f t="shared" si="10"/>
        <v>541.5</v>
      </c>
      <c r="S84" s="60">
        <f t="shared" si="10"/>
        <v>500.1</v>
      </c>
      <c r="T84" s="60">
        <f t="shared" si="10"/>
        <v>414.5</v>
      </c>
      <c r="U84" s="60">
        <f t="shared" si="10"/>
        <v>492.2</v>
      </c>
      <c r="V84" s="60">
        <f t="shared" si="10"/>
        <v>395.1</v>
      </c>
      <c r="W84" s="60">
        <f t="shared" si="10"/>
        <v>425.1</v>
      </c>
      <c r="X84" s="60">
        <f t="shared" si="10"/>
        <v>396.2</v>
      </c>
      <c r="Y84" s="60">
        <f t="shared" si="10"/>
        <v>404.8</v>
      </c>
      <c r="Z84" s="60">
        <f t="shared" si="10"/>
        <v>271.3</v>
      </c>
      <c r="AA84" s="60">
        <v>231.8</v>
      </c>
      <c r="AB84" s="60">
        <f t="shared" si="10"/>
        <v>100.4</v>
      </c>
      <c r="AC84" s="60">
        <f t="shared" si="10"/>
        <v>78</v>
      </c>
      <c r="AD84" s="60">
        <f t="shared" si="10"/>
        <v>143.89999999999998</v>
      </c>
      <c r="AE84" s="60">
        <f t="shared" si="10"/>
        <v>133.30000000000001</v>
      </c>
      <c r="AF84" s="60">
        <f t="shared" si="10"/>
        <v>145.9</v>
      </c>
      <c r="AG84" s="88">
        <f>SUM(AG73:AG83)</f>
        <v>0</v>
      </c>
      <c r="AH84" s="47">
        <f t="shared" si="8"/>
        <v>551.20000000000005</v>
      </c>
      <c r="AI84" s="48">
        <f t="shared" si="9"/>
        <v>78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>
        <v>0</v>
      </c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>B50+B54+B72+B68+B84+B88</f>
        <v>1640.9399999999998</v>
      </c>
      <c r="C89" s="95">
        <f t="shared" ref="C89:AG89" si="11">C50+C54+C72+C68+C84+C88</f>
        <v>1636.04</v>
      </c>
      <c r="D89" s="95">
        <f t="shared" si="11"/>
        <v>1601.74</v>
      </c>
      <c r="E89" s="95">
        <f t="shared" si="11"/>
        <v>1538.5400000000002</v>
      </c>
      <c r="F89" s="95">
        <f t="shared" si="11"/>
        <v>1557.54</v>
      </c>
      <c r="G89" s="95">
        <f t="shared" si="11"/>
        <v>1485.34</v>
      </c>
      <c r="H89" s="95">
        <f t="shared" si="11"/>
        <v>1543.6400000000003</v>
      </c>
      <c r="I89" s="95">
        <f t="shared" si="11"/>
        <v>1510.1399999999999</v>
      </c>
      <c r="J89" s="95">
        <f t="shared" si="11"/>
        <v>1487.3400000000001</v>
      </c>
      <c r="K89" s="95">
        <f t="shared" si="11"/>
        <v>1586.94</v>
      </c>
      <c r="L89" s="95">
        <f t="shared" si="11"/>
        <v>1630.2400000000002</v>
      </c>
      <c r="M89" s="95">
        <f t="shared" si="11"/>
        <v>1688.8400000000001</v>
      </c>
      <c r="N89" s="95">
        <f t="shared" si="11"/>
        <v>1697.8400000000001</v>
      </c>
      <c r="O89" s="95">
        <f t="shared" si="11"/>
        <v>1734.94</v>
      </c>
      <c r="P89" s="95">
        <f t="shared" si="11"/>
        <v>1826.0400000000002</v>
      </c>
      <c r="Q89" s="95">
        <f t="shared" si="11"/>
        <v>1811.2400000000002</v>
      </c>
      <c r="R89" s="95">
        <f t="shared" si="11"/>
        <v>1885.8400000000001</v>
      </c>
      <c r="S89" s="95">
        <f t="shared" si="11"/>
        <v>1821.54</v>
      </c>
      <c r="T89" s="95">
        <f t="shared" si="11"/>
        <v>1747.24</v>
      </c>
      <c r="U89" s="95">
        <f t="shared" si="11"/>
        <v>1729.64</v>
      </c>
      <c r="V89" s="95">
        <f t="shared" si="11"/>
        <v>1656.54</v>
      </c>
      <c r="W89" s="95">
        <f t="shared" si="11"/>
        <v>1602.54</v>
      </c>
      <c r="X89" s="95">
        <f t="shared" si="11"/>
        <v>1565.7400000000002</v>
      </c>
      <c r="Y89" s="95">
        <f t="shared" si="11"/>
        <v>1542.14</v>
      </c>
      <c r="Z89" s="95">
        <f t="shared" si="11"/>
        <v>1634.0400000000002</v>
      </c>
      <c r="AA89" s="95">
        <v>1710.24</v>
      </c>
      <c r="AB89" s="95">
        <f t="shared" si="11"/>
        <v>1695.04</v>
      </c>
      <c r="AC89" s="95">
        <f t="shared" si="11"/>
        <v>1655.1399999999999</v>
      </c>
      <c r="AD89" s="95">
        <f t="shared" si="11"/>
        <v>1669.1399999999999</v>
      </c>
      <c r="AE89" s="95">
        <f t="shared" si="11"/>
        <v>1554.2399999999998</v>
      </c>
      <c r="AF89" s="95">
        <f t="shared" si="11"/>
        <v>1569.8400000000001</v>
      </c>
      <c r="AG89" s="61">
        <f t="shared" si="11"/>
        <v>2111.5500000000002</v>
      </c>
      <c r="AH89" s="47">
        <f t="shared" si="8"/>
        <v>1885.8400000000001</v>
      </c>
      <c r="AI89" s="48">
        <f t="shared" si="9"/>
        <v>1485.34</v>
      </c>
    </row>
    <row r="90" spans="1:40" ht="15.75" thickBot="1" x14ac:dyDescent="0.3">
      <c r="A90" s="96" t="s">
        <v>99</v>
      </c>
      <c r="B90" s="97">
        <v>85</v>
      </c>
      <c r="C90" s="97">
        <v>85</v>
      </c>
      <c r="D90" s="97">
        <v>85</v>
      </c>
      <c r="E90" s="97">
        <v>85</v>
      </c>
      <c r="F90" s="97">
        <v>85</v>
      </c>
      <c r="G90" s="97">
        <v>135</v>
      </c>
      <c r="H90" s="97">
        <v>85</v>
      </c>
      <c r="I90" s="97">
        <v>140</v>
      </c>
      <c r="J90" s="97">
        <v>150</v>
      </c>
      <c r="K90" s="97">
        <v>180</v>
      </c>
      <c r="L90" s="97">
        <v>180</v>
      </c>
      <c r="M90" s="97">
        <v>180</v>
      </c>
      <c r="N90" s="97">
        <v>180</v>
      </c>
      <c r="O90" s="97">
        <v>180</v>
      </c>
      <c r="P90" s="97">
        <v>100</v>
      </c>
      <c r="Q90" s="97">
        <v>100</v>
      </c>
      <c r="R90" s="97">
        <v>100</v>
      </c>
      <c r="S90" s="97">
        <v>100</v>
      </c>
      <c r="T90" s="97">
        <v>120</v>
      </c>
      <c r="U90" s="97">
        <v>100</v>
      </c>
      <c r="V90" s="97">
        <v>70</v>
      </c>
      <c r="W90" s="97">
        <v>70</v>
      </c>
      <c r="X90" s="97">
        <v>100</v>
      </c>
      <c r="Y90" s="97">
        <v>150</v>
      </c>
      <c r="Z90" s="97">
        <v>200</v>
      </c>
      <c r="AA90" s="97">
        <v>200</v>
      </c>
      <c r="AB90" s="97">
        <v>200</v>
      </c>
      <c r="AC90" s="97">
        <v>200</v>
      </c>
      <c r="AD90" s="97">
        <v>200</v>
      </c>
      <c r="AE90" s="97">
        <v>150</v>
      </c>
      <c r="AF90" s="97">
        <v>100</v>
      </c>
      <c r="AG90" s="88"/>
      <c r="AH90" s="47">
        <f t="shared" si="8"/>
        <v>200</v>
      </c>
      <c r="AI90" s="48">
        <f t="shared" si="9"/>
        <v>70</v>
      </c>
    </row>
    <row r="91" spans="1:40" ht="15.75" thickBot="1" x14ac:dyDescent="0.3">
      <c r="A91" s="74" t="s">
        <v>100</v>
      </c>
      <c r="B91" s="95">
        <f>B89+B90</f>
        <v>1725.9399999999998</v>
      </c>
      <c r="C91" s="95">
        <f t="shared" ref="C91:AF91" si="12">C89+C90</f>
        <v>1721.04</v>
      </c>
      <c r="D91" s="95">
        <f t="shared" si="12"/>
        <v>1686.74</v>
      </c>
      <c r="E91" s="95">
        <f t="shared" si="12"/>
        <v>1623.5400000000002</v>
      </c>
      <c r="F91" s="95">
        <f t="shared" si="12"/>
        <v>1642.54</v>
      </c>
      <c r="G91" s="95">
        <f t="shared" si="12"/>
        <v>1620.34</v>
      </c>
      <c r="H91" s="95">
        <f t="shared" si="12"/>
        <v>1628.6400000000003</v>
      </c>
      <c r="I91" s="95">
        <f t="shared" si="12"/>
        <v>1650.1399999999999</v>
      </c>
      <c r="J91" s="95">
        <f t="shared" si="12"/>
        <v>1637.3400000000001</v>
      </c>
      <c r="K91" s="95">
        <f t="shared" si="12"/>
        <v>1766.94</v>
      </c>
      <c r="L91" s="95">
        <f t="shared" si="12"/>
        <v>1810.2400000000002</v>
      </c>
      <c r="M91" s="95">
        <f t="shared" si="12"/>
        <v>1868.8400000000001</v>
      </c>
      <c r="N91" s="95">
        <f t="shared" si="12"/>
        <v>1877.8400000000001</v>
      </c>
      <c r="O91" s="95">
        <f t="shared" si="12"/>
        <v>1914.94</v>
      </c>
      <c r="P91" s="95">
        <f t="shared" si="12"/>
        <v>1926.0400000000002</v>
      </c>
      <c r="Q91" s="95">
        <f t="shared" si="12"/>
        <v>1911.2400000000002</v>
      </c>
      <c r="R91" s="95">
        <f t="shared" si="12"/>
        <v>1985.8400000000001</v>
      </c>
      <c r="S91" s="95">
        <f t="shared" si="12"/>
        <v>1921.54</v>
      </c>
      <c r="T91" s="95">
        <f t="shared" si="12"/>
        <v>1867.24</v>
      </c>
      <c r="U91" s="95">
        <f t="shared" si="12"/>
        <v>1829.64</v>
      </c>
      <c r="V91" s="95">
        <f t="shared" si="12"/>
        <v>1726.54</v>
      </c>
      <c r="W91" s="95">
        <f t="shared" si="12"/>
        <v>1672.54</v>
      </c>
      <c r="X91" s="95">
        <f t="shared" si="12"/>
        <v>1665.7400000000002</v>
      </c>
      <c r="Y91" s="95">
        <f t="shared" si="12"/>
        <v>1692.14</v>
      </c>
      <c r="Z91" s="95">
        <f t="shared" si="12"/>
        <v>1834.0400000000002</v>
      </c>
      <c r="AA91" s="95">
        <v>1910.24</v>
      </c>
      <c r="AB91" s="95">
        <f t="shared" si="12"/>
        <v>1895.04</v>
      </c>
      <c r="AC91" s="95">
        <f t="shared" si="12"/>
        <v>1855.1399999999999</v>
      </c>
      <c r="AD91" s="95">
        <f t="shared" si="12"/>
        <v>1869.1399999999999</v>
      </c>
      <c r="AE91" s="95">
        <f t="shared" si="12"/>
        <v>1704.2399999999998</v>
      </c>
      <c r="AF91" s="95">
        <f t="shared" si="12"/>
        <v>1669.8400000000001</v>
      </c>
      <c r="AG91" s="88">
        <f>AG88+AG84+AG72+AG68+AG50+AG90</f>
        <v>1573.45</v>
      </c>
      <c r="AH91" s="47">
        <f t="shared" si="8"/>
        <v>1985.8400000000001</v>
      </c>
      <c r="AI91" s="48">
        <f t="shared" si="9"/>
        <v>1620.34</v>
      </c>
    </row>
    <row r="92" spans="1:40" ht="15.75" thickBot="1" x14ac:dyDescent="0.3">
      <c r="A92" s="74" t="s">
        <v>101</v>
      </c>
      <c r="B92" s="95">
        <f>B91-B99</f>
        <v>1725.9399999999998</v>
      </c>
      <c r="C92" s="95">
        <f t="shared" ref="C92:AF92" si="13">C91-C99</f>
        <v>1721.04</v>
      </c>
      <c r="D92" s="95">
        <f t="shared" si="13"/>
        <v>1686.74</v>
      </c>
      <c r="E92" s="95">
        <f t="shared" si="13"/>
        <v>1623.5400000000002</v>
      </c>
      <c r="F92" s="95">
        <f t="shared" si="13"/>
        <v>1642.54</v>
      </c>
      <c r="G92" s="95">
        <f t="shared" si="13"/>
        <v>1620.34</v>
      </c>
      <c r="H92" s="95">
        <f t="shared" si="13"/>
        <v>1628.6400000000003</v>
      </c>
      <c r="I92" s="95">
        <f t="shared" si="13"/>
        <v>1650.1399999999999</v>
      </c>
      <c r="J92" s="95">
        <f t="shared" si="13"/>
        <v>1637.3400000000001</v>
      </c>
      <c r="K92" s="95">
        <f t="shared" si="13"/>
        <v>1766.94</v>
      </c>
      <c r="L92" s="95">
        <f t="shared" si="13"/>
        <v>1810.2400000000002</v>
      </c>
      <c r="M92" s="95">
        <f t="shared" si="13"/>
        <v>1868.8400000000001</v>
      </c>
      <c r="N92" s="95">
        <f t="shared" si="13"/>
        <v>1877.8400000000001</v>
      </c>
      <c r="O92" s="95">
        <f t="shared" si="13"/>
        <v>1914.94</v>
      </c>
      <c r="P92" s="95">
        <f t="shared" si="13"/>
        <v>1926.0400000000002</v>
      </c>
      <c r="Q92" s="95">
        <f t="shared" si="13"/>
        <v>1911.2400000000002</v>
      </c>
      <c r="R92" s="95">
        <f t="shared" si="13"/>
        <v>1985.8400000000001</v>
      </c>
      <c r="S92" s="95">
        <f t="shared" si="13"/>
        <v>1921.54</v>
      </c>
      <c r="T92" s="95">
        <f t="shared" si="13"/>
        <v>1867.24</v>
      </c>
      <c r="U92" s="95">
        <f t="shared" si="13"/>
        <v>1829.64</v>
      </c>
      <c r="V92" s="95">
        <f t="shared" si="13"/>
        <v>1726.54</v>
      </c>
      <c r="W92" s="95">
        <f t="shared" si="13"/>
        <v>1672.54</v>
      </c>
      <c r="X92" s="95">
        <f t="shared" si="13"/>
        <v>1665.7400000000002</v>
      </c>
      <c r="Y92" s="95">
        <f t="shared" si="13"/>
        <v>1692.14</v>
      </c>
      <c r="Z92" s="95">
        <f t="shared" si="13"/>
        <v>1834.0400000000002</v>
      </c>
      <c r="AA92" s="95">
        <v>1910.24</v>
      </c>
      <c r="AB92" s="95">
        <f t="shared" si="13"/>
        <v>1895.04</v>
      </c>
      <c r="AC92" s="95">
        <f t="shared" si="13"/>
        <v>1855.1399999999999</v>
      </c>
      <c r="AD92" s="95">
        <f t="shared" si="13"/>
        <v>1869.1399999999999</v>
      </c>
      <c r="AE92" s="95">
        <f t="shared" si="13"/>
        <v>1704.2399999999998</v>
      </c>
      <c r="AF92" s="95">
        <f t="shared" si="13"/>
        <v>1669.8400000000001</v>
      </c>
      <c r="AG92" s="88"/>
      <c r="AH92" s="47">
        <f t="shared" si="8"/>
        <v>1985.8400000000001</v>
      </c>
      <c r="AI92" s="48">
        <f t="shared" si="9"/>
        <v>1620.34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0</v>
      </c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>B84-B99</f>
        <v>114.3</v>
      </c>
      <c r="C100" s="60">
        <f t="shared" ref="C100:AF100" si="14">C84-C99</f>
        <v>114.3</v>
      </c>
      <c r="D100" s="60">
        <f t="shared" si="14"/>
        <v>110</v>
      </c>
      <c r="E100" s="60">
        <f t="shared" si="14"/>
        <v>208.20000000000002</v>
      </c>
      <c r="F100" s="60">
        <f t="shared" si="14"/>
        <v>294.89999999999998</v>
      </c>
      <c r="G100" s="60">
        <f t="shared" si="14"/>
        <v>309.3</v>
      </c>
      <c r="H100" s="60">
        <f t="shared" si="14"/>
        <v>308.40000000000003</v>
      </c>
      <c r="I100" s="60">
        <f t="shared" si="14"/>
        <v>314.09999999999997</v>
      </c>
      <c r="J100" s="60">
        <f t="shared" si="14"/>
        <v>305.89999999999998</v>
      </c>
      <c r="K100" s="60">
        <f t="shared" si="14"/>
        <v>453.5</v>
      </c>
      <c r="L100" s="60">
        <f t="shared" si="14"/>
        <v>460.5</v>
      </c>
      <c r="M100" s="60">
        <f t="shared" si="14"/>
        <v>514.79999999999995</v>
      </c>
      <c r="N100" s="60">
        <f t="shared" si="14"/>
        <v>541.6</v>
      </c>
      <c r="O100" s="60">
        <f t="shared" si="14"/>
        <v>509.09999999999997</v>
      </c>
      <c r="P100" s="60">
        <f t="shared" si="14"/>
        <v>551.20000000000005</v>
      </c>
      <c r="Q100" s="60">
        <f t="shared" si="14"/>
        <v>489.70000000000005</v>
      </c>
      <c r="R100" s="60">
        <f t="shared" si="14"/>
        <v>541.5</v>
      </c>
      <c r="S100" s="60">
        <f t="shared" si="14"/>
        <v>500.1</v>
      </c>
      <c r="T100" s="60">
        <f t="shared" si="14"/>
        <v>414.5</v>
      </c>
      <c r="U100" s="60">
        <f t="shared" si="14"/>
        <v>492.2</v>
      </c>
      <c r="V100" s="60">
        <f t="shared" si="14"/>
        <v>395.1</v>
      </c>
      <c r="W100" s="60">
        <f t="shared" si="14"/>
        <v>425.1</v>
      </c>
      <c r="X100" s="60">
        <f t="shared" si="14"/>
        <v>396.2</v>
      </c>
      <c r="Y100" s="60">
        <f t="shared" si="14"/>
        <v>404.8</v>
      </c>
      <c r="Z100" s="60">
        <f t="shared" si="14"/>
        <v>271.3</v>
      </c>
      <c r="AA100" s="60">
        <v>231.8</v>
      </c>
      <c r="AB100" s="60">
        <f t="shared" si="14"/>
        <v>100.4</v>
      </c>
      <c r="AC100" s="60">
        <f t="shared" si="14"/>
        <v>78</v>
      </c>
      <c r="AD100" s="60">
        <f t="shared" si="14"/>
        <v>143.89999999999998</v>
      </c>
      <c r="AE100" s="60">
        <f t="shared" si="14"/>
        <v>133.30000000000001</v>
      </c>
      <c r="AF100" s="60">
        <f t="shared" si="14"/>
        <v>145.9</v>
      </c>
      <c r="AG100" s="88"/>
      <c r="AH100" s="47">
        <f t="shared" si="8"/>
        <v>551.20000000000005</v>
      </c>
      <c r="AI100" s="48">
        <f t="shared" si="9"/>
        <v>78</v>
      </c>
    </row>
    <row r="101" spans="1:37" x14ac:dyDescent="0.25">
      <c r="A101" s="100" t="s">
        <v>107</v>
      </c>
      <c r="B101" s="101">
        <v>49.944000000000003</v>
      </c>
      <c r="C101" s="101">
        <v>49.908000000000001</v>
      </c>
      <c r="D101" s="101">
        <v>49.89</v>
      </c>
      <c r="E101" s="101">
        <v>50.01</v>
      </c>
      <c r="F101" s="101">
        <v>50.06</v>
      </c>
      <c r="G101" s="101">
        <v>49.939</v>
      </c>
      <c r="H101" s="101">
        <v>50.055999999999997</v>
      </c>
      <c r="I101" s="101">
        <v>49.92</v>
      </c>
      <c r="J101" s="101">
        <v>50</v>
      </c>
      <c r="K101" s="101">
        <v>50.048000000000002</v>
      </c>
      <c r="L101" s="101">
        <v>49.968000000000004</v>
      </c>
      <c r="M101" s="101">
        <v>50.24</v>
      </c>
      <c r="N101" s="101">
        <v>50.057000000000002</v>
      </c>
      <c r="O101" s="101">
        <v>50.072000000000003</v>
      </c>
      <c r="P101" s="101">
        <v>50.119</v>
      </c>
      <c r="Q101" s="101">
        <v>49.957999999999998</v>
      </c>
      <c r="R101" s="101">
        <v>50.01</v>
      </c>
      <c r="S101" s="101">
        <v>50.05</v>
      </c>
      <c r="T101" s="101">
        <v>50.05</v>
      </c>
      <c r="U101" s="101">
        <v>50.11</v>
      </c>
      <c r="V101" s="101">
        <v>50.046999999999997</v>
      </c>
      <c r="W101" s="101">
        <v>50.1</v>
      </c>
      <c r="X101" s="101">
        <v>49.99</v>
      </c>
      <c r="Y101" s="101">
        <v>50.1</v>
      </c>
      <c r="Z101" s="101">
        <v>50.18</v>
      </c>
      <c r="AA101" s="101">
        <v>50.06</v>
      </c>
      <c r="AB101" s="101">
        <v>50.094000000000001</v>
      </c>
      <c r="AC101" s="101">
        <v>50.088999999999999</v>
      </c>
      <c r="AD101" s="101">
        <v>50.061999999999998</v>
      </c>
      <c r="AE101" s="101">
        <v>49.905999999999999</v>
      </c>
      <c r="AF101" s="101">
        <v>50.009</v>
      </c>
      <c r="AG101" s="102"/>
      <c r="AH101" s="47">
        <f t="shared" si="8"/>
        <v>50.24</v>
      </c>
      <c r="AI101" s="48">
        <f t="shared" si="9"/>
        <v>49.89</v>
      </c>
    </row>
    <row r="102" spans="1:37" x14ac:dyDescent="0.25">
      <c r="A102" s="103" t="s">
        <v>108</v>
      </c>
      <c r="B102" s="65">
        <v>122.9</v>
      </c>
      <c r="C102" s="65">
        <v>122.9</v>
      </c>
      <c r="D102" s="65">
        <v>122.9</v>
      </c>
      <c r="E102" s="65">
        <v>122.9</v>
      </c>
      <c r="F102" s="65">
        <v>123.7</v>
      </c>
      <c r="G102" s="65">
        <v>122.4</v>
      </c>
      <c r="H102" s="65">
        <v>124</v>
      </c>
      <c r="I102" s="65">
        <v>124</v>
      </c>
      <c r="J102" s="65">
        <v>124</v>
      </c>
      <c r="K102" s="65">
        <v>124</v>
      </c>
      <c r="L102" s="65">
        <v>122.5</v>
      </c>
      <c r="M102" s="65">
        <v>123.7</v>
      </c>
      <c r="N102" s="65">
        <v>123.4</v>
      </c>
      <c r="O102" s="65">
        <v>118.2</v>
      </c>
      <c r="P102" s="65">
        <v>118.9</v>
      </c>
      <c r="Q102" s="65">
        <v>120.8</v>
      </c>
      <c r="R102" s="65">
        <v>121.3</v>
      </c>
      <c r="S102" s="65">
        <v>122.6</v>
      </c>
      <c r="T102" s="65">
        <v>122.9</v>
      </c>
      <c r="U102" s="65">
        <v>123.9</v>
      </c>
      <c r="V102" s="65">
        <v>127.5</v>
      </c>
      <c r="W102" s="65">
        <v>127.5</v>
      </c>
      <c r="X102" s="65">
        <v>126.5</v>
      </c>
      <c r="Y102" s="65">
        <v>127</v>
      </c>
      <c r="Z102" s="65">
        <v>126.5</v>
      </c>
      <c r="AA102" s="65">
        <v>124.4</v>
      </c>
      <c r="AB102" s="65">
        <v>128.19999999999999</v>
      </c>
      <c r="AC102" s="65">
        <v>126.5</v>
      </c>
      <c r="AD102" s="65">
        <v>123.6</v>
      </c>
      <c r="AE102" s="65">
        <v>125.9</v>
      </c>
      <c r="AF102" s="65">
        <v>123.6</v>
      </c>
      <c r="AG102" s="104"/>
      <c r="AH102" s="47">
        <f t="shared" si="8"/>
        <v>128.19999999999999</v>
      </c>
      <c r="AI102" s="48">
        <f t="shared" si="9"/>
        <v>118.2</v>
      </c>
    </row>
    <row r="103" spans="1:37" x14ac:dyDescent="0.25">
      <c r="A103" s="103" t="s">
        <v>109</v>
      </c>
      <c r="B103" s="65">
        <v>128.4</v>
      </c>
      <c r="C103" s="65">
        <v>128.4</v>
      </c>
      <c r="D103" s="65">
        <v>128.4</v>
      </c>
      <c r="E103" s="65">
        <v>128.4</v>
      </c>
      <c r="F103" s="65">
        <v>128.80000000000001</v>
      </c>
      <c r="G103" s="65">
        <v>127</v>
      </c>
      <c r="H103" s="65">
        <v>129</v>
      </c>
      <c r="I103" s="65">
        <v>129</v>
      </c>
      <c r="J103" s="65">
        <v>129</v>
      </c>
      <c r="K103" s="65">
        <v>129</v>
      </c>
      <c r="L103" s="65">
        <v>126.7</v>
      </c>
      <c r="M103" s="65">
        <v>127.5</v>
      </c>
      <c r="N103" s="65">
        <v>126.9</v>
      </c>
      <c r="O103" s="65">
        <v>123.4</v>
      </c>
      <c r="P103" s="65">
        <v>123.9</v>
      </c>
      <c r="Q103" s="65">
        <v>125.4</v>
      </c>
      <c r="R103" s="65">
        <v>125.7</v>
      </c>
      <c r="S103" s="65">
        <v>126.9</v>
      </c>
      <c r="T103" s="65" t="s">
        <v>303</v>
      </c>
      <c r="U103" s="65">
        <v>127.7</v>
      </c>
      <c r="V103" s="65">
        <v>130</v>
      </c>
      <c r="W103" s="65">
        <v>130</v>
      </c>
      <c r="X103" s="65">
        <v>129.4</v>
      </c>
      <c r="Y103" s="65">
        <v>129.5</v>
      </c>
      <c r="Z103" s="65">
        <v>129.5</v>
      </c>
      <c r="AA103" s="65">
        <v>128.4</v>
      </c>
      <c r="AB103" s="65">
        <v>131.30000000000001</v>
      </c>
      <c r="AC103" s="65">
        <v>130.19999999999999</v>
      </c>
      <c r="AD103" s="65">
        <v>128</v>
      </c>
      <c r="AE103" s="65">
        <v>130.80000000000001</v>
      </c>
      <c r="AF103" s="65">
        <v>129</v>
      </c>
      <c r="AG103" s="104"/>
      <c r="AH103" s="47">
        <f t="shared" si="8"/>
        <v>131.30000000000001</v>
      </c>
      <c r="AI103" s="48">
        <f t="shared" si="9"/>
        <v>123.4</v>
      </c>
    </row>
    <row r="104" spans="1:37" x14ac:dyDescent="0.25">
      <c r="A104" s="103" t="s">
        <v>110</v>
      </c>
      <c r="B104" s="65">
        <v>125.7</v>
      </c>
      <c r="C104" s="65">
        <v>125.7</v>
      </c>
      <c r="D104" s="65">
        <v>125.7</v>
      </c>
      <c r="E104" s="65">
        <v>125.7</v>
      </c>
      <c r="F104" s="65">
        <v>129.69999999999999</v>
      </c>
      <c r="G104" s="65">
        <v>128</v>
      </c>
      <c r="H104" s="65">
        <v>129.6</v>
      </c>
      <c r="I104" s="65">
        <v>129.6</v>
      </c>
      <c r="J104" s="65">
        <v>129.6</v>
      </c>
      <c r="K104" s="65">
        <v>129.6</v>
      </c>
      <c r="L104" s="65">
        <v>125</v>
      </c>
      <c r="M104" s="65">
        <v>127.5</v>
      </c>
      <c r="N104" s="65">
        <v>125.7</v>
      </c>
      <c r="O104" s="65">
        <v>122.5</v>
      </c>
      <c r="P104" s="65">
        <v>121.3</v>
      </c>
      <c r="Q104" s="65">
        <v>130.4</v>
      </c>
      <c r="R104" s="65">
        <v>128</v>
      </c>
      <c r="S104" s="65">
        <v>126</v>
      </c>
      <c r="T104" s="65">
        <v>126</v>
      </c>
      <c r="U104" s="65">
        <v>128.5</v>
      </c>
      <c r="V104" s="65">
        <v>129.19999999999999</v>
      </c>
      <c r="W104" s="65">
        <v>129.19999999999999</v>
      </c>
      <c r="X104" s="65">
        <v>128.30000000000001</v>
      </c>
      <c r="Y104" s="65">
        <v>127.8</v>
      </c>
      <c r="Z104" s="65">
        <v>125.4</v>
      </c>
      <c r="AA104" s="65">
        <v>125.1</v>
      </c>
      <c r="AB104" s="65">
        <v>130.19999999999999</v>
      </c>
      <c r="AC104" s="65">
        <v>127.5</v>
      </c>
      <c r="AD104" s="65">
        <v>126.5</v>
      </c>
      <c r="AE104" s="65">
        <v>126.4</v>
      </c>
      <c r="AF104" s="65">
        <v>126.7</v>
      </c>
      <c r="AG104" s="104"/>
      <c r="AH104" s="47">
        <f t="shared" si="8"/>
        <v>130.4</v>
      </c>
      <c r="AI104" s="48">
        <f t="shared" si="9"/>
        <v>121.3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>
        <v>56.4</v>
      </c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56.4</v>
      </c>
      <c r="AI105" s="48">
        <f t="shared" si="9"/>
        <v>56.4</v>
      </c>
    </row>
    <row r="106" spans="1:37" x14ac:dyDescent="0.25">
      <c r="A106" s="105" t="s">
        <v>112</v>
      </c>
      <c r="B106" s="106">
        <v>133.6</v>
      </c>
      <c r="C106" s="106">
        <v>133.6</v>
      </c>
      <c r="D106" s="106">
        <v>133.6</v>
      </c>
      <c r="E106" s="106">
        <v>133.6</v>
      </c>
      <c r="F106" s="106">
        <v>133</v>
      </c>
      <c r="G106" s="106">
        <v>128.30000000000001</v>
      </c>
      <c r="H106" s="106">
        <v>135</v>
      </c>
      <c r="I106" s="106">
        <v>135</v>
      </c>
      <c r="J106" s="106">
        <v>135</v>
      </c>
      <c r="K106" s="106">
        <v>135</v>
      </c>
      <c r="L106" s="106">
        <v>132.4</v>
      </c>
      <c r="M106" s="106">
        <v>132.80000000000001</v>
      </c>
      <c r="N106" s="106">
        <v>128.5</v>
      </c>
      <c r="O106" s="106">
        <v>129</v>
      </c>
      <c r="P106" s="106">
        <v>129.4</v>
      </c>
      <c r="Q106" s="106">
        <v>131.69999999999999</v>
      </c>
      <c r="R106" s="106">
        <v>131.69999999999999</v>
      </c>
      <c r="S106" s="106">
        <v>132.1</v>
      </c>
      <c r="T106" s="106">
        <v>132.6</v>
      </c>
      <c r="U106" s="106">
        <v>131</v>
      </c>
      <c r="V106" s="106">
        <v>135</v>
      </c>
      <c r="W106" s="106">
        <v>135</v>
      </c>
      <c r="X106" s="106">
        <v>134.6</v>
      </c>
      <c r="Y106" s="106">
        <v>133.9</v>
      </c>
      <c r="Z106" s="106">
        <v>135.5</v>
      </c>
      <c r="AA106" s="106">
        <v>130</v>
      </c>
      <c r="AB106" s="106">
        <v>135.69999999999999</v>
      </c>
      <c r="AC106" s="106">
        <v>134.30000000000001</v>
      </c>
      <c r="AD106" s="106">
        <v>131.4</v>
      </c>
      <c r="AE106" s="106">
        <v>132.6</v>
      </c>
      <c r="AF106" s="106">
        <v>131.1</v>
      </c>
      <c r="AG106" s="107"/>
      <c r="AH106" s="47">
        <f t="shared" si="8"/>
        <v>135.69999999999999</v>
      </c>
      <c r="AI106" s="48">
        <f t="shared" si="9"/>
        <v>128.30000000000001</v>
      </c>
    </row>
    <row r="107" spans="1:37" x14ac:dyDescent="0.25">
      <c r="A107" s="103" t="s">
        <v>113</v>
      </c>
      <c r="B107" s="65">
        <v>129.69999999999999</v>
      </c>
      <c r="C107" s="65">
        <v>129.69999999999999</v>
      </c>
      <c r="D107" s="65">
        <v>129.69999999999999</v>
      </c>
      <c r="E107" s="65">
        <v>129.69999999999999</v>
      </c>
      <c r="F107" s="65">
        <v>130</v>
      </c>
      <c r="G107" s="65">
        <v>135.9</v>
      </c>
      <c r="H107" s="65">
        <v>133</v>
      </c>
      <c r="I107" s="65">
        <v>133</v>
      </c>
      <c r="J107" s="65">
        <v>133</v>
      </c>
      <c r="K107" s="65">
        <v>133</v>
      </c>
      <c r="L107" s="65">
        <v>132.9</v>
      </c>
      <c r="M107" s="65">
        <v>135.30000000000001</v>
      </c>
      <c r="N107" s="65">
        <v>128.6</v>
      </c>
      <c r="O107" s="65">
        <v>131</v>
      </c>
      <c r="P107" s="65">
        <v>131.80000000000001</v>
      </c>
      <c r="Q107" s="65">
        <v>125.6</v>
      </c>
      <c r="R107" s="65">
        <v>132.4</v>
      </c>
      <c r="S107" s="65">
        <v>134.9</v>
      </c>
      <c r="T107" s="65">
        <v>133.30000000000001</v>
      </c>
      <c r="U107" s="65">
        <v>132.80000000000001</v>
      </c>
      <c r="V107" s="65">
        <v>129</v>
      </c>
      <c r="W107" s="65">
        <v>129</v>
      </c>
      <c r="X107" s="65">
        <v>132.5</v>
      </c>
      <c r="Y107" s="65">
        <v>131.19999999999999</v>
      </c>
      <c r="Z107" s="65">
        <v>132.30000000000001</v>
      </c>
      <c r="AA107" s="65">
        <v>130.5</v>
      </c>
      <c r="AB107" s="65">
        <v>129.69999999999999</v>
      </c>
      <c r="AC107" s="65">
        <v>130.69999999999999</v>
      </c>
      <c r="AD107" s="65">
        <v>129.19999999999999</v>
      </c>
      <c r="AE107" s="65">
        <v>132.69999999999999</v>
      </c>
      <c r="AF107" s="65">
        <v>135.30000000000001</v>
      </c>
      <c r="AG107" s="104"/>
      <c r="AH107" s="47">
        <f t="shared" si="8"/>
        <v>135.9</v>
      </c>
      <c r="AI107" s="48">
        <f t="shared" si="9"/>
        <v>125.6</v>
      </c>
    </row>
    <row r="108" spans="1:37" ht="15.75" thickBot="1" x14ac:dyDescent="0.3">
      <c r="A108" s="103" t="s">
        <v>114</v>
      </c>
      <c r="B108" s="92">
        <v>64</v>
      </c>
      <c r="C108" s="92">
        <v>64</v>
      </c>
      <c r="D108" s="92">
        <v>64</v>
      </c>
      <c r="E108" s="92">
        <v>64</v>
      </c>
      <c r="F108" s="92">
        <v>64.2</v>
      </c>
      <c r="G108" s="92">
        <v>63.6</v>
      </c>
      <c r="H108" s="92">
        <v>64.599999999999994</v>
      </c>
      <c r="I108" s="92">
        <v>64.599999999999994</v>
      </c>
      <c r="J108" s="92">
        <v>64.599999999999994</v>
      </c>
      <c r="K108" s="92">
        <v>64.599999999999994</v>
      </c>
      <c r="L108" s="92">
        <v>63.3</v>
      </c>
      <c r="M108" s="92">
        <v>63.5</v>
      </c>
      <c r="N108" s="92">
        <v>63.4</v>
      </c>
      <c r="O108" s="92">
        <v>61.8</v>
      </c>
      <c r="P108" s="92">
        <v>61.8</v>
      </c>
      <c r="Q108" s="92">
        <v>62.3</v>
      </c>
      <c r="R108" s="92">
        <v>62.8</v>
      </c>
      <c r="S108" s="92">
        <v>63.6</v>
      </c>
      <c r="T108" s="92">
        <v>63.6</v>
      </c>
      <c r="U108" s="92">
        <v>63.7</v>
      </c>
      <c r="V108" s="92">
        <v>64.900000000000006</v>
      </c>
      <c r="W108" s="92">
        <v>64.900000000000006</v>
      </c>
      <c r="X108" s="92">
        <v>64.599999999999994</v>
      </c>
      <c r="Y108" s="92">
        <v>64.900000000000006</v>
      </c>
      <c r="Z108" s="92">
        <v>64.7</v>
      </c>
      <c r="AA108" s="92">
        <v>64</v>
      </c>
      <c r="AB108" s="92">
        <v>65.599999999999994</v>
      </c>
      <c r="AC108" s="92">
        <v>64.900000000000006</v>
      </c>
      <c r="AD108" s="92">
        <v>64.099999999999994</v>
      </c>
      <c r="AE108" s="92">
        <v>65.599999999999994</v>
      </c>
      <c r="AF108" s="92">
        <v>65</v>
      </c>
      <c r="AG108" s="108"/>
      <c r="AH108" s="47">
        <f t="shared" si="8"/>
        <v>65.599999999999994</v>
      </c>
      <c r="AI108" s="48">
        <f t="shared" si="9"/>
        <v>61.8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 t="s">
        <v>304</v>
      </c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>SUM(B20,B26,B29:B30,B58,B60:B61,B63,B65,B111:B115,B138,B144,B150,B159,B161,B173,B180,B183:B184,B191,B193,B195,B199:B201,B203:B205,B210,B216:B217,B219:B221,B229,B234)</f>
        <v>127.89999999999999</v>
      </c>
      <c r="C110" s="111">
        <f t="shared" ref="C110:O110" si="15">SUM(C20,C26,C29:C30,C58,C60:C61,C63,C65,C111:C115,C138,C144,C150,C159,C161,C173,C180,C183:C184,C191,C193,C195,C199:C201,C203:C205,C210,C216:C217,C219:C221,C229,C234)</f>
        <v>141.83999999999997</v>
      </c>
      <c r="D110" s="111">
        <f t="shared" si="15"/>
        <v>350.44</v>
      </c>
      <c r="E110" s="111">
        <f t="shared" si="15"/>
        <v>345.94</v>
      </c>
      <c r="F110" s="111">
        <f t="shared" si="15"/>
        <v>93.339999999999989</v>
      </c>
      <c r="G110" s="111">
        <f t="shared" si="15"/>
        <v>109.94</v>
      </c>
      <c r="H110" s="111">
        <f t="shared" si="15"/>
        <v>143.24</v>
      </c>
      <c r="I110" s="111">
        <f t="shared" si="15"/>
        <v>166.44</v>
      </c>
      <c r="J110" s="111">
        <f t="shared" si="15"/>
        <v>221.33999999999997</v>
      </c>
      <c r="K110" s="111">
        <f t="shared" si="15"/>
        <v>243.73999999999998</v>
      </c>
      <c r="L110" s="111">
        <f t="shared" si="15"/>
        <v>258.03999999999996</v>
      </c>
      <c r="M110" s="111">
        <f t="shared" si="15"/>
        <v>242.54</v>
      </c>
      <c r="N110" s="111">
        <f t="shared" si="15"/>
        <v>231.04000000000002</v>
      </c>
      <c r="O110" s="111">
        <f t="shared" si="15"/>
        <v>265.74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259.70000000000005</v>
      </c>
      <c r="R110" s="111">
        <f t="shared" si="16"/>
        <v>278.39999999999998</v>
      </c>
      <c r="S110" s="111">
        <f t="shared" si="16"/>
        <v>251.30000000000004</v>
      </c>
      <c r="T110" s="111">
        <f t="shared" si="16"/>
        <v>242</v>
      </c>
      <c r="U110" s="111">
        <f t="shared" si="16"/>
        <v>248.3</v>
      </c>
      <c r="V110" s="111">
        <f>SUM(V20,V26,V29:V30,V58,V60:V61,V63,V65,V111:V115,V138,V144,V150,V159,V161,V173,V180,V183:V184,V191,V193,V195,V199:V201,V203:V205,V210,V216:V217,V219:V221,V229,V234)</f>
        <v>252.79999999999995</v>
      </c>
      <c r="W110" s="111">
        <f t="shared" si="16"/>
        <v>252.79999999999995</v>
      </c>
      <c r="X110" s="111">
        <f>SUM(X20,X26,X29:X30,X58,X60:X61,X63,X65,X111:X115,X138,X144,X150,X159,X161,X173,X180,X183:X184,X191,X193,X195,X199:X201,X203:X205,X210,X216:X217,X219:X221,X229,X234)</f>
        <v>241.70000000000002</v>
      </c>
      <c r="Y110" s="111">
        <f t="shared" si="16"/>
        <v>243.6</v>
      </c>
      <c r="Z110" s="111">
        <f t="shared" si="16"/>
        <v>266.60000000000002</v>
      </c>
      <c r="AA110" s="111">
        <v>333.04</v>
      </c>
      <c r="AB110" s="111">
        <f t="shared" si="16"/>
        <v>298</v>
      </c>
      <c r="AC110" s="111">
        <f t="shared" si="16"/>
        <v>279.79999999999995</v>
      </c>
      <c r="AD110" s="111"/>
      <c r="AE110" s="111">
        <f t="shared" si="16"/>
        <v>160.39999999999998</v>
      </c>
      <c r="AF110" s="111">
        <f t="shared" si="16"/>
        <v>118.4</v>
      </c>
      <c r="AG110" s="112"/>
      <c r="AH110" s="47">
        <f t="shared" si="8"/>
        <v>350.44</v>
      </c>
      <c r="AI110" s="48">
        <f t="shared" si="9"/>
        <v>42</v>
      </c>
    </row>
    <row r="111" spans="1:37" x14ac:dyDescent="0.25">
      <c r="A111" s="100" t="s">
        <v>117</v>
      </c>
      <c r="B111" s="113">
        <v>16.7</v>
      </c>
      <c r="C111" s="113">
        <v>29.7</v>
      </c>
      <c r="D111" s="113">
        <v>26.4</v>
      </c>
      <c r="E111" s="113">
        <v>26.4</v>
      </c>
      <c r="F111" s="113">
        <v>32</v>
      </c>
      <c r="G111" s="113">
        <v>27.9</v>
      </c>
      <c r="H111" s="113">
        <v>38.1</v>
      </c>
      <c r="I111" s="113">
        <v>31.2</v>
      </c>
      <c r="J111" s="113">
        <v>31.5</v>
      </c>
      <c r="K111" s="113">
        <v>32.299999999999997</v>
      </c>
      <c r="L111" s="113">
        <v>32.5</v>
      </c>
      <c r="M111" s="113">
        <v>32.700000000000003</v>
      </c>
      <c r="N111" s="113">
        <v>25.4</v>
      </c>
      <c r="O111" s="113">
        <v>31.2</v>
      </c>
      <c r="P111" s="113">
        <v>39.200000000000003</v>
      </c>
      <c r="Q111" s="113">
        <v>36.9</v>
      </c>
      <c r="R111" s="113">
        <v>21.1</v>
      </c>
      <c r="S111" s="113">
        <v>25.3</v>
      </c>
      <c r="T111" s="113">
        <v>20.100000000000001</v>
      </c>
      <c r="U111" s="113">
        <v>12.8</v>
      </c>
      <c r="V111" s="113">
        <v>39.799999999999997</v>
      </c>
      <c r="W111" s="113">
        <v>39.799999999999997</v>
      </c>
      <c r="X111" s="113">
        <v>11.2</v>
      </c>
      <c r="Y111" s="113">
        <v>-1.5</v>
      </c>
      <c r="Z111" s="113">
        <v>17.3</v>
      </c>
      <c r="AA111" s="113">
        <v>23.2</v>
      </c>
      <c r="AB111" s="113">
        <v>40.200000000000003</v>
      </c>
      <c r="AC111" s="113">
        <v>28</v>
      </c>
      <c r="AD111" s="113">
        <v>26.1</v>
      </c>
      <c r="AE111" s="113">
        <v>27</v>
      </c>
      <c r="AF111" s="113">
        <v>2.7</v>
      </c>
      <c r="AG111" s="114">
        <v>75</v>
      </c>
      <c r="AH111" s="47">
        <f t="shared" si="8"/>
        <v>40.200000000000003</v>
      </c>
      <c r="AI111" s="48">
        <f t="shared" si="9"/>
        <v>-1.5</v>
      </c>
    </row>
    <row r="112" spans="1:37" x14ac:dyDescent="0.25">
      <c r="A112" s="103" t="s">
        <v>118</v>
      </c>
      <c r="B112" s="115">
        <v>29.7</v>
      </c>
      <c r="C112" s="115">
        <v>29.7</v>
      </c>
      <c r="D112" s="115">
        <v>43.5</v>
      </c>
      <c r="E112" s="115">
        <v>43.5</v>
      </c>
      <c r="F112" s="115">
        <v>49.6</v>
      </c>
      <c r="G112" s="115">
        <v>43.2</v>
      </c>
      <c r="H112" s="115">
        <v>57.9</v>
      </c>
      <c r="I112" s="115">
        <v>46.2</v>
      </c>
      <c r="J112" s="115">
        <v>45</v>
      </c>
      <c r="K112" s="115">
        <v>44.6</v>
      </c>
      <c r="L112" s="115">
        <v>45.2</v>
      </c>
      <c r="M112" s="115">
        <v>46</v>
      </c>
      <c r="N112" s="115">
        <v>36.700000000000003</v>
      </c>
      <c r="O112" s="115">
        <v>43.9</v>
      </c>
      <c r="P112" s="115">
        <v>54.4</v>
      </c>
      <c r="Q112" s="115">
        <v>51.8</v>
      </c>
      <c r="R112" s="115">
        <v>35.200000000000003</v>
      </c>
      <c r="S112" s="115">
        <v>39.5</v>
      </c>
      <c r="T112" s="115">
        <v>30.9</v>
      </c>
      <c r="U112" s="115">
        <v>20.6</v>
      </c>
      <c r="V112" s="115">
        <v>41.2</v>
      </c>
      <c r="W112" s="115">
        <v>41.2</v>
      </c>
      <c r="X112" s="115">
        <v>15.8</v>
      </c>
      <c r="Y112" s="115">
        <f>-12.9+4.8</f>
        <v>-8.1000000000000014</v>
      </c>
      <c r="Z112" s="115">
        <v>20.8</v>
      </c>
      <c r="AA112" s="115">
        <v>31.6</v>
      </c>
      <c r="AB112" s="115">
        <v>58.1</v>
      </c>
      <c r="AC112" s="115">
        <v>40</v>
      </c>
      <c r="AD112" s="115">
        <v>37.700000000000003</v>
      </c>
      <c r="AE112" s="115">
        <v>47.5</v>
      </c>
      <c r="AF112" s="115">
        <v>16.3</v>
      </c>
      <c r="AG112" s="114">
        <v>240</v>
      </c>
      <c r="AH112" s="47">
        <f t="shared" si="8"/>
        <v>58.1</v>
      </c>
      <c r="AI112" s="48">
        <f t="shared" si="9"/>
        <v>-8.1000000000000014</v>
      </c>
    </row>
    <row r="113" spans="1:37" x14ac:dyDescent="0.25">
      <c r="A113" s="103" t="s">
        <v>119</v>
      </c>
      <c r="B113" s="115">
        <v>-118</v>
      </c>
      <c r="C113" s="115">
        <v>-118</v>
      </c>
      <c r="D113" s="115">
        <v>96.5</v>
      </c>
      <c r="E113" s="115">
        <v>96.5</v>
      </c>
      <c r="F113" s="115">
        <v>-98</v>
      </c>
      <c r="G113" s="115">
        <v>-73</v>
      </c>
      <c r="H113" s="115">
        <v>-116</v>
      </c>
      <c r="I113" s="115">
        <v>-91</v>
      </c>
      <c r="J113" s="115">
        <v>-65</v>
      </c>
      <c r="K113" s="115">
        <v>-54</v>
      </c>
      <c r="L113" s="115">
        <v>-50</v>
      </c>
      <c r="M113" s="115">
        <v>-70</v>
      </c>
      <c r="N113" s="115">
        <v>-67.2</v>
      </c>
      <c r="O113" s="115">
        <v>-72</v>
      </c>
      <c r="P113" s="115">
        <v>-78</v>
      </c>
      <c r="Q113" s="115">
        <v>-78</v>
      </c>
      <c r="R113" s="115">
        <f>-18.8-26.7</f>
        <v>-45.5</v>
      </c>
      <c r="S113" s="115">
        <f>-48.8-27.8</f>
        <v>-76.599999999999994</v>
      </c>
      <c r="T113" s="115">
        <f>-53.2-21.1</f>
        <v>-74.300000000000011</v>
      </c>
      <c r="U113" s="115">
        <f>-45.1-13.7</f>
        <v>-58.8</v>
      </c>
      <c r="V113" s="115">
        <f>-50.3-19</f>
        <v>-69.3</v>
      </c>
      <c r="W113" s="115">
        <f>-50.3-19</f>
        <v>-69.3</v>
      </c>
      <c r="X113" s="115">
        <f>-24-3.9</f>
        <v>-27.9</v>
      </c>
      <c r="Y113" s="115">
        <f>-13.7+4.1</f>
        <v>-9.6</v>
      </c>
      <c r="Z113" s="115">
        <f>-30.5-4.8</f>
        <v>-35.299999999999997</v>
      </c>
      <c r="AA113" s="115">
        <v>-25.7</v>
      </c>
      <c r="AB113" s="115">
        <v>-45</v>
      </c>
      <c r="AC113" s="115">
        <v>-20</v>
      </c>
      <c r="AD113" s="115">
        <v>-54</v>
      </c>
      <c r="AE113" s="115">
        <v>-100</v>
      </c>
      <c r="AF113" s="115">
        <v>-96</v>
      </c>
      <c r="AG113" s="114">
        <v>240</v>
      </c>
      <c r="AH113" s="47">
        <f t="shared" si="8"/>
        <v>96.5</v>
      </c>
      <c r="AI113" s="48">
        <f t="shared" si="9"/>
        <v>-118</v>
      </c>
    </row>
    <row r="114" spans="1:37" x14ac:dyDescent="0.25">
      <c r="A114" s="103" t="s">
        <v>120</v>
      </c>
      <c r="B114" s="115">
        <v>-13.2</v>
      </c>
      <c r="C114" s="115">
        <v>-13.2</v>
      </c>
      <c r="D114" s="115">
        <v>-13</v>
      </c>
      <c r="E114" s="115">
        <v>-13</v>
      </c>
      <c r="F114" s="115">
        <v>-14.3</v>
      </c>
      <c r="G114" s="115">
        <v>-9</v>
      </c>
      <c r="H114" s="115">
        <v>-13.5</v>
      </c>
      <c r="I114" s="115">
        <v>-7.7</v>
      </c>
      <c r="J114" s="115">
        <v>-3</v>
      </c>
      <c r="K114" s="115">
        <v>-2.9</v>
      </c>
      <c r="L114" s="115">
        <v>8.1999999999999993</v>
      </c>
      <c r="M114" s="115">
        <v>15.1</v>
      </c>
      <c r="N114" s="115">
        <v>15.5</v>
      </c>
      <c r="O114" s="115">
        <v>18.7</v>
      </c>
      <c r="P114" s="115">
        <v>15.4</v>
      </c>
      <c r="Q114" s="115">
        <v>15.3</v>
      </c>
      <c r="R114" s="115">
        <v>24.9</v>
      </c>
      <c r="S114" s="115">
        <v>31.9</v>
      </c>
      <c r="T114" s="115">
        <v>32.299999999999997</v>
      </c>
      <c r="U114" s="115">
        <v>35.700000000000003</v>
      </c>
      <c r="V114" s="115">
        <v>34.6</v>
      </c>
      <c r="W114" s="115">
        <v>34.6</v>
      </c>
      <c r="X114" s="115">
        <v>20.8</v>
      </c>
      <c r="Y114" s="115">
        <v>34.700000000000003</v>
      </c>
      <c r="Z114" s="115">
        <v>40.1</v>
      </c>
      <c r="AA114" s="115">
        <v>39.4</v>
      </c>
      <c r="AB114" s="115">
        <v>39.4</v>
      </c>
      <c r="AC114" s="115">
        <v>41.6</v>
      </c>
      <c r="AD114" s="115">
        <v>15.9</v>
      </c>
      <c r="AE114" s="115">
        <v>-3.7</v>
      </c>
      <c r="AF114" s="115">
        <v>-2.6</v>
      </c>
      <c r="AG114" s="114">
        <v>60</v>
      </c>
      <c r="AH114" s="47">
        <f t="shared" si="8"/>
        <v>41.6</v>
      </c>
      <c r="AI114" s="48">
        <f t="shared" si="9"/>
        <v>-14.3</v>
      </c>
    </row>
    <row r="115" spans="1:37" x14ac:dyDescent="0.25">
      <c r="A115" s="116" t="s">
        <v>121</v>
      </c>
      <c r="B115" s="117">
        <v>84.9</v>
      </c>
      <c r="C115" s="117">
        <v>84.9</v>
      </c>
      <c r="D115" s="117">
        <v>68.3</v>
      </c>
      <c r="E115" s="117">
        <v>68.3</v>
      </c>
      <c r="F115" s="117">
        <v>0</v>
      </c>
      <c r="G115" s="117">
        <v>0</v>
      </c>
      <c r="H115" s="117">
        <v>55.9</v>
      </c>
      <c r="I115" s="117">
        <v>66.900000000000006</v>
      </c>
      <c r="J115" s="117">
        <v>90</v>
      </c>
      <c r="K115" s="117">
        <v>98.9</v>
      </c>
      <c r="L115" s="117">
        <v>95</v>
      </c>
      <c r="M115" s="117">
        <v>92.6</v>
      </c>
      <c r="N115" s="117">
        <v>94.5</v>
      </c>
      <c r="O115" s="117">
        <v>108.3</v>
      </c>
      <c r="P115" s="117">
        <v>104</v>
      </c>
      <c r="Q115" s="117">
        <v>97.1</v>
      </c>
      <c r="R115" s="117">
        <v>107.5</v>
      </c>
      <c r="S115" s="117">
        <v>96</v>
      </c>
      <c r="T115" s="117">
        <v>97.8</v>
      </c>
      <c r="U115" s="117">
        <v>102.8</v>
      </c>
      <c r="V115" s="117">
        <v>71.3</v>
      </c>
      <c r="W115" s="117">
        <v>71.3</v>
      </c>
      <c r="X115" s="117">
        <v>96.6</v>
      </c>
      <c r="Y115" s="117">
        <v>102.9</v>
      </c>
      <c r="Z115" s="117">
        <v>104.8</v>
      </c>
      <c r="AA115" s="117">
        <v>100.7</v>
      </c>
      <c r="AB115" s="117">
        <v>85.9</v>
      </c>
      <c r="AC115" s="117">
        <v>70.8</v>
      </c>
      <c r="AD115" s="117">
        <v>102.6</v>
      </c>
      <c r="AE115" s="117">
        <v>70.2</v>
      </c>
      <c r="AF115" s="117">
        <v>78.599999999999994</v>
      </c>
      <c r="AG115" s="118">
        <v>120</v>
      </c>
      <c r="AH115" s="47">
        <f t="shared" si="8"/>
        <v>108.3</v>
      </c>
      <c r="AI115" s="48">
        <f t="shared" si="9"/>
        <v>0</v>
      </c>
    </row>
    <row r="116" spans="1:37" x14ac:dyDescent="0.25">
      <c r="A116" s="116" t="s">
        <v>122</v>
      </c>
      <c r="B116" s="117">
        <v>82.1</v>
      </c>
      <c r="C116" s="117">
        <v>82.1</v>
      </c>
      <c r="D116" s="117">
        <v>87.9</v>
      </c>
      <c r="E116" s="117">
        <v>87.9</v>
      </c>
      <c r="F116" s="117">
        <v>93.9</v>
      </c>
      <c r="G116" s="117">
        <v>94.3</v>
      </c>
      <c r="H116" s="117">
        <v>73.8</v>
      </c>
      <c r="I116" s="117">
        <v>72.099999999999994</v>
      </c>
      <c r="J116" s="117">
        <v>91</v>
      </c>
      <c r="K116" s="117">
        <v>93</v>
      </c>
      <c r="L116" s="117">
        <v>88.6</v>
      </c>
      <c r="M116" s="117">
        <v>92</v>
      </c>
      <c r="N116" s="117">
        <v>92.6</v>
      </c>
      <c r="O116" s="117">
        <v>105.9</v>
      </c>
      <c r="P116" s="117">
        <v>104.3</v>
      </c>
      <c r="Q116" s="117">
        <v>104</v>
      </c>
      <c r="R116" s="117">
        <v>108</v>
      </c>
      <c r="S116" s="117">
        <v>101</v>
      </c>
      <c r="T116" s="117">
        <v>99.8</v>
      </c>
      <c r="U116" s="117">
        <v>104.7</v>
      </c>
      <c r="V116" s="117">
        <v>71.5</v>
      </c>
      <c r="W116" s="117">
        <v>71.5</v>
      </c>
      <c r="X116" s="117">
        <v>83.6</v>
      </c>
      <c r="Y116" s="117">
        <v>81.400000000000006</v>
      </c>
      <c r="Z116" s="117">
        <v>78.900000000000006</v>
      </c>
      <c r="AA116" s="117">
        <v>94.2</v>
      </c>
      <c r="AB116" s="117">
        <v>58.8</v>
      </c>
      <c r="AC116" s="117">
        <v>83.7</v>
      </c>
      <c r="AD116" s="117">
        <v>82.6</v>
      </c>
      <c r="AE116" s="117">
        <v>77</v>
      </c>
      <c r="AF116" s="117">
        <v>82.5</v>
      </c>
      <c r="AG116" s="118"/>
      <c r="AH116" s="47">
        <f t="shared" si="8"/>
        <v>108</v>
      </c>
      <c r="AI116" s="48">
        <f t="shared" si="9"/>
        <v>58.8</v>
      </c>
    </row>
    <row r="117" spans="1:37" x14ac:dyDescent="0.25">
      <c r="A117" s="116" t="s">
        <v>123</v>
      </c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>
        <v>28.3</v>
      </c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>
        <v>41.4</v>
      </c>
      <c r="AC117" s="117"/>
      <c r="AD117" s="117"/>
      <c r="AE117" s="117"/>
      <c r="AF117" s="117"/>
      <c r="AG117" s="119"/>
      <c r="AH117" s="47">
        <f t="shared" si="8"/>
        <v>41.4</v>
      </c>
      <c r="AI117" s="48">
        <f t="shared" si="9"/>
        <v>28.3</v>
      </c>
    </row>
    <row r="118" spans="1:37" x14ac:dyDescent="0.25">
      <c r="A118" s="120" t="s">
        <v>124</v>
      </c>
      <c r="B118" s="106">
        <v>-0.9</v>
      </c>
      <c r="C118" s="106">
        <v>-0.9</v>
      </c>
      <c r="D118" s="106">
        <v>-0.8</v>
      </c>
      <c r="E118" s="106">
        <v>-0.8</v>
      </c>
      <c r="F118" s="106">
        <v>-2.2999999999999998</v>
      </c>
      <c r="G118" s="106">
        <v>4.7</v>
      </c>
      <c r="H118" s="106">
        <v>2.4</v>
      </c>
      <c r="I118" s="106">
        <v>-2.2999999999999998</v>
      </c>
      <c r="J118" s="106">
        <v>-10</v>
      </c>
      <c r="K118" s="106">
        <v>-17.399999999999999</v>
      </c>
      <c r="L118" s="106">
        <v>-21.6</v>
      </c>
      <c r="M118" s="106">
        <v>-16.399999999999999</v>
      </c>
      <c r="N118" s="106">
        <v>-19.399999999999999</v>
      </c>
      <c r="O118" s="106">
        <v>-20.3</v>
      </c>
      <c r="P118" s="106">
        <v>-28.1</v>
      </c>
      <c r="Q118" s="106">
        <v>-33.799999999999997</v>
      </c>
      <c r="R118" s="106">
        <v>-32.4</v>
      </c>
      <c r="S118" s="106">
        <v>-47.8</v>
      </c>
      <c r="T118" s="106">
        <v>-15.1</v>
      </c>
      <c r="U118" s="106">
        <v>-29.2</v>
      </c>
      <c r="V118" s="106">
        <v>-22.9</v>
      </c>
      <c r="W118" s="106">
        <v>-22.9</v>
      </c>
      <c r="X118" s="106">
        <v>-26.8</v>
      </c>
      <c r="Y118" s="106">
        <v>-30.7</v>
      </c>
      <c r="Z118" s="106">
        <v>-44.3</v>
      </c>
      <c r="AA118" s="106">
        <v>-44.8</v>
      </c>
      <c r="AB118" s="106">
        <v>-39.200000000000003</v>
      </c>
      <c r="AC118" s="106">
        <v>35.799999999999997</v>
      </c>
      <c r="AD118" s="106">
        <v>-32</v>
      </c>
      <c r="AE118" s="106">
        <v>-25</v>
      </c>
      <c r="AF118" s="106">
        <v>-24</v>
      </c>
      <c r="AG118" s="119"/>
      <c r="AH118" s="47">
        <f t="shared" si="8"/>
        <v>35.799999999999997</v>
      </c>
      <c r="AI118" s="48">
        <f t="shared" si="9"/>
        <v>-47.8</v>
      </c>
    </row>
    <row r="119" spans="1:37" x14ac:dyDescent="0.25">
      <c r="A119" s="175" t="s">
        <v>265</v>
      </c>
      <c r="B119" s="106">
        <v>82.8</v>
      </c>
      <c r="C119" s="106">
        <v>82.8</v>
      </c>
      <c r="D119" s="106">
        <v>67.8</v>
      </c>
      <c r="E119" s="106">
        <v>67.8</v>
      </c>
      <c r="F119" s="106">
        <v>65.3</v>
      </c>
      <c r="G119" s="106">
        <v>92.3</v>
      </c>
      <c r="H119" s="106">
        <v>77.5</v>
      </c>
      <c r="I119" s="106">
        <v>53.7</v>
      </c>
      <c r="J119" s="106">
        <v>35</v>
      </c>
      <c r="K119" s="106">
        <v>9.5</v>
      </c>
      <c r="L119" s="106">
        <v>17.5</v>
      </c>
      <c r="M119" s="106">
        <v>30.5</v>
      </c>
      <c r="N119" s="106">
        <v>25.5</v>
      </c>
      <c r="O119" s="106">
        <v>29.6</v>
      </c>
      <c r="P119" s="106">
        <v>38.799999999999997</v>
      </c>
      <c r="Q119" s="106">
        <v>32.1</v>
      </c>
      <c r="R119" s="106">
        <v>35.6</v>
      </c>
      <c r="S119" s="106">
        <v>37.299999999999997</v>
      </c>
      <c r="T119" s="106">
        <v>44</v>
      </c>
      <c r="U119" s="106">
        <v>32.299999999999997</v>
      </c>
      <c r="V119" s="106">
        <v>40</v>
      </c>
      <c r="W119" s="106">
        <v>40</v>
      </c>
      <c r="X119" s="106">
        <v>-10.9</v>
      </c>
      <c r="Y119" s="106">
        <v>-26.1</v>
      </c>
      <c r="Z119" s="106">
        <v>4.5</v>
      </c>
      <c r="AA119" s="106">
        <v>-15.9</v>
      </c>
      <c r="AB119" s="106">
        <v>51.5</v>
      </c>
      <c r="AC119" s="106">
        <v>25.4</v>
      </c>
      <c r="AD119" s="106">
        <v>35.9</v>
      </c>
      <c r="AE119" s="106">
        <v>67</v>
      </c>
      <c r="AF119" s="106">
        <v>71.787999999999997</v>
      </c>
      <c r="AG119" s="119"/>
      <c r="AH119" s="47">
        <f t="shared" si="8"/>
        <v>92.3</v>
      </c>
      <c r="AI119" s="48">
        <f t="shared" si="9"/>
        <v>-26.1</v>
      </c>
    </row>
    <row r="120" spans="1:37" ht="15.75" thickBot="1" x14ac:dyDescent="0.3">
      <c r="A120" s="120" t="s">
        <v>125</v>
      </c>
      <c r="B120" s="106">
        <v>85.3</v>
      </c>
      <c r="C120" s="106">
        <v>112.9</v>
      </c>
      <c r="D120" s="106">
        <v>112</v>
      </c>
      <c r="E120" s="106">
        <v>112</v>
      </c>
      <c r="F120" s="106">
        <v>108.8</v>
      </c>
      <c r="G120" s="106">
        <v>99.2</v>
      </c>
      <c r="H120" s="106">
        <v>86.8</v>
      </c>
      <c r="I120" s="106">
        <v>88.8</v>
      </c>
      <c r="J120" s="106">
        <v>101</v>
      </c>
      <c r="K120" s="106">
        <v>104</v>
      </c>
      <c r="L120" s="106">
        <v>108.4</v>
      </c>
      <c r="M120" s="106">
        <v>104.3</v>
      </c>
      <c r="N120" s="106">
        <v>108.3</v>
      </c>
      <c r="O120" s="106">
        <v>105.2</v>
      </c>
      <c r="P120" s="106">
        <v>106.8</v>
      </c>
      <c r="Q120" s="106">
        <v>65.7</v>
      </c>
      <c r="R120" s="106">
        <v>68.900000000000006</v>
      </c>
      <c r="S120" s="106">
        <v>73</v>
      </c>
      <c r="T120" s="106">
        <v>63.5</v>
      </c>
      <c r="U120" s="106">
        <v>61.7</v>
      </c>
      <c r="V120" s="106">
        <v>60</v>
      </c>
      <c r="W120" s="106">
        <v>60</v>
      </c>
      <c r="X120" s="106">
        <v>53.9</v>
      </c>
      <c r="Y120" s="106">
        <v>58.6</v>
      </c>
      <c r="Z120" s="106">
        <v>74.400000000000006</v>
      </c>
      <c r="AA120" s="106">
        <v>82.5</v>
      </c>
      <c r="AB120" s="106">
        <v>70</v>
      </c>
      <c r="AC120" s="106">
        <v>67.400000000000006</v>
      </c>
      <c r="AD120" s="106">
        <v>69</v>
      </c>
      <c r="AE120" s="106">
        <v>68.3</v>
      </c>
      <c r="AF120" s="106">
        <v>71</v>
      </c>
      <c r="AG120" s="119"/>
      <c r="AH120" s="47">
        <f t="shared" si="8"/>
        <v>112.9</v>
      </c>
      <c r="AI120" s="48">
        <f t="shared" si="9"/>
        <v>53.9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123.21900000000009</v>
      </c>
      <c r="N231" s="128">
        <f t="shared" ca="1" si="19"/>
        <v>123.21900000000009</v>
      </c>
      <c r="O231" s="128">
        <f t="shared" ca="1" si="19"/>
        <v>123.21900000000009</v>
      </c>
      <c r="P231" s="128">
        <f t="shared" ca="1" si="19"/>
        <v>115.17900000000007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121.23900000000009</v>
      </c>
      <c r="M235" s="136">
        <f t="shared" ca="1" si="20"/>
        <v>117.21900000000008</v>
      </c>
      <c r="N235" s="136">
        <f t="shared" ca="1" si="20"/>
        <v>117.21900000000008</v>
      </c>
      <c r="O235" s="136">
        <f t="shared" ca="1" si="20"/>
        <v>125.2590000000001</v>
      </c>
      <c r="P235" s="136">
        <f t="shared" ca="1" si="20"/>
        <v>117.21900000000008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1877.8400000000001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24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2080/02/24)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2080/02/24)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1725.9399999999998</v>
      </c>
      <c r="U249" s="170">
        <f t="shared" si="21"/>
        <v>1721.04</v>
      </c>
      <c r="V249" s="170">
        <f t="shared" si="21"/>
        <v>1686.74</v>
      </c>
      <c r="W249" s="170">
        <f t="shared" si="21"/>
        <v>1623.5400000000002</v>
      </c>
      <c r="X249" s="170">
        <f t="shared" si="21"/>
        <v>1642.54</v>
      </c>
      <c r="Y249" s="170">
        <f t="shared" si="21"/>
        <v>1620.34</v>
      </c>
      <c r="Z249" s="170">
        <f t="shared" si="21"/>
        <v>1628.6400000000003</v>
      </c>
      <c r="AA249" s="170">
        <f t="shared" si="21"/>
        <v>1650.1399999999999</v>
      </c>
      <c r="AB249" s="170">
        <f t="shared" si="21"/>
        <v>1637.3400000000001</v>
      </c>
      <c r="AC249" s="170">
        <f t="shared" si="21"/>
        <v>1766.94</v>
      </c>
      <c r="AD249" s="170">
        <f t="shared" si="21"/>
        <v>1810.2400000000002</v>
      </c>
      <c r="AE249" s="170">
        <f t="shared" si="21"/>
        <v>1868.8400000000001</v>
      </c>
      <c r="AF249" s="170">
        <f t="shared" si="21"/>
        <v>1877.8400000000001</v>
      </c>
      <c r="AG249" s="170">
        <f t="shared" si="21"/>
        <v>1914.94</v>
      </c>
      <c r="AH249" s="170">
        <f t="shared" si="21"/>
        <v>1926.0400000000002</v>
      </c>
      <c r="AI249" s="170">
        <f t="shared" si="21"/>
        <v>1911.2400000000002</v>
      </c>
      <c r="AJ249" s="170">
        <f t="shared" si="21"/>
        <v>1985.8400000000001</v>
      </c>
      <c r="AK249" s="170">
        <f t="shared" si="21"/>
        <v>1921.54</v>
      </c>
      <c r="AL249" s="170">
        <f t="shared" si="21"/>
        <v>1867.24</v>
      </c>
      <c r="AM249" s="170">
        <f t="shared" si="21"/>
        <v>1829.64</v>
      </c>
      <c r="AN249" s="170">
        <f t="shared" si="21"/>
        <v>1726.54</v>
      </c>
      <c r="AO249" s="170">
        <f t="shared" si="21"/>
        <v>1672.54</v>
      </c>
      <c r="AP249" s="170">
        <f t="shared" si="21"/>
        <v>1665.7400000000002</v>
      </c>
      <c r="AQ249" s="170">
        <f t="shared" si="21"/>
        <v>1692.14</v>
      </c>
      <c r="AR249" s="170">
        <f t="shared" si="21"/>
        <v>1834.0400000000002</v>
      </c>
      <c r="AS249" s="170">
        <f t="shared" si="21"/>
        <v>1910.24</v>
      </c>
      <c r="AT249" s="170">
        <f t="shared" si="21"/>
        <v>1895.04</v>
      </c>
      <c r="AU249" s="170">
        <f t="shared" si="21"/>
        <v>1855.1399999999999</v>
      </c>
      <c r="AV249" s="170">
        <f t="shared" si="21"/>
        <v>1869.1399999999999</v>
      </c>
      <c r="AW249" s="170">
        <f t="shared" si="21"/>
        <v>1704.2399999999998</v>
      </c>
      <c r="AX249" s="170">
        <f t="shared" si="21"/>
        <v>1669.8400000000001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5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56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AA14:AF17 AA12:AF12">
    <cfRule type="expression" dxfId="4621" priority="552">
      <formula>B$9&gt;=20/24</formula>
    </cfRule>
    <cfRule type="expression" dxfId="4620" priority="553">
      <formula>AND(B$9&gt;=14/24,B$9&lt;20/24)</formula>
    </cfRule>
    <cfRule type="expression" dxfId="4619" priority="554">
      <formula>AND(B$9&gt;=8/24,B$9&lt;14/24)</formula>
    </cfRule>
    <cfRule type="expression" dxfId="4618" priority="555">
      <formula>B$9&lt;8/24</formula>
    </cfRule>
  </conditionalFormatting>
  <conditionalFormatting sqref="AL4:AL6">
    <cfRule type="iconSet" priority="551">
      <iconSet iconSet="3TrafficLights2" reverse="1">
        <cfvo type="percent" val="0"/>
        <cfvo type="num" val="1"/>
        <cfvo type="num" val="1"/>
      </iconSet>
    </cfRule>
  </conditionalFormatting>
  <conditionalFormatting sqref="AG67 AA14:AF17 AA12:AF12">
    <cfRule type="expression" dxfId="4617" priority="550">
      <formula>AA12&gt;$AG12</formula>
    </cfRule>
  </conditionalFormatting>
  <conditionalFormatting sqref="A101:A111 A61:A88 A97:A99 A205:A235 A48:A59 A121:A192 A43:A44 A93:A95 A90:A91 A113:A115 A40:A41 A21:A22 A24:A34 A19 A36:A38 A12:A17">
    <cfRule type="expression" dxfId="4616" priority="549">
      <formula>$AH12=0</formula>
    </cfRule>
  </conditionalFormatting>
  <conditionalFormatting sqref="A116">
    <cfRule type="expression" dxfId="4615" priority="548">
      <formula>$AH116=0</formula>
    </cfRule>
  </conditionalFormatting>
  <conditionalFormatting sqref="AL44">
    <cfRule type="iconSet" priority="547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4614" priority="546">
      <formula>$AH47=0</formula>
    </cfRule>
  </conditionalFormatting>
  <conditionalFormatting sqref="A100">
    <cfRule type="expression" dxfId="4613" priority="545">
      <formula>$AH100=0</formula>
    </cfRule>
  </conditionalFormatting>
  <conditionalFormatting sqref="A20">
    <cfRule type="expression" dxfId="4612" priority="544">
      <formula>$AH20=0</formula>
    </cfRule>
  </conditionalFormatting>
  <conditionalFormatting sqref="A199:A204">
    <cfRule type="expression" dxfId="4611" priority="543">
      <formula>$AH199=0</formula>
    </cfRule>
  </conditionalFormatting>
  <conditionalFormatting sqref="A193:A198">
    <cfRule type="expression" dxfId="4610" priority="542">
      <formula>$AH193=0</formula>
    </cfRule>
  </conditionalFormatting>
  <conditionalFormatting sqref="A60">
    <cfRule type="expression" dxfId="4609" priority="541">
      <formula>$AH60=0</formula>
    </cfRule>
  </conditionalFormatting>
  <conditionalFormatting sqref="A96">
    <cfRule type="expression" dxfId="4608" priority="540">
      <formula>$AH96=0</formula>
    </cfRule>
  </conditionalFormatting>
  <conditionalFormatting sqref="AD101:AF101 E101:Y101">
    <cfRule type="expression" dxfId="4607" priority="536">
      <formula>E$9&gt;=20/24</formula>
    </cfRule>
    <cfRule type="expression" dxfId="4606" priority="537">
      <formula>AND(E$9&gt;=14/24,E$9&lt;20/24)</formula>
    </cfRule>
    <cfRule type="expression" dxfId="4605" priority="538">
      <formula>AND(E$9&gt;=8/24,E$9&lt;14/24)</formula>
    </cfRule>
    <cfRule type="expression" dxfId="4604" priority="539">
      <formula>E$9&lt;8/24</formula>
    </cfRule>
  </conditionalFormatting>
  <conditionalFormatting sqref="AL45">
    <cfRule type="iconSet" priority="53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603" priority="558">
      <formula>C$9&gt;=20/24</formula>
    </cfRule>
    <cfRule type="expression" dxfId="4602" priority="559">
      <formula>AND(C$9&gt;=14/24,C$9&lt;20/24)</formula>
    </cfRule>
    <cfRule type="expression" dxfId="4601" priority="560">
      <formula>AND(C$9&gt;=8/24,C$9&lt;14/24)</formula>
    </cfRule>
    <cfRule type="expression" dxfId="4600" priority="561">
      <formula>C$9&lt;8/24</formula>
    </cfRule>
  </conditionalFormatting>
  <conditionalFormatting sqref="A236">
    <cfRule type="expression" dxfId="4599" priority="562">
      <formula>$AH236=0</formula>
    </cfRule>
  </conditionalFormatting>
  <conditionalFormatting sqref="AG248">
    <cfRule type="expression" dxfId="4598" priority="563">
      <formula>B$9&gt;=20/24</formula>
    </cfRule>
    <cfRule type="expression" dxfId="4597" priority="564">
      <formula>AND(B$9&gt;=14/24,B$9&lt;20/24)</formula>
    </cfRule>
    <cfRule type="expression" dxfId="4596" priority="565">
      <formula>AND(B$9&gt;=8/24,B$9&lt;14/24)</formula>
    </cfRule>
    <cfRule type="expression" dxfId="4595" priority="566">
      <formula>B$9&lt;8/24</formula>
    </cfRule>
  </conditionalFormatting>
  <conditionalFormatting sqref="S8">
    <cfRule type="expression" dxfId="4594" priority="531">
      <formula>U$9&gt;=20/24</formula>
    </cfRule>
    <cfRule type="expression" dxfId="4593" priority="532">
      <formula>AND(U$9&gt;=14/24,U$9&lt;20/24)</formula>
    </cfRule>
    <cfRule type="expression" dxfId="4592" priority="533">
      <formula>AND(U$9&gt;=8/24,U$9&lt;14/24)</formula>
    </cfRule>
    <cfRule type="expression" dxfId="4591" priority="534">
      <formula>U$9&lt;8/24</formula>
    </cfRule>
  </conditionalFormatting>
  <conditionalFormatting sqref="AB8">
    <cfRule type="expression" dxfId="4590" priority="527">
      <formula>AD$9&gt;=20/24</formula>
    </cfRule>
    <cfRule type="expression" dxfId="4589" priority="528">
      <formula>AND(AD$9&gt;=14/24,AD$9&lt;20/24)</formula>
    </cfRule>
    <cfRule type="expression" dxfId="4588" priority="529">
      <formula>AND(AD$9&gt;=8/24,AD$9&lt;14/24)</formula>
    </cfRule>
    <cfRule type="expression" dxfId="4587" priority="530">
      <formula>AD$9&lt;8/24</formula>
    </cfRule>
  </conditionalFormatting>
  <conditionalFormatting sqref="AH248:AX248">
    <cfRule type="expression" dxfId="4586" priority="567">
      <formula>AG$9&gt;=20/24</formula>
    </cfRule>
    <cfRule type="expression" dxfId="4585" priority="568">
      <formula>AND(AG$9&gt;=14/24,AG$9&lt;20/24)</formula>
    </cfRule>
    <cfRule type="expression" dxfId="4584" priority="569">
      <formula>AND(AG$9&gt;=8/24,AG$9&lt;14/24)</formula>
    </cfRule>
    <cfRule type="expression" dxfId="4583" priority="570">
      <formula>AG$9&lt;8/24</formula>
    </cfRule>
  </conditionalFormatting>
  <conditionalFormatting sqref="T248">
    <cfRule type="expression" dxfId="4582" priority="571">
      <formula>AX$9&gt;=20/24</formula>
    </cfRule>
    <cfRule type="expression" dxfId="4581" priority="572">
      <formula>AND(AX$9&gt;=14/24,AX$9&lt;20/24)</formula>
    </cfRule>
    <cfRule type="expression" dxfId="4580" priority="573">
      <formula>AND(AX$9&gt;=8/24,AX$9&lt;14/24)</formula>
    </cfRule>
    <cfRule type="expression" dxfId="4579" priority="574">
      <formula>AX$9&lt;8/24</formula>
    </cfRule>
  </conditionalFormatting>
  <conditionalFormatting sqref="A117:A119">
    <cfRule type="expression" dxfId="4578" priority="526">
      <formula>$AH117=0</formula>
    </cfRule>
  </conditionalFormatting>
  <conditionalFormatting sqref="AD56:AD59 AF73 M56:O58 P56:R59 S58:Y59 E73:AD73 AE58:AF59">
    <cfRule type="expression" dxfId="4577" priority="522">
      <formula>E$9&gt;=20/24</formula>
    </cfRule>
    <cfRule type="expression" dxfId="4576" priority="523">
      <formula>AND(E$9&gt;=14/24,E$9&lt;20/24)</formula>
    </cfRule>
    <cfRule type="expression" dxfId="4575" priority="524">
      <formula>AND(E$9&gt;=8/24,E$9&lt;14/24)</formula>
    </cfRule>
    <cfRule type="expression" dxfId="4574" priority="525">
      <formula>E$9&lt;8/24</formula>
    </cfRule>
  </conditionalFormatting>
  <conditionalFormatting sqref="AD55 M55:R55">
    <cfRule type="expression" dxfId="4573" priority="518">
      <formula>M$9&gt;=20/24</formula>
    </cfRule>
    <cfRule type="expression" dxfId="4572" priority="519">
      <formula>AND(M$9&gt;=14/24,M$9&lt;20/24)</formula>
    </cfRule>
    <cfRule type="expression" dxfId="4571" priority="520">
      <formula>AND(M$9&gt;=8/24,M$9&lt;14/24)</formula>
    </cfRule>
    <cfRule type="expression" dxfId="4570" priority="521">
      <formula>M$9&lt;8/24</formula>
    </cfRule>
  </conditionalFormatting>
  <conditionalFormatting sqref="AD55:AD59 M55:O58 P55:R59 S58:Y59 AE58:AF59">
    <cfRule type="expression" dxfId="4569" priority="517">
      <formula>M55&gt;$AG55</formula>
    </cfRule>
  </conditionalFormatting>
  <conditionalFormatting sqref="D88:AF88 X98:AF98 AE102:AF108 X49:AF49 M102:Y108 E74:AC75 AA69:AF71 AD74:AF76">
    <cfRule type="expression" dxfId="4568" priority="513">
      <formula>D$9&gt;=20/24</formula>
    </cfRule>
    <cfRule type="expression" dxfId="4567" priority="514">
      <formula>AND(D$9&gt;=14/24,D$9&lt;20/24)</formula>
    </cfRule>
    <cfRule type="expression" dxfId="4566" priority="515">
      <formula>AND(D$9&gt;=8/24,D$9&lt;14/24)</formula>
    </cfRule>
    <cfRule type="expression" dxfId="4565" priority="516">
      <formula>D$9&lt;8/24</formula>
    </cfRule>
  </conditionalFormatting>
  <conditionalFormatting sqref="X49:AF49 AA69:AF71">
    <cfRule type="expression" dxfId="4564" priority="512">
      <formula>X49&gt;$AG49</formula>
    </cfRule>
  </conditionalFormatting>
  <conditionalFormatting sqref="S55:Y57 Z55:AC60 AD60:AF60">
    <cfRule type="expression" dxfId="4563" priority="508">
      <formula>S$9&gt;=20/24</formula>
    </cfRule>
    <cfRule type="expression" dxfId="4562" priority="509">
      <formula>AND(S$9&gt;=14/24,S$9&lt;20/24)</formula>
    </cfRule>
    <cfRule type="expression" dxfId="4561" priority="510">
      <formula>AND(S$9&gt;=8/24,S$9&lt;14/24)</formula>
    </cfRule>
    <cfRule type="expression" dxfId="4560" priority="511">
      <formula>S$9&lt;8/24</formula>
    </cfRule>
  </conditionalFormatting>
  <conditionalFormatting sqref="S55:Y57 Z55:AC60 AD60:AF60">
    <cfRule type="expression" dxfId="4559" priority="507">
      <formula>S55&gt;$AG55</formula>
    </cfRule>
  </conditionalFormatting>
  <conditionalFormatting sqref="C99:AF99 D90:AF90">
    <cfRule type="expression" dxfId="4558" priority="503">
      <formula>C$9&gt;=20/24</formula>
    </cfRule>
    <cfRule type="expression" dxfId="4557" priority="504">
      <formula>AND(C$9&gt;=14/24,C$9&lt;20/24)</formula>
    </cfRule>
    <cfRule type="expression" dxfId="4556" priority="505">
      <formula>AND(C$9&gt;=8/24,C$9&lt;14/24)</formula>
    </cfRule>
    <cfRule type="expression" dxfId="4555" priority="506">
      <formula>C$9&lt;8/24</formula>
    </cfRule>
  </conditionalFormatting>
  <conditionalFormatting sqref="T49:W49">
    <cfRule type="expression" dxfId="4554" priority="499">
      <formula>T$9&gt;=20/24</formula>
    </cfRule>
    <cfRule type="expression" dxfId="4553" priority="500">
      <formula>AND(T$9&gt;=14/24,T$9&lt;20/24)</formula>
    </cfRule>
    <cfRule type="expression" dxfId="4552" priority="501">
      <formula>AND(T$9&gt;=8/24,T$9&lt;14/24)</formula>
    </cfRule>
    <cfRule type="expression" dxfId="4551" priority="502">
      <formula>T$9&lt;8/24</formula>
    </cfRule>
  </conditionalFormatting>
  <conditionalFormatting sqref="T49:W49">
    <cfRule type="expression" dxfId="4550" priority="498">
      <formula>T49&gt;$AG49</formula>
    </cfRule>
  </conditionalFormatting>
  <conditionalFormatting sqref="F56:L57">
    <cfRule type="expression" dxfId="4549" priority="494">
      <formula>F$9&gt;=20/24</formula>
    </cfRule>
    <cfRule type="expression" dxfId="4548" priority="495">
      <formula>AND(F$9&gt;=14/24,F$9&lt;20/24)</formula>
    </cfRule>
    <cfRule type="expression" dxfId="4547" priority="496">
      <formula>AND(F$9&gt;=8/24,F$9&lt;14/24)</formula>
    </cfRule>
    <cfRule type="expression" dxfId="4546" priority="497">
      <formula>F$9&lt;8/24</formula>
    </cfRule>
  </conditionalFormatting>
  <conditionalFormatting sqref="F55:L55">
    <cfRule type="expression" dxfId="4545" priority="490">
      <formula>F$9&gt;=20/24</formula>
    </cfRule>
    <cfRule type="expression" dxfId="4544" priority="491">
      <formula>AND(F$9&gt;=14/24,F$9&lt;20/24)</formula>
    </cfRule>
    <cfRule type="expression" dxfId="4543" priority="492">
      <formula>AND(F$9&gt;=8/24,F$9&lt;14/24)</formula>
    </cfRule>
    <cfRule type="expression" dxfId="4542" priority="493">
      <formula>F$9&lt;8/24</formula>
    </cfRule>
  </conditionalFormatting>
  <conditionalFormatting sqref="F55:L57">
    <cfRule type="expression" dxfId="4541" priority="489">
      <formula>F55&gt;$AG55</formula>
    </cfRule>
  </conditionalFormatting>
  <conditionalFormatting sqref="AG72 AG89 F102:L108">
    <cfRule type="expression" dxfId="4540" priority="485">
      <formula>F$9&gt;=20/24</formula>
    </cfRule>
    <cfRule type="expression" dxfId="4539" priority="486">
      <formula>AND(F$9&gt;=14/24,F$9&lt;20/24)</formula>
    </cfRule>
    <cfRule type="expression" dxfId="4538" priority="487">
      <formula>AND(F$9&gt;=8/24,F$9&lt;14/24)</formula>
    </cfRule>
    <cfRule type="expression" dxfId="4537" priority="488">
      <formula>F$9&lt;8/24</formula>
    </cfRule>
  </conditionalFormatting>
  <conditionalFormatting sqref="AG50 AG68 AG72">
    <cfRule type="expression" dxfId="4536" priority="484">
      <formula>AG50&gt;$AG50</formula>
    </cfRule>
  </conditionalFormatting>
  <conditionalFormatting sqref="A45">
    <cfRule type="expression" dxfId="4535" priority="478">
      <formula>$AH45=0</formula>
    </cfRule>
  </conditionalFormatting>
  <conditionalFormatting sqref="X93:AF97">
    <cfRule type="expression" dxfId="4534" priority="474">
      <formula>X$9&gt;=20/24</formula>
    </cfRule>
    <cfRule type="expression" dxfId="4533" priority="475">
      <formula>AND(X$9&gt;=14/24,X$9&lt;20/24)</formula>
    </cfRule>
    <cfRule type="expression" dxfId="4532" priority="476">
      <formula>AND(X$9&gt;=8/24,X$9&lt;14/24)</formula>
    </cfRule>
    <cfRule type="expression" dxfId="4531" priority="477">
      <formula>X$9&lt;8/24</formula>
    </cfRule>
  </conditionalFormatting>
  <conditionalFormatting sqref="AL47 AL43 AL24:AL34 AL40:AL41 AL19:AL22 AL36:AL38 AL7:AL17">
    <cfRule type="iconSet" priority="575">
      <iconSet iconSet="3TrafficLights2" reverse="1">
        <cfvo type="percent" val="0"/>
        <cfvo type="num" val="1"/>
        <cfvo type="num" val="1"/>
      </iconSet>
    </cfRule>
  </conditionalFormatting>
  <conditionalFormatting sqref="E51:V51 F52:V53 W51:AF53">
    <cfRule type="expression" dxfId="4530" priority="470">
      <formula>E$9&gt;=20/24</formula>
    </cfRule>
    <cfRule type="expression" dxfId="4529" priority="471">
      <formula>AND(E$9&gt;=14/24,E$9&lt;20/24)</formula>
    </cfRule>
    <cfRule type="expression" dxfId="4528" priority="472">
      <formula>AND(E$9&gt;=8/24,E$9&lt;14/24)</formula>
    </cfRule>
    <cfRule type="expression" dxfId="4527" priority="473">
      <formula>E$9&lt;8/24</formula>
    </cfRule>
  </conditionalFormatting>
  <conditionalFormatting sqref="E51:V51 F52:V53 W51:AF53">
    <cfRule type="expression" dxfId="4526" priority="469">
      <formula>E51&gt;$AG51</formula>
    </cfRule>
  </conditionalFormatting>
  <conditionalFormatting sqref="AG54">
    <cfRule type="expression" dxfId="4525" priority="465">
      <formula>AG$9&gt;=20/24</formula>
    </cfRule>
    <cfRule type="expression" dxfId="4524" priority="466">
      <formula>AND(AG$9&gt;=14/24,AG$9&lt;20/24)</formula>
    </cfRule>
    <cfRule type="expression" dxfId="4523" priority="467">
      <formula>AND(AG$9&gt;=8/24,AG$9&lt;14/24)</formula>
    </cfRule>
    <cfRule type="expression" dxfId="4522" priority="468">
      <formula>AG$9&lt;8/24</formula>
    </cfRule>
  </conditionalFormatting>
  <conditionalFormatting sqref="AG54">
    <cfRule type="expression" dxfId="4521" priority="464">
      <formula>AG54&gt;$AG54</formula>
    </cfRule>
  </conditionalFormatting>
  <conditionalFormatting sqref="C109:AF109">
    <cfRule type="expression" dxfId="4520" priority="460">
      <formula>C$9&gt;=20/24</formula>
    </cfRule>
    <cfRule type="expression" dxfId="4519" priority="461">
      <formula>AND(C$9&gt;=14/24,C$9&lt;20/24)</formula>
    </cfRule>
    <cfRule type="expression" dxfId="4518" priority="462">
      <formula>AND(C$9&gt;=8/24,C$9&lt;14/24)</formula>
    </cfRule>
    <cfRule type="expression" dxfId="4517" priority="463">
      <formula>C$9&lt;8/24</formula>
    </cfRule>
  </conditionalFormatting>
  <conditionalFormatting sqref="AL42">
    <cfRule type="iconSet" priority="459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4516" priority="458">
      <formula>$AH42=0</formula>
    </cfRule>
  </conditionalFormatting>
  <conditionalFormatting sqref="A92">
    <cfRule type="expression" dxfId="4515" priority="456">
      <formula>$AH92=0</formula>
    </cfRule>
  </conditionalFormatting>
  <conditionalFormatting sqref="A89">
    <cfRule type="expression" dxfId="4514" priority="457">
      <formula>$AH89=0</formula>
    </cfRule>
  </conditionalFormatting>
  <conditionalFormatting sqref="D112:AF112">
    <cfRule type="expression" dxfId="4513" priority="452">
      <formula>D$9&gt;=20/24</formula>
    </cfRule>
    <cfRule type="expression" dxfId="4512" priority="453">
      <formula>AND(D$9&gt;=14/24,D$9&lt;20/24)</formula>
    </cfRule>
    <cfRule type="expression" dxfId="4511" priority="454">
      <formula>AND(D$9&gt;=8/24,D$9&lt;14/24)</formula>
    </cfRule>
    <cfRule type="expression" dxfId="4510" priority="455">
      <formula>D$9&lt;8/24</formula>
    </cfRule>
  </conditionalFormatting>
  <conditionalFormatting sqref="A112">
    <cfRule type="expression" dxfId="4509" priority="451">
      <formula>$AH112=0</formula>
    </cfRule>
  </conditionalFormatting>
  <conditionalFormatting sqref="A23">
    <cfRule type="expression" dxfId="4508" priority="449">
      <formula>$AH23=0</formula>
    </cfRule>
  </conditionalFormatting>
  <conditionalFormatting sqref="AL23">
    <cfRule type="iconSet" priority="450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4507" priority="447">
      <formula>$AH39=0</formula>
    </cfRule>
  </conditionalFormatting>
  <conditionalFormatting sqref="AL39">
    <cfRule type="iconSet" priority="448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4506" priority="443">
      <formula>Z$9&gt;=20/24</formula>
    </cfRule>
    <cfRule type="expression" dxfId="4505" priority="444">
      <formula>AND(Z$9&gt;=14/24,Z$9&lt;20/24)</formula>
    </cfRule>
    <cfRule type="expression" dxfId="4504" priority="445">
      <formula>AND(Z$9&gt;=8/24,Z$9&lt;14/24)</formula>
    </cfRule>
    <cfRule type="expression" dxfId="4503" priority="446">
      <formula>Z$9&lt;8/24</formula>
    </cfRule>
  </conditionalFormatting>
  <conditionalFormatting sqref="Z102:AD108">
    <cfRule type="expression" dxfId="4502" priority="439">
      <formula>Z$9&gt;=20/24</formula>
    </cfRule>
    <cfRule type="expression" dxfId="4501" priority="440">
      <formula>AND(Z$9&gt;=14/24,Z$9&lt;20/24)</formula>
    </cfRule>
    <cfRule type="expression" dxfId="4500" priority="441">
      <formula>AND(Z$9&gt;=8/24,Z$9&lt;14/24)</formula>
    </cfRule>
    <cfRule type="expression" dxfId="4499" priority="442">
      <formula>Z$9&lt;8/24</formula>
    </cfRule>
  </conditionalFormatting>
  <conditionalFormatting sqref="C111 AA19:AF30 AA36:AF45 AA32:AF34">
    <cfRule type="expression" dxfId="4498" priority="435">
      <formula>C$9&gt;=20/24</formula>
    </cfRule>
    <cfRule type="expression" dxfId="4497" priority="436">
      <formula>AND(C$9&gt;=14/24,C$9&lt;20/24)</formula>
    </cfRule>
    <cfRule type="expression" dxfId="4496" priority="437">
      <formula>AND(C$9&gt;=8/24,C$9&lt;14/24)</formula>
    </cfRule>
    <cfRule type="expression" dxfId="4495" priority="438">
      <formula>C$9&lt;8/24</formula>
    </cfRule>
  </conditionalFormatting>
  <conditionalFormatting sqref="E49:S49">
    <cfRule type="expression" dxfId="4494" priority="431">
      <formula>E$9&gt;=20/24</formula>
    </cfRule>
    <cfRule type="expression" dxfId="4493" priority="432">
      <formula>AND(E$9&gt;=14/24,E$9&lt;20/24)</formula>
    </cfRule>
    <cfRule type="expression" dxfId="4492" priority="433">
      <formula>AND(E$9&gt;=8/24,E$9&lt;14/24)</formula>
    </cfRule>
    <cfRule type="expression" dxfId="4491" priority="434">
      <formula>E$9&lt;8/24</formula>
    </cfRule>
  </conditionalFormatting>
  <conditionalFormatting sqref="E49:S49 AA19:AF30 AA36:AF45 AA32:AF34">
    <cfRule type="expression" dxfId="4490" priority="430">
      <formula>E19&gt;$AG19</formula>
    </cfRule>
  </conditionalFormatting>
  <conditionalFormatting sqref="D101">
    <cfRule type="expression" dxfId="4489" priority="426">
      <formula>D$9&gt;=20/24</formula>
    </cfRule>
    <cfRule type="expression" dxfId="4488" priority="427">
      <formula>AND(D$9&gt;=14/24,D$9&lt;20/24)</formula>
    </cfRule>
    <cfRule type="expression" dxfId="4487" priority="428">
      <formula>AND(D$9&gt;=8/24,D$9&lt;14/24)</formula>
    </cfRule>
    <cfRule type="expression" dxfId="4486" priority="429">
      <formula>D$9&lt;8/24</formula>
    </cfRule>
  </conditionalFormatting>
  <conditionalFormatting sqref="C88 C98:W98 C85:AF87 E69:Z71 F76:AC78 AD77:AF78">
    <cfRule type="expression" dxfId="4485" priority="422">
      <formula>C$9&gt;=20/24</formula>
    </cfRule>
    <cfRule type="expression" dxfId="4484" priority="423">
      <formula>AND(C$9&gt;=14/24,C$9&lt;20/24)</formula>
    </cfRule>
    <cfRule type="expression" dxfId="4483" priority="424">
      <formula>AND(C$9&gt;=8/24,C$9&lt;14/24)</formula>
    </cfRule>
    <cfRule type="expression" dxfId="4482" priority="425">
      <formula>C$9&lt;8/24</formula>
    </cfRule>
  </conditionalFormatting>
  <conditionalFormatting sqref="F58:L59 M59:O59 E69:Z71">
    <cfRule type="expression" dxfId="4481" priority="421">
      <formula>E58&gt;$AG58</formula>
    </cfRule>
  </conditionalFormatting>
  <conditionalFormatting sqref="D73">
    <cfRule type="expression" dxfId="4480" priority="363">
      <formula>D$9&gt;=20/24</formula>
    </cfRule>
    <cfRule type="expression" dxfId="4479" priority="364">
      <formula>AND(D$9&gt;=14/24,D$9&lt;20/24)</formula>
    </cfRule>
    <cfRule type="expression" dxfId="4478" priority="365">
      <formula>AND(D$9&gt;=8/24,D$9&lt;14/24)</formula>
    </cfRule>
    <cfRule type="expression" dxfId="4477" priority="366">
      <formula>D$9&lt;8/24</formula>
    </cfRule>
  </conditionalFormatting>
  <conditionalFormatting sqref="C89:AF89 C91:AF91 C100:AF100 C72:AF72">
    <cfRule type="expression" dxfId="4476" priority="417">
      <formula>C$9&gt;=20/24</formula>
    </cfRule>
    <cfRule type="expression" dxfId="4475" priority="418">
      <formula>AND(C$9&gt;=14/24,C$9&lt;20/24)</formula>
    </cfRule>
    <cfRule type="expression" dxfId="4474" priority="419">
      <formula>AND(C$9&gt;=8/24,C$9&lt;14/24)</formula>
    </cfRule>
    <cfRule type="expression" dxfId="4473" priority="420">
      <formula>C$9&lt;8/24</formula>
    </cfRule>
  </conditionalFormatting>
  <conditionalFormatting sqref="C72:AF72 D67:AF68">
    <cfRule type="expression" dxfId="4472" priority="416">
      <formula>C67&gt;$AG67</formula>
    </cfRule>
  </conditionalFormatting>
  <conditionalFormatting sqref="C84:AF84">
    <cfRule type="expression" dxfId="4471" priority="412">
      <formula>C$9&gt;=20/24</formula>
    </cfRule>
    <cfRule type="expression" dxfId="4470" priority="413">
      <formula>AND(C$9&gt;=14/24,C$9&lt;20/24)</formula>
    </cfRule>
    <cfRule type="expression" dxfId="4469" priority="414">
      <formula>AND(C$9&gt;=8/24,C$9&lt;14/24)</formula>
    </cfRule>
    <cfRule type="expression" dxfId="4468" priority="415">
      <formula>C$9&lt;8/24</formula>
    </cfRule>
  </conditionalFormatting>
  <conditionalFormatting sqref="C93:W97">
    <cfRule type="expression" dxfId="4467" priority="408">
      <formula>C$9&gt;=20/24</formula>
    </cfRule>
    <cfRule type="expression" dxfId="4466" priority="409">
      <formula>AND(C$9&gt;=14/24,C$9&lt;20/24)</formula>
    </cfRule>
    <cfRule type="expression" dxfId="4465" priority="410">
      <formula>AND(C$9&gt;=8/24,C$9&lt;14/24)</formula>
    </cfRule>
    <cfRule type="expression" dxfId="4464" priority="411">
      <formula>C$9&lt;8/24</formula>
    </cfRule>
  </conditionalFormatting>
  <conditionalFormatting sqref="D54:AF54">
    <cfRule type="expression" dxfId="4463" priority="404">
      <formula>D$9&gt;=20/24</formula>
    </cfRule>
    <cfRule type="expression" dxfId="4462" priority="405">
      <formula>AND(D$9&gt;=14/24,D$9&lt;20/24)</formula>
    </cfRule>
    <cfRule type="expression" dxfId="4461" priority="406">
      <formula>AND(D$9&gt;=8/24,D$9&lt;14/24)</formula>
    </cfRule>
    <cfRule type="expression" dxfId="4460" priority="407">
      <formula>D$9&lt;8/24</formula>
    </cfRule>
  </conditionalFormatting>
  <conditionalFormatting sqref="D54:AF54">
    <cfRule type="expression" dxfId="4459" priority="403">
      <formula>D54&gt;$AG54</formula>
    </cfRule>
  </conditionalFormatting>
  <conditionalFormatting sqref="AA61:AF61 AA63:AF66">
    <cfRule type="expression" dxfId="4458" priority="391">
      <formula>AA$9&gt;=20/24</formula>
    </cfRule>
    <cfRule type="expression" dxfId="4457" priority="392">
      <formula>AND(AA$9&gt;=14/24,AA$9&lt;20/24)</formula>
    </cfRule>
    <cfRule type="expression" dxfId="4456" priority="393">
      <formula>AND(AA$9&gt;=8/24,AA$9&lt;14/24)</formula>
    </cfRule>
    <cfRule type="expression" dxfId="4455" priority="394">
      <formula>AA$9&lt;8/24</formula>
    </cfRule>
  </conditionalFormatting>
  <conditionalFormatting sqref="AA61:AF61 AA63:AF66">
    <cfRule type="expression" dxfId="4454" priority="390">
      <formula>AA61&gt;$AG61</formula>
    </cfRule>
  </conditionalFormatting>
  <conditionalFormatting sqref="AA47:AF47">
    <cfRule type="expression" dxfId="4453" priority="389">
      <formula>AA47&gt;$AG47</formula>
    </cfRule>
  </conditionalFormatting>
  <conditionalFormatting sqref="AA13:AF13">
    <cfRule type="expression" dxfId="4452" priority="385">
      <formula>AA$9&gt;=20/24</formula>
    </cfRule>
    <cfRule type="expression" dxfId="4451" priority="386">
      <formula>AND(AA$9&gt;=14/24,AA$9&lt;20/24)</formula>
    </cfRule>
    <cfRule type="expression" dxfId="4450" priority="387">
      <formula>AND(AA$9&gt;=8/24,AA$9&lt;14/24)</formula>
    </cfRule>
    <cfRule type="expression" dxfId="4449" priority="388">
      <formula>AA$9&lt;8/24</formula>
    </cfRule>
  </conditionalFormatting>
  <conditionalFormatting sqref="AA13:AF13">
    <cfRule type="expression" dxfId="4448" priority="384">
      <formula>AA13&gt;$AG13</formula>
    </cfRule>
  </conditionalFormatting>
  <conditionalFormatting sqref="AA47:AF47">
    <cfRule type="expression" dxfId="4447" priority="380">
      <formula>AA$9&gt;=20/24</formula>
    </cfRule>
    <cfRule type="expression" dxfId="4446" priority="381">
      <formula>AND(AA$9&gt;=14/24,AA$9&lt;20/24)</formula>
    </cfRule>
    <cfRule type="expression" dxfId="4445" priority="382">
      <formula>AND(AA$9&gt;=8/24,AA$9&lt;14/24)</formula>
    </cfRule>
    <cfRule type="expression" dxfId="4444" priority="383">
      <formula>AA$9&lt;8/24</formula>
    </cfRule>
  </conditionalFormatting>
  <conditionalFormatting sqref="M79:AF83">
    <cfRule type="expression" dxfId="4443" priority="376">
      <formula>M$9&gt;=20/24</formula>
    </cfRule>
    <cfRule type="expression" dxfId="4442" priority="377">
      <formula>AND(M$9&gt;=14/24,M$9&lt;20/24)</formula>
    </cfRule>
    <cfRule type="expression" dxfId="4441" priority="378">
      <formula>AND(M$9&gt;=8/24,M$9&lt;14/24)</formula>
    </cfRule>
    <cfRule type="expression" dxfId="4440" priority="379">
      <formula>M$9&lt;8/24</formula>
    </cfRule>
  </conditionalFormatting>
  <conditionalFormatting sqref="AL80:AN80 AL86:AN86 AN81:AN82">
    <cfRule type="expression" dxfId="4439" priority="372">
      <formula>AL$9&gt;=20/24</formula>
    </cfRule>
    <cfRule type="expression" dxfId="4438" priority="373">
      <formula>AND(AL$9&gt;=14/24,AL$9&lt;20/24)</formula>
    </cfRule>
    <cfRule type="expression" dxfId="4437" priority="374">
      <formula>AND(AL$9&gt;=8/24,AL$9&lt;14/24)</formula>
    </cfRule>
    <cfRule type="expression" dxfId="4436" priority="375">
      <formula>AL$9&lt;8/24</formula>
    </cfRule>
  </conditionalFormatting>
  <conditionalFormatting sqref="AN83:AN84">
    <cfRule type="expression" dxfId="4435" priority="368">
      <formula>AN$9&gt;=20/24</formula>
    </cfRule>
    <cfRule type="expression" dxfId="4434" priority="369">
      <formula>AND(AN$9&gt;=14/24,AN$9&lt;20/24)</formula>
    </cfRule>
    <cfRule type="expression" dxfId="4433" priority="370">
      <formula>AND(AN$9&gt;=8/24,AN$9&lt;14/24)</formula>
    </cfRule>
    <cfRule type="expression" dxfId="4432" priority="371">
      <formula>AN$9&lt;8/24</formula>
    </cfRule>
  </conditionalFormatting>
  <conditionalFormatting sqref="AL81:AM85">
    <cfRule type="expression" dxfId="4431" priority="576">
      <formula>AJ$9&gt;=20/24</formula>
    </cfRule>
    <cfRule type="expression" dxfId="4430" priority="577">
      <formula>AND(AJ$9&gt;=14/24,AJ$9&lt;20/24)</formula>
    </cfRule>
    <cfRule type="expression" dxfId="4429" priority="578">
      <formula>AND(AJ$9&gt;=8/24,AJ$9&lt;14/24)</formula>
    </cfRule>
    <cfRule type="expression" dxfId="4428" priority="579">
      <formula>AJ$9&lt;8/24</formula>
    </cfRule>
  </conditionalFormatting>
  <conditionalFormatting sqref="A120">
    <cfRule type="expression" dxfId="4427" priority="367">
      <formula>$AH120=0</formula>
    </cfRule>
  </conditionalFormatting>
  <conditionalFormatting sqref="C90">
    <cfRule type="expression" dxfId="4426" priority="349">
      <formula>C$9&gt;=20/24</formula>
    </cfRule>
    <cfRule type="expression" dxfId="4425" priority="350">
      <formula>AND(C$9&gt;=14/24,C$9&lt;20/24)</formula>
    </cfRule>
    <cfRule type="expression" dxfId="4424" priority="351">
      <formula>AND(C$9&gt;=8/24,C$9&lt;14/24)</formula>
    </cfRule>
    <cfRule type="expression" dxfId="4423" priority="352">
      <formula>C$9&lt;8/24</formula>
    </cfRule>
  </conditionalFormatting>
  <conditionalFormatting sqref="AA48:AF48">
    <cfRule type="expression" dxfId="4422" priority="345">
      <formula>AA$9&gt;=20/24</formula>
    </cfRule>
    <cfRule type="expression" dxfId="4421" priority="346">
      <formula>AND(AA$9&gt;=14/24,AA$9&lt;20/24)</formula>
    </cfRule>
    <cfRule type="expression" dxfId="4420" priority="347">
      <formula>AND(AA$9&gt;=8/24,AA$9&lt;14/24)</formula>
    </cfRule>
    <cfRule type="expression" dxfId="4419" priority="348">
      <formula>AA$9&lt;8/24</formula>
    </cfRule>
  </conditionalFormatting>
  <conditionalFormatting sqref="AA48:AF48">
    <cfRule type="expression" dxfId="4418" priority="344">
      <formula>AA48&gt;$AG48</formula>
    </cfRule>
  </conditionalFormatting>
  <conditionalFormatting sqref="F60:Y60">
    <cfRule type="expression" dxfId="4417" priority="340">
      <formula>F$9&gt;=20/24</formula>
    </cfRule>
    <cfRule type="expression" dxfId="4416" priority="341">
      <formula>AND(F$9&gt;=14/24,F$9&lt;20/24)</formula>
    </cfRule>
    <cfRule type="expression" dxfId="4415" priority="342">
      <formula>AND(F$9&gt;=8/24,F$9&lt;14/24)</formula>
    </cfRule>
    <cfRule type="expression" dxfId="4414" priority="343">
      <formula>F$9&lt;8/24</formula>
    </cfRule>
  </conditionalFormatting>
  <conditionalFormatting sqref="F60:Y60">
    <cfRule type="expression" dxfId="4413" priority="339">
      <formula>F60&gt;$AG60</formula>
    </cfRule>
  </conditionalFormatting>
  <conditionalFormatting sqref="C49:D49">
    <cfRule type="expression" dxfId="4412" priority="269">
      <formula>C$9&gt;=20/24</formula>
    </cfRule>
    <cfRule type="expression" dxfId="4411" priority="270">
      <formula>AND(C$9&gt;=14/24,C$9&lt;20/24)</formula>
    </cfRule>
    <cfRule type="expression" dxfId="4410" priority="271">
      <formula>AND(C$9&gt;=8/24,C$9&lt;14/24)</formula>
    </cfRule>
    <cfRule type="expression" dxfId="4409" priority="272">
      <formula>C$9&lt;8/24</formula>
    </cfRule>
  </conditionalFormatting>
  <conditionalFormatting sqref="E50:AF50">
    <cfRule type="expression" dxfId="4408" priority="334">
      <formula>E50&gt;$AG50</formula>
    </cfRule>
  </conditionalFormatting>
  <conditionalFormatting sqref="R61:Z61 R63:Z66 R62:AF62">
    <cfRule type="expression" dxfId="4407" priority="330">
      <formula>R$9&gt;=20/24</formula>
    </cfRule>
    <cfRule type="expression" dxfId="4406" priority="331">
      <formula>AND(R$9&gt;=14/24,R$9&lt;20/24)</formula>
    </cfRule>
    <cfRule type="expression" dxfId="4405" priority="332">
      <formula>AND(R$9&gt;=8/24,R$9&lt;14/24)</formula>
    </cfRule>
    <cfRule type="expression" dxfId="4404" priority="333">
      <formula>R$9&lt;8/24</formula>
    </cfRule>
  </conditionalFormatting>
  <conditionalFormatting sqref="R61:Z61 R63:Z66 R62:AF62">
    <cfRule type="expression" dxfId="4403" priority="329">
      <formula>R61&gt;$AG61</formula>
    </cfRule>
  </conditionalFormatting>
  <conditionalFormatting sqref="A11">
    <cfRule type="expression" dxfId="4402" priority="324">
      <formula>$AH11=0</formula>
    </cfRule>
  </conditionalFormatting>
  <conditionalFormatting sqref="AA11:AF11">
    <cfRule type="expression" dxfId="4401" priority="320">
      <formula>AA$9&gt;=20/24</formula>
    </cfRule>
    <cfRule type="expression" dxfId="4400" priority="321">
      <formula>AND(AA$9&gt;=14/24,AA$9&lt;20/24)</formula>
    </cfRule>
    <cfRule type="expression" dxfId="4399" priority="322">
      <formula>AND(AA$9&gt;=8/24,AA$9&lt;14/24)</formula>
    </cfRule>
    <cfRule type="expression" dxfId="4398" priority="323">
      <formula>AA$9&lt;8/24</formula>
    </cfRule>
  </conditionalFormatting>
  <conditionalFormatting sqref="AA11:AF11">
    <cfRule type="expression" dxfId="4397" priority="319">
      <formula>AA11&gt;$AG11</formula>
    </cfRule>
  </conditionalFormatting>
  <conditionalFormatting sqref="A18">
    <cfRule type="expression" dxfId="4396" priority="317">
      <formula>$AH18=0</formula>
    </cfRule>
  </conditionalFormatting>
  <conditionalFormatting sqref="AL18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4395" priority="313">
      <formula>AA$9&gt;=20/24</formula>
    </cfRule>
    <cfRule type="expression" dxfId="4394" priority="314">
      <formula>AND(AA$9&gt;=14/24,AA$9&lt;20/24)</formula>
    </cfRule>
    <cfRule type="expression" dxfId="4393" priority="315">
      <formula>AND(AA$9&gt;=8/24,AA$9&lt;14/24)</formula>
    </cfRule>
    <cfRule type="expression" dxfId="4392" priority="316">
      <formula>AA$9&lt;8/24</formula>
    </cfRule>
  </conditionalFormatting>
  <conditionalFormatting sqref="AA18:AF18">
    <cfRule type="expression" dxfId="4391" priority="312">
      <formula>AA18&gt;$AG18</formula>
    </cfRule>
  </conditionalFormatting>
  <conditionalFormatting sqref="A35">
    <cfRule type="expression" dxfId="4390" priority="310">
      <formula>$AH35=0</formula>
    </cfRule>
  </conditionalFormatting>
  <conditionalFormatting sqref="AL35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4389" priority="306">
      <formula>AA$9&gt;=20/24</formula>
    </cfRule>
    <cfRule type="expression" dxfId="4388" priority="307">
      <formula>AND(AA$9&gt;=14/24,AA$9&lt;20/24)</formula>
    </cfRule>
    <cfRule type="expression" dxfId="4387" priority="308">
      <formula>AND(AA$9&gt;=8/24,AA$9&lt;14/24)</formula>
    </cfRule>
    <cfRule type="expression" dxfId="4386" priority="309">
      <formula>AA$9&lt;8/24</formula>
    </cfRule>
  </conditionalFormatting>
  <conditionalFormatting sqref="AA35:AF35">
    <cfRule type="expression" dxfId="4385" priority="305">
      <formula>AA35&gt;$AG35</formula>
    </cfRule>
  </conditionalFormatting>
  <conditionalFormatting sqref="A46">
    <cfRule type="expression" dxfId="4384" priority="303">
      <formula>$AH46=0</formula>
    </cfRule>
  </conditionalFormatting>
  <conditionalFormatting sqref="AL46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4383" priority="302">
      <formula>AA46&gt;$AG46</formula>
    </cfRule>
  </conditionalFormatting>
  <conditionalFormatting sqref="AA46:AF46">
    <cfRule type="expression" dxfId="4382" priority="298">
      <formula>AA$9&gt;=20/24</formula>
    </cfRule>
    <cfRule type="expression" dxfId="4381" priority="299">
      <formula>AND(AA$9&gt;=14/24,AA$9&lt;20/24)</formula>
    </cfRule>
    <cfRule type="expression" dxfId="4380" priority="300">
      <formula>AND(AA$9&gt;=8/24,AA$9&lt;14/24)</formula>
    </cfRule>
    <cfRule type="expression" dxfId="4379" priority="301">
      <formula>AA$9&lt;8/24</formula>
    </cfRule>
  </conditionalFormatting>
  <conditionalFormatting sqref="D120:AF120">
    <cfRule type="expression" dxfId="4378" priority="294">
      <formula>D$9&gt;=20/24</formula>
    </cfRule>
    <cfRule type="expression" dxfId="4377" priority="295">
      <formula>AND(D$9&gt;=14/24,D$9&lt;20/24)</formula>
    </cfRule>
    <cfRule type="expression" dxfId="4376" priority="296">
      <formula>AND(D$9&gt;=8/24,D$9&lt;14/24)</formula>
    </cfRule>
    <cfRule type="expression" dxfId="4375" priority="297">
      <formula>D$9&lt;8/24</formula>
    </cfRule>
  </conditionalFormatting>
  <conditionalFormatting sqref="C55:E55">
    <cfRule type="expression" dxfId="4374" priority="274">
      <formula>C$9&gt;=20/24</formula>
    </cfRule>
    <cfRule type="expression" dxfId="4373" priority="275">
      <formula>AND(C$9&gt;=14/24,C$9&lt;20/24)</formula>
    </cfRule>
    <cfRule type="expression" dxfId="4372" priority="276">
      <formula>AND(C$9&gt;=8/24,C$9&lt;14/24)</formula>
    </cfRule>
    <cfRule type="expression" dxfId="4371" priority="277">
      <formula>C$9&lt;8/24</formula>
    </cfRule>
  </conditionalFormatting>
  <conditionalFormatting sqref="C55:E55">
    <cfRule type="expression" dxfId="4370" priority="273">
      <formula>C55&gt;$AG55</formula>
    </cfRule>
  </conditionalFormatting>
  <conditionalFormatting sqref="C49:D49">
    <cfRule type="expression" dxfId="4369" priority="268">
      <formula>C49&gt;$AG49</formula>
    </cfRule>
  </conditionalFormatting>
  <conditionalFormatting sqref="D51">
    <cfRule type="expression" dxfId="4368" priority="251">
      <formula>D$9&gt;=20/24</formula>
    </cfRule>
    <cfRule type="expression" dxfId="4367" priority="252">
      <formula>AND(D$9&gt;=14/24,D$9&lt;20/24)</formula>
    </cfRule>
    <cfRule type="expression" dxfId="4366" priority="253">
      <formula>AND(D$9&gt;=8/24,D$9&lt;14/24)</formula>
    </cfRule>
    <cfRule type="expression" dxfId="4365" priority="254">
      <formula>D$9&lt;8/24</formula>
    </cfRule>
  </conditionalFormatting>
  <conditionalFormatting sqref="D51">
    <cfRule type="expression" dxfId="4364" priority="250">
      <formula>D51&gt;$AG51</formula>
    </cfRule>
  </conditionalFormatting>
  <conditionalFormatting sqref="O29:Z29 AA31:AF31">
    <cfRule type="expression" dxfId="4363" priority="238">
      <formula>O$9&gt;=20/24</formula>
    </cfRule>
    <cfRule type="expression" dxfId="4362" priority="239">
      <formula>AND(O$9&gt;=14/24,O$9&lt;20/24)</formula>
    </cfRule>
    <cfRule type="expression" dxfId="4361" priority="240">
      <formula>AND(O$9&gt;=8/24,O$9&lt;14/24)</formula>
    </cfRule>
    <cfRule type="expression" dxfId="4360" priority="241">
      <formula>O$9&lt;8/24</formula>
    </cfRule>
  </conditionalFormatting>
  <conditionalFormatting sqref="O29:Z29 AA31:AF31">
    <cfRule type="expression" dxfId="4359" priority="237">
      <formula>O29&gt;$AG29</formula>
    </cfRule>
  </conditionalFormatting>
  <conditionalFormatting sqref="C67:C68">
    <cfRule type="expression" dxfId="4358" priority="228">
      <formula>C67&gt;$AG67</formula>
    </cfRule>
  </conditionalFormatting>
  <conditionalFormatting sqref="C54">
    <cfRule type="expression" dxfId="4357" priority="220">
      <formula>C$9&gt;=20/24</formula>
    </cfRule>
    <cfRule type="expression" dxfId="4356" priority="221">
      <formula>AND(C$9&gt;=14/24,C$9&lt;20/24)</formula>
    </cfRule>
    <cfRule type="expression" dxfId="4355" priority="222">
      <formula>AND(C$9&gt;=8/24,C$9&lt;14/24)</formula>
    </cfRule>
    <cfRule type="expression" dxfId="4354" priority="223">
      <formula>C$9&lt;8/24</formula>
    </cfRule>
  </conditionalFormatting>
  <conditionalFormatting sqref="C54">
    <cfRule type="expression" dxfId="4353" priority="219">
      <formula>C54&gt;$AG54</formula>
    </cfRule>
  </conditionalFormatting>
  <conditionalFormatting sqref="C50:D50">
    <cfRule type="expression" dxfId="4352" priority="194">
      <formula>C50&gt;$AG50</formula>
    </cfRule>
  </conditionalFormatting>
  <conditionalFormatting sqref="AE55:AF57">
    <cfRule type="expression" dxfId="4351" priority="166">
      <formula>AE$9&gt;=20/24</formula>
    </cfRule>
    <cfRule type="expression" dxfId="4350" priority="167">
      <formula>AND(AE$9&gt;=14/24,AE$9&lt;20/24)</formula>
    </cfRule>
    <cfRule type="expression" dxfId="4349" priority="168">
      <formula>AND(AE$9&gt;=8/24,AE$9&lt;14/24)</formula>
    </cfRule>
    <cfRule type="expression" dxfId="4348" priority="169">
      <formula>AE$9&lt;8/24</formula>
    </cfRule>
  </conditionalFormatting>
  <conditionalFormatting sqref="AE55:AF57">
    <cfRule type="expression" dxfId="4347" priority="165">
      <formula>AE55&gt;$AG55</formula>
    </cfRule>
  </conditionalFormatting>
  <conditionalFormatting sqref="AE73">
    <cfRule type="expression" dxfId="4346" priority="156">
      <formula>AE$9&gt;=20/24</formula>
    </cfRule>
    <cfRule type="expression" dxfId="4345" priority="157">
      <formula>AND(AE$9&gt;=14/24,AE$9&lt;20/24)</formula>
    </cfRule>
    <cfRule type="expression" dxfId="4344" priority="158">
      <formula>AND(AE$9&gt;=8/24,AE$9&lt;14/24)</formula>
    </cfRule>
    <cfRule type="expression" dxfId="4343" priority="159">
      <formula>AE$9&lt;8/24</formula>
    </cfRule>
  </conditionalFormatting>
  <conditionalFormatting sqref="B111 B113:C119 B12:Z12 B14:Z17">
    <cfRule type="expression" dxfId="4342" priority="140">
      <formula>B$9&gt;=20/24</formula>
    </cfRule>
    <cfRule type="expression" dxfId="4341" priority="141">
      <formula>AND(B$9&gt;=14/24,B$9&lt;20/24)</formula>
    </cfRule>
    <cfRule type="expression" dxfId="4340" priority="142">
      <formula>AND(B$9&gt;=8/24,B$9&lt;14/24)</formula>
    </cfRule>
    <cfRule type="expression" dxfId="4339" priority="143">
      <formula>B$9&lt;8/24</formula>
    </cfRule>
  </conditionalFormatting>
  <conditionalFormatting sqref="B12:Z12 B14:Z17">
    <cfRule type="expression" dxfId="4338" priority="139">
      <formula>B12&gt;$AG12</formula>
    </cfRule>
  </conditionalFormatting>
  <conditionalFormatting sqref="B101:C101">
    <cfRule type="expression" dxfId="4337" priority="135">
      <formula>B$9&gt;=20/24</formula>
    </cfRule>
    <cfRule type="expression" dxfId="4336" priority="136">
      <formula>AND(B$9&gt;=14/24,B$9&lt;20/24)</formula>
    </cfRule>
    <cfRule type="expression" dxfId="4335" priority="137">
      <formula>AND(B$9&gt;=8/24,B$9&lt;14/24)</formula>
    </cfRule>
    <cfRule type="expression" dxfId="4334" priority="138">
      <formula>B$9&lt;8/24</formula>
    </cfRule>
  </conditionalFormatting>
  <conditionalFormatting sqref="B73:C73 B58:E59">
    <cfRule type="expression" dxfId="4333" priority="131">
      <formula>B$9&gt;=20/24</formula>
    </cfRule>
    <cfRule type="expression" dxfId="4332" priority="132">
      <formula>AND(B$9&gt;=14/24,B$9&lt;20/24)</formula>
    </cfRule>
    <cfRule type="expression" dxfId="4331" priority="133">
      <formula>AND(B$9&gt;=8/24,B$9&lt;14/24)</formula>
    </cfRule>
    <cfRule type="expression" dxfId="4330" priority="134">
      <formula>B$9&lt;8/24</formula>
    </cfRule>
  </conditionalFormatting>
  <conditionalFormatting sqref="B58:E59">
    <cfRule type="expression" dxfId="4329" priority="130">
      <formula>B58&gt;$AG58</formula>
    </cfRule>
  </conditionalFormatting>
  <conditionalFormatting sqref="B88 B98 B49 B69:D71 B75:D75">
    <cfRule type="expression" dxfId="4328" priority="126">
      <formula>B$9&gt;=20/24</formula>
    </cfRule>
    <cfRule type="expression" dxfId="4327" priority="127">
      <formula>AND(B$9&gt;=14/24,B$9&lt;20/24)</formula>
    </cfRule>
    <cfRule type="expression" dxfId="4326" priority="128">
      <formula>AND(B$9&gt;=8/24,B$9&lt;14/24)</formula>
    </cfRule>
    <cfRule type="expression" dxfId="4325" priority="129">
      <formula>B$9&lt;8/24</formula>
    </cfRule>
  </conditionalFormatting>
  <conditionalFormatting sqref="B49 B69:D71">
    <cfRule type="expression" dxfId="4324" priority="125">
      <formula>B49&gt;$AG49</formula>
    </cfRule>
  </conditionalFormatting>
  <conditionalFormatting sqref="B60:E60">
    <cfRule type="expression" dxfId="4323" priority="121">
      <formula>B$9&gt;=20/24</formula>
    </cfRule>
    <cfRule type="expression" dxfId="4322" priority="122">
      <formula>AND(B$9&gt;=14/24,B$9&lt;20/24)</formula>
    </cfRule>
    <cfRule type="expression" dxfId="4321" priority="123">
      <formula>AND(B$9&gt;=8/24,B$9&lt;14/24)</formula>
    </cfRule>
    <cfRule type="expression" dxfId="4320" priority="124">
      <formula>B$9&lt;8/24</formula>
    </cfRule>
  </conditionalFormatting>
  <conditionalFormatting sqref="B60:E60">
    <cfRule type="expression" dxfId="4319" priority="120">
      <formula>B60&gt;$AG60</formula>
    </cfRule>
  </conditionalFormatting>
  <conditionalFormatting sqref="B99 B90">
    <cfRule type="expression" dxfId="4318" priority="116">
      <formula>B$9&gt;=20/24</formula>
    </cfRule>
    <cfRule type="expression" dxfId="4317" priority="117">
      <formula>AND(B$9&gt;=14/24,B$9&lt;20/24)</formula>
    </cfRule>
    <cfRule type="expression" dxfId="4316" priority="118">
      <formula>AND(B$9&gt;=8/24,B$9&lt;14/24)</formula>
    </cfRule>
    <cfRule type="expression" dxfId="4315" priority="119">
      <formula>B$9&lt;8/24</formula>
    </cfRule>
  </conditionalFormatting>
  <conditionalFormatting sqref="B93:B97">
    <cfRule type="expression" dxfId="4314" priority="112">
      <formula>B$9&gt;=20/24</formula>
    </cfRule>
    <cfRule type="expression" dxfId="4313" priority="113">
      <formula>AND(B$9&gt;=14/24,B$9&lt;20/24)</formula>
    </cfRule>
    <cfRule type="expression" dxfId="4312" priority="114">
      <formula>AND(B$9&gt;=8/24,B$9&lt;14/24)</formula>
    </cfRule>
    <cfRule type="expression" dxfId="4311" priority="115">
      <formula>B$9&lt;8/24</formula>
    </cfRule>
  </conditionalFormatting>
  <conditionalFormatting sqref="B51:C53 D52:E53">
    <cfRule type="expression" dxfId="4310" priority="108">
      <formula>B$9&gt;=20/24</formula>
    </cfRule>
    <cfRule type="expression" dxfId="4309" priority="109">
      <formula>AND(B$9&gt;=14/24,B$9&lt;20/24)</formula>
    </cfRule>
    <cfRule type="expression" dxfId="4308" priority="110">
      <formula>AND(B$9&gt;=8/24,B$9&lt;14/24)</formula>
    </cfRule>
    <cfRule type="expression" dxfId="4307" priority="111">
      <formula>B$9&lt;8/24</formula>
    </cfRule>
  </conditionalFormatting>
  <conditionalFormatting sqref="B51:C53 D52:E53">
    <cfRule type="expression" dxfId="4306" priority="107">
      <formula>B51&gt;$AG51</formula>
    </cfRule>
  </conditionalFormatting>
  <conditionalFormatting sqref="B109">
    <cfRule type="expression" dxfId="4305" priority="103">
      <formula>B$9&gt;=20/24</formula>
    </cfRule>
    <cfRule type="expression" dxfId="4304" priority="104">
      <formula>AND(B$9&gt;=14/24,B$9&lt;20/24)</formula>
    </cfRule>
    <cfRule type="expression" dxfId="4303" priority="105">
      <formula>AND(B$9&gt;=8/24,B$9&lt;14/24)</formula>
    </cfRule>
    <cfRule type="expression" dxfId="4302" priority="106">
      <formula>B$9&lt;8/24</formula>
    </cfRule>
  </conditionalFormatting>
  <conditionalFormatting sqref="B112:C112">
    <cfRule type="expression" dxfId="4301" priority="99">
      <formula>B$9&gt;=20/24</formula>
    </cfRule>
    <cfRule type="expression" dxfId="4300" priority="100">
      <formula>AND(B$9&gt;=14/24,B$9&lt;20/24)</formula>
    </cfRule>
    <cfRule type="expression" dxfId="4299" priority="101">
      <formula>AND(B$9&gt;=8/24,B$9&lt;14/24)</formula>
    </cfRule>
    <cfRule type="expression" dxfId="4298" priority="102">
      <formula>B$9&lt;8/24</formula>
    </cfRule>
  </conditionalFormatting>
  <conditionalFormatting sqref="B102:E108">
    <cfRule type="expression" dxfId="4297" priority="95">
      <formula>B$9&gt;=20/24</formula>
    </cfRule>
    <cfRule type="expression" dxfId="4296" priority="96">
      <formula>AND(B$9&gt;=14/24,B$9&lt;20/24)</formula>
    </cfRule>
    <cfRule type="expression" dxfId="4295" priority="97">
      <formula>AND(B$9&gt;=8/24,B$9&lt;14/24)</formula>
    </cfRule>
    <cfRule type="expression" dxfId="4294" priority="98">
      <formula>B$9&lt;8/24</formula>
    </cfRule>
  </conditionalFormatting>
  <conditionalFormatting sqref="B19:N30 O19:Z28 B36:Z45 O30:Z30 B32:Z34">
    <cfRule type="expression" dxfId="4293" priority="91">
      <formula>B$9&gt;=20/24</formula>
    </cfRule>
    <cfRule type="expression" dxfId="4292" priority="92">
      <formula>AND(B$9&gt;=14/24,B$9&lt;20/24)</formula>
    </cfRule>
    <cfRule type="expression" dxfId="4291" priority="93">
      <formula>AND(B$9&gt;=8/24,B$9&lt;14/24)</formula>
    </cfRule>
    <cfRule type="expression" dxfId="4290" priority="94">
      <formula>B$9&lt;8/24</formula>
    </cfRule>
  </conditionalFormatting>
  <conditionalFormatting sqref="B19:N30 O19:Z28 B36:Z45 O30:Z30 B32:Z34">
    <cfRule type="expression" dxfId="4289" priority="90">
      <formula>B19&gt;$AG19</formula>
    </cfRule>
  </conditionalFormatting>
  <conditionalFormatting sqref="B85:B87 B78:E78">
    <cfRule type="expression" dxfId="4288" priority="86">
      <formula>B$9&gt;=20/24</formula>
    </cfRule>
    <cfRule type="expression" dxfId="4287" priority="87">
      <formula>AND(B$9&gt;=14/24,B$9&lt;20/24)</formula>
    </cfRule>
    <cfRule type="expression" dxfId="4286" priority="88">
      <formula>AND(B$9&gt;=8/24,B$9&lt;14/24)</formula>
    </cfRule>
    <cfRule type="expression" dxfId="4285" priority="89">
      <formula>B$9&lt;8/24</formula>
    </cfRule>
  </conditionalFormatting>
  <conditionalFormatting sqref="B89 B91 B100 B72">
    <cfRule type="expression" dxfId="4284" priority="82">
      <formula>B$9&gt;=20/24</formula>
    </cfRule>
    <cfRule type="expression" dxfId="4283" priority="83">
      <formula>AND(B$9&gt;=14/24,B$9&lt;20/24)</formula>
    </cfRule>
    <cfRule type="expression" dxfId="4282" priority="84">
      <formula>AND(B$9&gt;=8/24,B$9&lt;14/24)</formula>
    </cfRule>
    <cfRule type="expression" dxfId="4281" priority="85">
      <formula>B$9&lt;8/24</formula>
    </cfRule>
  </conditionalFormatting>
  <conditionalFormatting sqref="B72 B67:B68">
    <cfRule type="expression" dxfId="4280" priority="81">
      <formula>B67&gt;$AG67</formula>
    </cfRule>
  </conditionalFormatting>
  <conditionalFormatting sqref="B84">
    <cfRule type="expression" dxfId="4279" priority="77">
      <formula>B$9&gt;=20/24</formula>
    </cfRule>
    <cfRule type="expression" dxfId="4278" priority="78">
      <formula>AND(B$9&gt;=14/24,B$9&lt;20/24)</formula>
    </cfRule>
    <cfRule type="expression" dxfId="4277" priority="79">
      <formula>AND(B$9&gt;=8/24,B$9&lt;14/24)</formula>
    </cfRule>
    <cfRule type="expression" dxfId="4276" priority="80">
      <formula>B$9&lt;8/24</formula>
    </cfRule>
  </conditionalFormatting>
  <conditionalFormatting sqref="B54">
    <cfRule type="expression" dxfId="4275" priority="73">
      <formula>B$9&gt;=20/24</formula>
    </cfRule>
    <cfRule type="expression" dxfId="4274" priority="74">
      <formula>AND(B$9&gt;=14/24,B$9&lt;20/24)</formula>
    </cfRule>
    <cfRule type="expression" dxfId="4273" priority="75">
      <formula>AND(B$9&gt;=8/24,B$9&lt;14/24)</formula>
    </cfRule>
    <cfRule type="expression" dxfId="4272" priority="76">
      <formula>B$9&lt;8/24</formula>
    </cfRule>
  </conditionalFormatting>
  <conditionalFormatting sqref="B54">
    <cfRule type="expression" dxfId="4271" priority="72">
      <formula>B54&gt;$AG54</formula>
    </cfRule>
  </conditionalFormatting>
  <conditionalFormatting sqref="B61:Q66">
    <cfRule type="expression" dxfId="4270" priority="64">
      <formula>B$9&gt;=20/24</formula>
    </cfRule>
    <cfRule type="expression" dxfId="4269" priority="65">
      <formula>AND(B$9&gt;=14/24,B$9&lt;20/24)</formula>
    </cfRule>
    <cfRule type="expression" dxfId="4268" priority="66">
      <formula>AND(B$9&gt;=8/24,B$9&lt;14/24)</formula>
    </cfRule>
    <cfRule type="expression" dxfId="4267" priority="67">
      <formula>B$9&lt;8/24</formula>
    </cfRule>
  </conditionalFormatting>
  <conditionalFormatting sqref="B61:Q66">
    <cfRule type="expression" dxfId="4266" priority="63">
      <formula>B61&gt;$AG61</formula>
    </cfRule>
  </conditionalFormatting>
  <conditionalFormatting sqref="B47:Z47">
    <cfRule type="expression" dxfId="4265" priority="62">
      <formula>B47&gt;$AG47</formula>
    </cfRule>
  </conditionalFormatting>
  <conditionalFormatting sqref="B13:Z13">
    <cfRule type="expression" dxfId="4264" priority="58">
      <formula>B$9&gt;=20/24</formula>
    </cfRule>
    <cfRule type="expression" dxfId="4263" priority="59">
      <formula>AND(B$9&gt;=14/24,B$9&lt;20/24)</formula>
    </cfRule>
    <cfRule type="expression" dxfId="4262" priority="60">
      <formula>AND(B$9&gt;=8/24,B$9&lt;14/24)</formula>
    </cfRule>
    <cfRule type="expression" dxfId="4261" priority="61">
      <formula>B$9&lt;8/24</formula>
    </cfRule>
  </conditionalFormatting>
  <conditionalFormatting sqref="B13:Z13">
    <cfRule type="expression" dxfId="4260" priority="57">
      <formula>B13&gt;$AG13</formula>
    </cfRule>
  </conditionalFormatting>
  <conditionalFormatting sqref="B47:Z47">
    <cfRule type="expression" dxfId="4259" priority="53">
      <formula>B$9&gt;=20/24</formula>
    </cfRule>
    <cfRule type="expression" dxfId="4258" priority="54">
      <formula>AND(B$9&gt;=14/24,B$9&lt;20/24)</formula>
    </cfRule>
    <cfRule type="expression" dxfId="4257" priority="55">
      <formula>AND(B$9&gt;=8/24,B$9&lt;14/24)</formula>
    </cfRule>
    <cfRule type="expression" dxfId="4256" priority="56">
      <formula>B$9&lt;8/24</formula>
    </cfRule>
  </conditionalFormatting>
  <conditionalFormatting sqref="B79:L83">
    <cfRule type="expression" dxfId="4255" priority="49">
      <formula>B$9&gt;=20/24</formula>
    </cfRule>
    <cfRule type="expression" dxfId="4254" priority="50">
      <formula>AND(B$9&gt;=14/24,B$9&lt;20/24)</formula>
    </cfRule>
    <cfRule type="expression" dxfId="4253" priority="51">
      <formula>AND(B$9&gt;=8/24,B$9&lt;14/24)</formula>
    </cfRule>
    <cfRule type="expression" dxfId="4252" priority="52">
      <formula>B$9&lt;8/24</formula>
    </cfRule>
  </conditionalFormatting>
  <conditionalFormatting sqref="B48:Z48">
    <cfRule type="expression" dxfId="4251" priority="45">
      <formula>B$9&gt;=20/24</formula>
    </cfRule>
    <cfRule type="expression" dxfId="4250" priority="46">
      <formula>AND(B$9&gt;=14/24,B$9&lt;20/24)</formula>
    </cfRule>
    <cfRule type="expression" dxfId="4249" priority="47">
      <formula>AND(B$9&gt;=8/24,B$9&lt;14/24)</formula>
    </cfRule>
    <cfRule type="expression" dxfId="4248" priority="48">
      <formula>B$9&lt;8/24</formula>
    </cfRule>
  </conditionalFormatting>
  <conditionalFormatting sqref="B48:Z48">
    <cfRule type="expression" dxfId="4247" priority="44">
      <formula>B48&gt;$AG48</formula>
    </cfRule>
  </conditionalFormatting>
  <conditionalFormatting sqref="B50">
    <cfRule type="expression" dxfId="4246" priority="43">
      <formula>B50&gt;$AG50</formula>
    </cfRule>
  </conditionalFormatting>
  <conditionalFormatting sqref="B11:Z11">
    <cfRule type="expression" dxfId="4245" priority="39">
      <formula>B$9&gt;=20/24</formula>
    </cfRule>
    <cfRule type="expression" dxfId="4244" priority="40">
      <formula>AND(B$9&gt;=14/24,B$9&lt;20/24)</formula>
    </cfRule>
    <cfRule type="expression" dxfId="4243" priority="41">
      <formula>AND(B$9&gt;=8/24,B$9&lt;14/24)</formula>
    </cfRule>
    <cfRule type="expression" dxfId="4242" priority="42">
      <formula>B$9&lt;8/24</formula>
    </cfRule>
  </conditionalFormatting>
  <conditionalFormatting sqref="B11:Z11">
    <cfRule type="expression" dxfId="4241" priority="38">
      <formula>B11&gt;$AG11</formula>
    </cfRule>
  </conditionalFormatting>
  <conditionalFormatting sqref="B18:Z18">
    <cfRule type="expression" dxfId="4240" priority="34">
      <formula>B$9&gt;=20/24</formula>
    </cfRule>
    <cfRule type="expression" dxfId="4239" priority="35">
      <formula>AND(B$9&gt;=14/24,B$9&lt;20/24)</formula>
    </cfRule>
    <cfRule type="expression" dxfId="4238" priority="36">
      <formula>AND(B$9&gt;=8/24,B$9&lt;14/24)</formula>
    </cfRule>
    <cfRule type="expression" dxfId="4237" priority="37">
      <formula>B$9&lt;8/24</formula>
    </cfRule>
  </conditionalFormatting>
  <conditionalFormatting sqref="B18:Z18">
    <cfRule type="expression" dxfId="4236" priority="33">
      <formula>B18&gt;$AG18</formula>
    </cfRule>
  </conditionalFormatting>
  <conditionalFormatting sqref="B35:Z35">
    <cfRule type="expression" dxfId="4235" priority="29">
      <formula>B$9&gt;=20/24</formula>
    </cfRule>
    <cfRule type="expression" dxfId="4234" priority="30">
      <formula>AND(B$9&gt;=14/24,B$9&lt;20/24)</formula>
    </cfRule>
    <cfRule type="expression" dxfId="4233" priority="31">
      <formula>AND(B$9&gt;=8/24,B$9&lt;14/24)</formula>
    </cfRule>
    <cfRule type="expression" dxfId="4232" priority="32">
      <formula>B$9&lt;8/24</formula>
    </cfRule>
  </conditionalFormatting>
  <conditionalFormatting sqref="B35:Z35">
    <cfRule type="expression" dxfId="4231" priority="28">
      <formula>B35&gt;$AG35</formula>
    </cfRule>
  </conditionalFormatting>
  <conditionalFormatting sqref="B46:Z46">
    <cfRule type="expression" dxfId="4230" priority="27">
      <formula>B46&gt;$AG46</formula>
    </cfRule>
  </conditionalFormatting>
  <conditionalFormatting sqref="B46:Z46">
    <cfRule type="expression" dxfId="4229" priority="23">
      <formula>B$9&gt;=20/24</formula>
    </cfRule>
    <cfRule type="expression" dxfId="4228" priority="24">
      <formula>AND(B$9&gt;=14/24,B$9&lt;20/24)</formula>
    </cfRule>
    <cfRule type="expression" dxfId="4227" priority="25">
      <formula>AND(B$9&gt;=8/24,B$9&lt;14/24)</formula>
    </cfRule>
    <cfRule type="expression" dxfId="4226" priority="26">
      <formula>B$9&lt;8/24</formula>
    </cfRule>
  </conditionalFormatting>
  <conditionalFormatting sqref="B120:C120">
    <cfRule type="expression" dxfId="4225" priority="19">
      <formula>B$9&gt;=20/24</formula>
    </cfRule>
    <cfRule type="expression" dxfId="4224" priority="20">
      <formula>AND(B$9&gt;=14/24,B$9&lt;20/24)</formula>
    </cfRule>
    <cfRule type="expression" dxfId="4223" priority="21">
      <formula>AND(B$9&gt;=8/24,B$9&lt;14/24)</formula>
    </cfRule>
    <cfRule type="expression" dxfId="4222" priority="22">
      <formula>B$9&lt;8/24</formula>
    </cfRule>
  </conditionalFormatting>
  <conditionalFormatting sqref="B31:Z31">
    <cfRule type="expression" dxfId="4221" priority="15">
      <formula>B$9&gt;=20/24</formula>
    </cfRule>
    <cfRule type="expression" dxfId="4220" priority="16">
      <formula>AND(B$9&gt;=14/24,B$9&lt;20/24)</formula>
    </cfRule>
    <cfRule type="expression" dxfId="4219" priority="17">
      <formula>AND(B$9&gt;=8/24,B$9&lt;14/24)</formula>
    </cfRule>
    <cfRule type="expression" dxfId="4218" priority="18">
      <formula>B$9&lt;8/24</formula>
    </cfRule>
  </conditionalFormatting>
  <conditionalFormatting sqref="B31:Z31">
    <cfRule type="expression" dxfId="4217" priority="14">
      <formula>B31&gt;$AG31</formula>
    </cfRule>
  </conditionalFormatting>
  <conditionalFormatting sqref="B55:B57 C56:E57">
    <cfRule type="expression" dxfId="4216" priority="10">
      <formula>B$9&gt;=20/24</formula>
    </cfRule>
    <cfRule type="expression" dxfId="4215" priority="11">
      <formula>AND(B$9&gt;=14/24,B$9&lt;20/24)</formula>
    </cfRule>
    <cfRule type="expression" dxfId="4214" priority="12">
      <formula>AND(B$9&gt;=8/24,B$9&lt;14/24)</formula>
    </cfRule>
    <cfRule type="expression" dxfId="4213" priority="13">
      <formula>B$9&lt;8/24</formula>
    </cfRule>
  </conditionalFormatting>
  <conditionalFormatting sqref="B55:B57 C56:E57">
    <cfRule type="expression" dxfId="4212" priority="9">
      <formula>B55&gt;$AG55</formula>
    </cfRule>
  </conditionalFormatting>
  <conditionalFormatting sqref="B74:D74">
    <cfRule type="expression" dxfId="4211" priority="5">
      <formula>B$9&gt;=20/24</formula>
    </cfRule>
    <cfRule type="expression" dxfId="4210" priority="6">
      <formula>AND(B$9&gt;=14/24,B$9&lt;20/24)</formula>
    </cfRule>
    <cfRule type="expression" dxfId="4209" priority="7">
      <formula>AND(B$9&gt;=8/24,B$9&lt;14/24)</formula>
    </cfRule>
    <cfRule type="expression" dxfId="4208" priority="8">
      <formula>B$9&lt;8/24</formula>
    </cfRule>
  </conditionalFormatting>
  <conditionalFormatting sqref="B76:E77">
    <cfRule type="expression" dxfId="4207" priority="1">
      <formula>B$9&gt;=20/24</formula>
    </cfRule>
    <cfRule type="expression" dxfId="4206" priority="2">
      <formula>AND(B$9&gt;=14/24,B$9&lt;20/24)</formula>
    </cfRule>
    <cfRule type="expression" dxfId="4205" priority="3">
      <formula>AND(B$9&gt;=8/24,B$9&lt;14/24)</formula>
    </cfRule>
    <cfRule type="expression" dxfId="4204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9" id="{84E32FAD-D948-47A5-B7FC-07FC6D441A4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00" id="{6A865F3B-6A5E-442D-A895-2587FE1BDE2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01" id="{1FE85D21-613A-40A1-9CA1-E69FA7043F2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2" id="{F71C8053-D959-4C21-B3B6-CC7CE0F4E24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68" id="{DB74F20B-D7FD-4EF9-A6C2-8A7F75B0D16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9" id="{AECB3E01-7F4C-416F-B156-0DC6B64AE6E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0" id="{6459BCBC-B772-4253-98CA-979C43685FB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1" id="{90907D70-EDE7-42B7-9BB3-C3BE280A0CA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3"/>
  <dimension ref="A1:CJ281"/>
  <sheetViews>
    <sheetView zoomScaleNormal="100" workbookViewId="0">
      <pane xSplit="1" ySplit="10" topLeftCell="H44" activePane="bottomRight" state="frozen"/>
      <selection pane="topRight" activeCell="B1" sqref="B1"/>
      <selection pane="bottomLeft" activeCell="A11" sqref="A11"/>
      <selection pane="bottomRight" activeCell="O37" sqref="O3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2080/02/25</v>
      </c>
      <c r="C4" s="191"/>
      <c r="D4" s="191"/>
      <c r="E4" s="192" t="str">
        <f ca="1">"2079/"&amp;"12/"&amp;INT(MID(CELL("filename",G6),FIND("]",CELL("filename",G6))+1,200))</f>
        <v>2079/12/25</v>
      </c>
      <c r="F4" s="192"/>
      <c r="G4" s="192"/>
      <c r="H4" s="192" t="str">
        <f ca="1">TEXT(E4,"dddd")</f>
        <v>Monday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129.9</v>
      </c>
      <c r="C5" s="30">
        <f t="shared" si="0"/>
        <v>173</v>
      </c>
      <c r="D5" s="30">
        <f t="shared" si="0"/>
        <v>254.2</v>
      </c>
      <c r="E5" s="30">
        <f t="shared" si="0"/>
        <v>315.89999999999998</v>
      </c>
      <c r="F5" s="30">
        <f t="shared" si="0"/>
        <v>359.9</v>
      </c>
      <c r="G5" s="30">
        <f t="shared" si="0"/>
        <v>355.4</v>
      </c>
      <c r="H5" s="30">
        <f t="shared" si="0"/>
        <v>382.4</v>
      </c>
      <c r="I5" s="30">
        <f t="shared" si="0"/>
        <v>390.3</v>
      </c>
      <c r="J5" s="30">
        <f t="shared" si="0"/>
        <v>466.5</v>
      </c>
      <c r="K5" s="30">
        <f t="shared" si="0"/>
        <v>456.5</v>
      </c>
      <c r="L5" s="30">
        <f t="shared" si="0"/>
        <v>552.29999999999995</v>
      </c>
      <c r="M5" s="30">
        <f t="shared" si="0"/>
        <v>553.9</v>
      </c>
      <c r="N5" s="30">
        <f t="shared" si="0"/>
        <v>564.20000000000005</v>
      </c>
      <c r="O5" s="30">
        <f t="shared" si="0"/>
        <v>533.6</v>
      </c>
      <c r="P5" s="30">
        <f t="shared" si="0"/>
        <v>537.79999999999995</v>
      </c>
      <c r="Q5" s="30">
        <f t="shared" si="0"/>
        <v>527.80000000000007</v>
      </c>
      <c r="R5" s="30">
        <f t="shared" si="0"/>
        <v>518.59999999999991</v>
      </c>
      <c r="S5" s="30">
        <f t="shared" si="0"/>
        <v>514.1</v>
      </c>
      <c r="T5" s="30">
        <f t="shared" si="0"/>
        <v>452</v>
      </c>
      <c r="U5" s="30">
        <f t="shared" si="0"/>
        <v>485.79999999999995</v>
      </c>
      <c r="V5" s="30">
        <f t="shared" si="0"/>
        <v>470.09999999999997</v>
      </c>
      <c r="W5" s="30">
        <f t="shared" si="0"/>
        <v>383.59999999999997</v>
      </c>
      <c r="X5" s="30">
        <f t="shared" si="0"/>
        <v>411.2</v>
      </c>
      <c r="Y5" s="30">
        <f t="shared" si="0"/>
        <v>219.8</v>
      </c>
      <c r="Z5" s="30">
        <f t="shared" si="0"/>
        <v>101.9</v>
      </c>
      <c r="AA5" s="30">
        <f t="shared" si="0"/>
        <v>114.10000000000001</v>
      </c>
      <c r="AB5" s="30">
        <f t="shared" si="0"/>
        <v>115.4</v>
      </c>
      <c r="AC5" s="30">
        <f t="shared" si="0"/>
        <v>118.2</v>
      </c>
      <c r="AD5" s="30">
        <f t="shared" si="0"/>
        <v>124</v>
      </c>
      <c r="AE5" s="30">
        <f t="shared" si="0"/>
        <v>104</v>
      </c>
      <c r="AF5" s="30">
        <f>B84</f>
        <v>128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1921MW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Load=1588</v>
      </c>
      <c r="B7" s="35">
        <f t="shared" ref="B7:AF7" si="1">B91</f>
        <v>1681.3400000000001</v>
      </c>
      <c r="C7" s="35">
        <f t="shared" si="1"/>
        <v>1650.9400000000003</v>
      </c>
      <c r="D7" s="35">
        <f t="shared" si="1"/>
        <v>1655.0400000000002</v>
      </c>
      <c r="E7" s="35">
        <f t="shared" si="1"/>
        <v>1629.0400000000002</v>
      </c>
      <c r="F7" s="35">
        <f t="shared" si="1"/>
        <v>1638.94</v>
      </c>
      <c r="G7" s="35">
        <f t="shared" si="1"/>
        <v>1613.44</v>
      </c>
      <c r="H7" s="35">
        <f t="shared" si="1"/>
        <v>1588.2400000000002</v>
      </c>
      <c r="I7" s="35">
        <f t="shared" si="1"/>
        <v>1633.2400000000002</v>
      </c>
      <c r="J7" s="35">
        <f t="shared" si="1"/>
        <v>1670.54</v>
      </c>
      <c r="K7" s="35">
        <f t="shared" si="1"/>
        <v>1767.74</v>
      </c>
      <c r="L7" s="35">
        <f t="shared" si="1"/>
        <v>1828.6400000000003</v>
      </c>
      <c r="M7" s="35">
        <f t="shared" si="1"/>
        <v>1859.14</v>
      </c>
      <c r="N7" s="35">
        <f>N91</f>
        <v>1921.1399999999999</v>
      </c>
      <c r="O7" s="35">
        <f t="shared" si="1"/>
        <v>1929.74</v>
      </c>
      <c r="P7" s="35">
        <f t="shared" si="1"/>
        <v>1903.92</v>
      </c>
      <c r="Q7" s="35">
        <f t="shared" si="1"/>
        <v>1871.24</v>
      </c>
      <c r="R7" s="35">
        <f t="shared" si="1"/>
        <v>1887.04</v>
      </c>
      <c r="S7" s="35">
        <f t="shared" si="1"/>
        <v>1959.44</v>
      </c>
      <c r="T7" s="35">
        <f t="shared" si="1"/>
        <v>1990.1399999999999</v>
      </c>
      <c r="U7" s="35">
        <f t="shared" si="1"/>
        <v>1881.34</v>
      </c>
      <c r="V7" s="35">
        <f t="shared" si="1"/>
        <v>1863.04</v>
      </c>
      <c r="W7" s="35">
        <f t="shared" si="1"/>
        <v>1830.44</v>
      </c>
      <c r="X7" s="35">
        <f t="shared" si="1"/>
        <v>1777.6399999999999</v>
      </c>
      <c r="Y7" s="35">
        <f t="shared" si="1"/>
        <v>1732.84</v>
      </c>
      <c r="Z7" s="35">
        <f t="shared" si="1"/>
        <v>1769.04</v>
      </c>
      <c r="AA7" s="35">
        <f t="shared" si="1"/>
        <v>1937.44</v>
      </c>
      <c r="AB7" s="35">
        <f t="shared" si="1"/>
        <v>1842.6399999999999</v>
      </c>
      <c r="AC7" s="35">
        <f t="shared" si="1"/>
        <v>1845.14</v>
      </c>
      <c r="AD7" s="35">
        <f t="shared" si="1"/>
        <v>1799.84</v>
      </c>
      <c r="AE7" s="35">
        <f t="shared" si="1"/>
        <v>1779.44</v>
      </c>
      <c r="AF7" s="35">
        <f t="shared" si="1"/>
        <v>1684.8400000000001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</v>
      </c>
      <c r="C11" s="45">
        <v>32</v>
      </c>
      <c r="D11" s="45">
        <v>31</v>
      </c>
      <c r="E11" s="45">
        <v>30</v>
      </c>
      <c r="F11" s="45">
        <v>30</v>
      </c>
      <c r="G11" s="45">
        <v>27</v>
      </c>
      <c r="H11" s="45">
        <v>26</v>
      </c>
      <c r="I11" s="45">
        <v>26</v>
      </c>
      <c r="J11" s="45">
        <v>26</v>
      </c>
      <c r="K11" s="45">
        <v>26</v>
      </c>
      <c r="L11" s="45">
        <v>26</v>
      </c>
      <c r="M11" s="45">
        <v>20</v>
      </c>
      <c r="N11" s="45">
        <v>20</v>
      </c>
      <c r="O11" s="45">
        <v>20</v>
      </c>
      <c r="P11" s="45">
        <v>20</v>
      </c>
      <c r="Q11" s="45">
        <v>23</v>
      </c>
      <c r="R11" s="45">
        <v>25</v>
      </c>
      <c r="S11" s="45">
        <v>25</v>
      </c>
      <c r="T11" s="45">
        <v>27.7</v>
      </c>
      <c r="U11" s="45">
        <v>14.7</v>
      </c>
      <c r="V11" s="45">
        <v>21.8</v>
      </c>
      <c r="W11" s="45">
        <v>21.8</v>
      </c>
      <c r="X11" s="45">
        <v>21.8</v>
      </c>
      <c r="Y11" s="45">
        <v>21.8</v>
      </c>
      <c r="Z11" s="45">
        <v>21.8</v>
      </c>
      <c r="AA11" s="45">
        <v>21.8</v>
      </c>
      <c r="AB11" s="45">
        <v>21.8</v>
      </c>
      <c r="AC11" s="45">
        <v>21.8</v>
      </c>
      <c r="AD11" s="45">
        <v>21.8</v>
      </c>
      <c r="AE11" s="45">
        <v>21.8</v>
      </c>
      <c r="AF11" s="45">
        <v>21.8</v>
      </c>
      <c r="AG11" s="46">
        <v>86</v>
      </c>
      <c r="AH11" s="47">
        <f t="shared" ref="AH11:AH76" si="2">MAX(B11:AF11)</f>
        <v>32</v>
      </c>
      <c r="AI11" s="48">
        <f t="shared" ref="AI11:AI76" si="3">MIN(B11:AF11)</f>
        <v>14.7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26.5</v>
      </c>
      <c r="C12" s="45">
        <v>26.5</v>
      </c>
      <c r="D12" s="45">
        <v>26.5</v>
      </c>
      <c r="E12" s="45">
        <v>26.5</v>
      </c>
      <c r="F12" s="45">
        <v>26.5</v>
      </c>
      <c r="G12" s="45">
        <v>26.5</v>
      </c>
      <c r="H12" s="45">
        <v>26.5</v>
      </c>
      <c r="I12" s="45">
        <v>26.5</v>
      </c>
      <c r="J12" s="45">
        <v>26.5</v>
      </c>
      <c r="K12" s="45">
        <v>26.5</v>
      </c>
      <c r="L12" s="45">
        <v>26.5</v>
      </c>
      <c r="M12" s="45">
        <v>26.5</v>
      </c>
      <c r="N12" s="45">
        <v>26.5</v>
      </c>
      <c r="O12" s="45">
        <v>26.5</v>
      </c>
      <c r="P12" s="45">
        <v>26.5</v>
      </c>
      <c r="Q12" s="45">
        <v>26</v>
      </c>
      <c r="R12" s="45">
        <v>26</v>
      </c>
      <c r="S12" s="45">
        <v>26</v>
      </c>
      <c r="T12" s="45">
        <v>27</v>
      </c>
      <c r="U12" s="45">
        <v>25</v>
      </c>
      <c r="V12" s="45">
        <v>25</v>
      </c>
      <c r="W12" s="45">
        <v>25</v>
      </c>
      <c r="X12" s="45">
        <v>25</v>
      </c>
      <c r="Y12" s="45">
        <v>25</v>
      </c>
      <c r="Z12" s="45">
        <v>25</v>
      </c>
      <c r="AA12" s="45">
        <v>25</v>
      </c>
      <c r="AB12" s="45">
        <v>25</v>
      </c>
      <c r="AC12" s="45">
        <v>25</v>
      </c>
      <c r="AD12" s="45">
        <v>25</v>
      </c>
      <c r="AE12" s="45">
        <v>25</v>
      </c>
      <c r="AF12" s="45">
        <v>25</v>
      </c>
      <c r="AG12" s="50">
        <v>54</v>
      </c>
      <c r="AH12" s="47">
        <f t="shared" si="2"/>
        <v>27</v>
      </c>
      <c r="AI12" s="48">
        <f t="shared" si="3"/>
        <v>25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23.7</v>
      </c>
      <c r="C13" s="45">
        <v>23.7</v>
      </c>
      <c r="D13" s="45">
        <v>23.7</v>
      </c>
      <c r="E13" s="45">
        <v>23.7</v>
      </c>
      <c r="F13" s="45">
        <v>23.7</v>
      </c>
      <c r="G13" s="45">
        <v>24</v>
      </c>
      <c r="H13" s="45">
        <v>24</v>
      </c>
      <c r="I13" s="45">
        <v>24</v>
      </c>
      <c r="J13" s="45">
        <v>24</v>
      </c>
      <c r="K13" s="45">
        <v>21</v>
      </c>
      <c r="L13" s="45">
        <v>21</v>
      </c>
      <c r="M13" s="45">
        <v>21</v>
      </c>
      <c r="N13" s="45">
        <v>21</v>
      </c>
      <c r="O13" s="45">
        <v>21</v>
      </c>
      <c r="P13" s="45">
        <v>21</v>
      </c>
      <c r="Q13" s="45">
        <v>22</v>
      </c>
      <c r="R13" s="45">
        <v>22</v>
      </c>
      <c r="S13" s="45">
        <v>22</v>
      </c>
      <c r="T13" s="45">
        <v>20.6</v>
      </c>
      <c r="U13" s="45">
        <v>20.5</v>
      </c>
      <c r="V13" s="45">
        <v>20.5</v>
      </c>
      <c r="W13" s="45">
        <v>20.5</v>
      </c>
      <c r="X13" s="45">
        <v>20.5</v>
      </c>
      <c r="Y13" s="45">
        <v>20.5</v>
      </c>
      <c r="Z13" s="45">
        <v>20.5</v>
      </c>
      <c r="AA13" s="45">
        <v>20.5</v>
      </c>
      <c r="AB13" s="45">
        <v>28</v>
      </c>
      <c r="AC13" s="45">
        <v>28.7</v>
      </c>
      <c r="AD13" s="45">
        <v>28.8</v>
      </c>
      <c r="AE13" s="45">
        <v>28.8</v>
      </c>
      <c r="AF13" s="45">
        <v>28.8</v>
      </c>
      <c r="AG13" s="46">
        <v>52.4</v>
      </c>
      <c r="AH13" s="47">
        <f t="shared" si="2"/>
        <v>28.8</v>
      </c>
      <c r="AI13" s="48">
        <f t="shared" si="3"/>
        <v>20.5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50.4</v>
      </c>
      <c r="C14" s="58">
        <v>50.4</v>
      </c>
      <c r="D14" s="58">
        <v>50.4</v>
      </c>
      <c r="E14" s="58">
        <v>50.4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>
        <v>50.4</v>
      </c>
      <c r="O14" s="58">
        <v>50.4</v>
      </c>
      <c r="P14" s="58">
        <v>50.4</v>
      </c>
      <c r="Q14" s="58">
        <v>50.2</v>
      </c>
      <c r="R14" s="58">
        <v>50.2</v>
      </c>
      <c r="S14" s="58">
        <v>50.2</v>
      </c>
      <c r="T14" s="58">
        <v>50.5</v>
      </c>
      <c r="U14" s="58">
        <v>50.3</v>
      </c>
      <c r="V14" s="58">
        <v>50.3</v>
      </c>
      <c r="W14" s="58">
        <v>50.3</v>
      </c>
      <c r="X14" s="58">
        <v>50.3</v>
      </c>
      <c r="Y14" s="58">
        <v>50.3</v>
      </c>
      <c r="Z14" s="58">
        <v>50.3</v>
      </c>
      <c r="AA14" s="45">
        <v>50.3</v>
      </c>
      <c r="AB14" s="45">
        <v>50.3</v>
      </c>
      <c r="AC14" s="45">
        <v>50.3</v>
      </c>
      <c r="AD14" s="45">
        <v>50.4</v>
      </c>
      <c r="AE14" s="45">
        <v>50.4</v>
      </c>
      <c r="AF14" s="45">
        <v>50.4</v>
      </c>
      <c r="AG14" s="50">
        <v>50</v>
      </c>
      <c r="AH14" s="47">
        <f t="shared" si="2"/>
        <v>50.5</v>
      </c>
      <c r="AI14" s="48">
        <f t="shared" si="3"/>
        <v>50.2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25.6</v>
      </c>
      <c r="C15" s="45">
        <v>25.6</v>
      </c>
      <c r="D15" s="45">
        <v>25.6</v>
      </c>
      <c r="E15" s="45">
        <v>25.6</v>
      </c>
      <c r="F15" s="45">
        <v>25.6</v>
      </c>
      <c r="G15" s="45">
        <v>28.7</v>
      </c>
      <c r="H15" s="45">
        <v>28.7</v>
      </c>
      <c r="I15" s="45">
        <v>28.7</v>
      </c>
      <c r="J15" s="45">
        <v>28.7</v>
      </c>
      <c r="K15" s="45">
        <v>28</v>
      </c>
      <c r="L15" s="45">
        <v>28.7</v>
      </c>
      <c r="M15" s="45">
        <v>28.7</v>
      </c>
      <c r="N15" s="45">
        <v>28.7</v>
      </c>
      <c r="O15" s="45">
        <v>28.7</v>
      </c>
      <c r="P15" s="45">
        <v>28.7</v>
      </c>
      <c r="Q15" s="45">
        <v>26.9</v>
      </c>
      <c r="R15" s="45">
        <v>26.1</v>
      </c>
      <c r="S15" s="45">
        <v>26.1</v>
      </c>
      <c r="T15" s="45">
        <v>26.9</v>
      </c>
      <c r="U15" s="45">
        <v>25.6</v>
      </c>
      <c r="V15" s="45">
        <v>25.6</v>
      </c>
      <c r="W15" s="45">
        <v>25.6</v>
      </c>
      <c r="X15" s="45">
        <v>25.6</v>
      </c>
      <c r="Y15" s="45">
        <v>25.6</v>
      </c>
      <c r="Z15" s="45">
        <v>25.6</v>
      </c>
      <c r="AA15" s="45">
        <v>25.6</v>
      </c>
      <c r="AB15" s="45">
        <v>25.6</v>
      </c>
      <c r="AC15" s="45">
        <v>25.6</v>
      </c>
      <c r="AD15" s="45">
        <v>34.6</v>
      </c>
      <c r="AE15" s="45">
        <v>34.6</v>
      </c>
      <c r="AF15" s="45">
        <v>34.6</v>
      </c>
      <c r="AG15" s="50">
        <v>45</v>
      </c>
      <c r="AH15" s="47">
        <f t="shared" si="2"/>
        <v>34.6</v>
      </c>
      <c r="AI15" s="48">
        <f t="shared" si="3"/>
        <v>25.6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27</v>
      </c>
      <c r="C16" s="45">
        <v>27</v>
      </c>
      <c r="D16" s="45">
        <v>27</v>
      </c>
      <c r="E16" s="45">
        <v>27</v>
      </c>
      <c r="F16" s="45">
        <v>27</v>
      </c>
      <c r="G16" s="45">
        <v>27</v>
      </c>
      <c r="H16" s="45">
        <v>27</v>
      </c>
      <c r="I16" s="45">
        <v>27</v>
      </c>
      <c r="J16" s="45">
        <v>27</v>
      </c>
      <c r="K16" s="45">
        <v>27</v>
      </c>
      <c r="L16" s="45">
        <v>27</v>
      </c>
      <c r="M16" s="45">
        <v>30</v>
      </c>
      <c r="N16" s="45">
        <v>30</v>
      </c>
      <c r="O16" s="45">
        <v>29</v>
      </c>
      <c r="P16" s="45">
        <v>30</v>
      </c>
      <c r="Q16" s="45">
        <v>30.9</v>
      </c>
      <c r="R16" s="45">
        <v>30.9</v>
      </c>
      <c r="S16" s="45">
        <v>30.9</v>
      </c>
      <c r="T16" s="45">
        <v>27.5</v>
      </c>
      <c r="U16" s="45">
        <v>28.6</v>
      </c>
      <c r="V16" s="45">
        <v>28.6</v>
      </c>
      <c r="W16" s="45">
        <v>28.6</v>
      </c>
      <c r="X16" s="45">
        <v>28.6</v>
      </c>
      <c r="Y16" s="45">
        <v>28.6</v>
      </c>
      <c r="Z16" s="45">
        <v>28.6</v>
      </c>
      <c r="AA16" s="45">
        <v>28.6</v>
      </c>
      <c r="AB16" s="45">
        <v>28.6</v>
      </c>
      <c r="AC16" s="45">
        <v>28.6</v>
      </c>
      <c r="AD16" s="45">
        <v>28.6</v>
      </c>
      <c r="AE16" s="45">
        <v>28.6</v>
      </c>
      <c r="AF16" s="45">
        <v>28.6</v>
      </c>
      <c r="AG16" s="50">
        <v>44</v>
      </c>
      <c r="AH16" s="47">
        <f>MAX(B16:AG16)</f>
        <v>44</v>
      </c>
      <c r="AI16" s="48">
        <f>MIN(B16:AG16)</f>
        <v>27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22</v>
      </c>
      <c r="C17" s="45">
        <v>22</v>
      </c>
      <c r="D17" s="45">
        <v>22</v>
      </c>
      <c r="E17" s="45">
        <v>22</v>
      </c>
      <c r="F17" s="45">
        <v>22</v>
      </c>
      <c r="G17" s="45">
        <v>25</v>
      </c>
      <c r="H17" s="45">
        <v>25</v>
      </c>
      <c r="I17" s="45">
        <v>25</v>
      </c>
      <c r="J17" s="45">
        <v>25</v>
      </c>
      <c r="K17" s="45">
        <v>23</v>
      </c>
      <c r="L17" s="45">
        <v>25</v>
      </c>
      <c r="M17" s="45">
        <v>25</v>
      </c>
      <c r="N17" s="45">
        <v>25</v>
      </c>
      <c r="O17" s="45">
        <v>25</v>
      </c>
      <c r="P17" s="45">
        <v>25</v>
      </c>
      <c r="Q17" s="45">
        <v>22</v>
      </c>
      <c r="R17" s="45">
        <v>22</v>
      </c>
      <c r="S17" s="45">
        <v>22</v>
      </c>
      <c r="T17" s="45">
        <v>21</v>
      </c>
      <c r="U17" s="45">
        <v>22</v>
      </c>
      <c r="V17" s="45">
        <v>22</v>
      </c>
      <c r="W17" s="45">
        <v>22</v>
      </c>
      <c r="X17" s="45">
        <v>22</v>
      </c>
      <c r="Y17" s="45">
        <v>22</v>
      </c>
      <c r="Z17" s="45">
        <v>22</v>
      </c>
      <c r="AA17" s="45">
        <v>22</v>
      </c>
      <c r="AB17" s="45">
        <v>32</v>
      </c>
      <c r="AC17" s="45">
        <v>34</v>
      </c>
      <c r="AD17" s="45">
        <v>34</v>
      </c>
      <c r="AE17" s="45">
        <v>34</v>
      </c>
      <c r="AF17" s="45">
        <v>34</v>
      </c>
      <c r="AG17" s="50">
        <v>42</v>
      </c>
      <c r="AH17" s="47">
        <f t="shared" si="2"/>
        <v>34</v>
      </c>
      <c r="AI17" s="48">
        <f t="shared" si="3"/>
        <v>21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14.4</v>
      </c>
      <c r="C19" s="45">
        <v>14.4</v>
      </c>
      <c r="D19" s="45">
        <v>14.4</v>
      </c>
      <c r="E19" s="45">
        <v>14.4</v>
      </c>
      <c r="F19" s="45">
        <v>14.4</v>
      </c>
      <c r="G19" s="45">
        <v>14.4</v>
      </c>
      <c r="H19" s="45">
        <v>14.4</v>
      </c>
      <c r="I19" s="45">
        <v>14.4</v>
      </c>
      <c r="J19" s="45">
        <v>14.4</v>
      </c>
      <c r="K19" s="45">
        <v>14.4</v>
      </c>
      <c r="L19" s="45">
        <v>14.4</v>
      </c>
      <c r="M19" s="45">
        <v>14.4</v>
      </c>
      <c r="N19" s="45">
        <v>14.4</v>
      </c>
      <c r="O19" s="45">
        <v>14.4</v>
      </c>
      <c r="P19" s="45">
        <v>14.4</v>
      </c>
      <c r="Q19" s="45">
        <v>14.4</v>
      </c>
      <c r="R19" s="45">
        <v>14.4</v>
      </c>
      <c r="S19" s="45">
        <v>14.4</v>
      </c>
      <c r="T19" s="45">
        <v>14.4</v>
      </c>
      <c r="U19" s="45">
        <v>14.4</v>
      </c>
      <c r="V19" s="45">
        <v>14.4</v>
      </c>
      <c r="W19" s="45">
        <v>14.4</v>
      </c>
      <c r="X19" s="45">
        <v>14.4</v>
      </c>
      <c r="Y19" s="45">
        <v>14.4</v>
      </c>
      <c r="Z19" s="45">
        <v>14.4</v>
      </c>
      <c r="AA19" s="45">
        <v>14.4</v>
      </c>
      <c r="AB19" s="45">
        <v>14.4</v>
      </c>
      <c r="AC19" s="45">
        <v>14.4</v>
      </c>
      <c r="AD19" s="45">
        <v>14.4</v>
      </c>
      <c r="AE19" s="45">
        <v>14.4</v>
      </c>
      <c r="AF19" s="45">
        <v>14.4</v>
      </c>
      <c r="AG19" s="50">
        <v>36</v>
      </c>
      <c r="AH19" s="47">
        <f t="shared" si="2"/>
        <v>14.4</v>
      </c>
      <c r="AI19" s="48">
        <f t="shared" si="3"/>
        <v>14.4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14.5</v>
      </c>
      <c r="C20" s="45">
        <v>14.5</v>
      </c>
      <c r="D20" s="45">
        <v>14.5</v>
      </c>
      <c r="E20" s="45">
        <v>14.5</v>
      </c>
      <c r="F20" s="45">
        <v>14.5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14.7</v>
      </c>
      <c r="R20" s="45">
        <v>14.7</v>
      </c>
      <c r="S20" s="45">
        <v>14.7</v>
      </c>
      <c r="T20" s="45">
        <v>14.8</v>
      </c>
      <c r="U20" s="45">
        <v>14.7</v>
      </c>
      <c r="V20" s="45">
        <v>14.7</v>
      </c>
      <c r="W20" s="45">
        <v>14.7</v>
      </c>
      <c r="X20" s="45">
        <v>14.7</v>
      </c>
      <c r="Y20" s="45">
        <v>14.7</v>
      </c>
      <c r="Z20" s="45">
        <v>14.7</v>
      </c>
      <c r="AA20" s="45">
        <v>14.7</v>
      </c>
      <c r="AB20" s="45">
        <v>14.7</v>
      </c>
      <c r="AC20" s="45">
        <v>14.7</v>
      </c>
      <c r="AD20" s="45">
        <v>19.5</v>
      </c>
      <c r="AE20" s="45">
        <v>19.5</v>
      </c>
      <c r="AF20" s="45">
        <v>19.5</v>
      </c>
      <c r="AG20" s="51">
        <v>30</v>
      </c>
      <c r="AH20" s="47">
        <f t="shared" si="2"/>
        <v>19.5</v>
      </c>
      <c r="AI20" s="48">
        <f t="shared" si="3"/>
        <v>14.5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12.2</v>
      </c>
      <c r="C21" s="45">
        <v>12.2</v>
      </c>
      <c r="D21" s="45">
        <v>12.2</v>
      </c>
      <c r="E21" s="45">
        <v>12.2</v>
      </c>
      <c r="F21" s="45">
        <v>12.2</v>
      </c>
      <c r="G21" s="45">
        <v>11.4</v>
      </c>
      <c r="H21" s="45">
        <v>11.4</v>
      </c>
      <c r="I21" s="45">
        <v>11.4</v>
      </c>
      <c r="J21" s="45">
        <v>11.4</v>
      </c>
      <c r="K21" s="45">
        <v>11.4</v>
      </c>
      <c r="L21" s="45">
        <v>11.4</v>
      </c>
      <c r="M21" s="45">
        <v>11.4</v>
      </c>
      <c r="N21" s="45">
        <v>11.4</v>
      </c>
      <c r="O21" s="45">
        <v>11.4</v>
      </c>
      <c r="P21" s="45">
        <v>11.4</v>
      </c>
      <c r="Q21" s="45">
        <v>11.7</v>
      </c>
      <c r="R21" s="45">
        <v>11.7</v>
      </c>
      <c r="S21" s="45">
        <v>11.7</v>
      </c>
      <c r="T21" s="45">
        <v>20.6</v>
      </c>
      <c r="U21" s="45">
        <v>11.7</v>
      </c>
      <c r="V21" s="45">
        <v>11.7</v>
      </c>
      <c r="W21" s="45">
        <v>11.7</v>
      </c>
      <c r="X21" s="45">
        <v>11.7</v>
      </c>
      <c r="Y21" s="45">
        <v>11.7</v>
      </c>
      <c r="Z21" s="45">
        <v>11.7</v>
      </c>
      <c r="AA21" s="45">
        <v>11.7</v>
      </c>
      <c r="AB21" s="45">
        <v>11.7</v>
      </c>
      <c r="AC21" s="45">
        <v>11.7</v>
      </c>
      <c r="AD21" s="45">
        <v>15</v>
      </c>
      <c r="AE21" s="45">
        <v>15</v>
      </c>
      <c r="AF21" s="45">
        <v>15</v>
      </c>
      <c r="AG21" s="50">
        <v>24.2</v>
      </c>
      <c r="AH21" s="47">
        <f t="shared" si="2"/>
        <v>20.6</v>
      </c>
      <c r="AI21" s="48">
        <f t="shared" si="3"/>
        <v>11.4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10.9</v>
      </c>
      <c r="C22" s="45">
        <v>10.9</v>
      </c>
      <c r="D22" s="45">
        <v>10.9</v>
      </c>
      <c r="E22" s="45">
        <v>10.9</v>
      </c>
      <c r="F22" s="45">
        <v>10.9</v>
      </c>
      <c r="G22" s="45">
        <v>10.9</v>
      </c>
      <c r="H22" s="45">
        <v>10.9</v>
      </c>
      <c r="I22" s="45">
        <v>10.9</v>
      </c>
      <c r="J22" s="45">
        <v>10.9</v>
      </c>
      <c r="K22" s="45">
        <v>10.9</v>
      </c>
      <c r="L22" s="45">
        <v>10.9</v>
      </c>
      <c r="M22" s="45">
        <v>10.9</v>
      </c>
      <c r="N22" s="45">
        <v>10.9</v>
      </c>
      <c r="O22" s="45">
        <v>10.9</v>
      </c>
      <c r="P22" s="45">
        <v>10.9</v>
      </c>
      <c r="Q22" s="45">
        <v>10.9</v>
      </c>
      <c r="R22" s="45">
        <v>10.9</v>
      </c>
      <c r="S22" s="45">
        <v>10.9</v>
      </c>
      <c r="T22" s="45">
        <v>10.9</v>
      </c>
      <c r="U22" s="45">
        <v>10.9</v>
      </c>
      <c r="V22" s="45">
        <v>10.9</v>
      </c>
      <c r="W22" s="45">
        <v>10.9</v>
      </c>
      <c r="X22" s="45">
        <v>10.9</v>
      </c>
      <c r="Y22" s="45">
        <v>10.9</v>
      </c>
      <c r="Z22" s="45">
        <v>10.9</v>
      </c>
      <c r="AA22" s="45">
        <v>10.9</v>
      </c>
      <c r="AB22" s="45">
        <v>10.9</v>
      </c>
      <c r="AC22" s="45">
        <v>10.9</v>
      </c>
      <c r="AD22" s="45">
        <v>11</v>
      </c>
      <c r="AE22" s="45">
        <v>11</v>
      </c>
      <c r="AF22" s="45">
        <v>11</v>
      </c>
      <c r="AG22" s="50">
        <v>28</v>
      </c>
      <c r="AH22" s="47">
        <f t="shared" si="2"/>
        <v>11</v>
      </c>
      <c r="AI22" s="48">
        <f t="shared" si="3"/>
        <v>10.9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12</v>
      </c>
      <c r="C23" s="45">
        <v>12</v>
      </c>
      <c r="D23" s="45">
        <v>12</v>
      </c>
      <c r="E23" s="45">
        <v>12</v>
      </c>
      <c r="F23" s="45">
        <v>12</v>
      </c>
      <c r="G23" s="45">
        <v>12</v>
      </c>
      <c r="H23" s="45">
        <v>12</v>
      </c>
      <c r="I23" s="45">
        <v>12</v>
      </c>
      <c r="J23" s="45">
        <v>12</v>
      </c>
      <c r="K23" s="45">
        <v>12</v>
      </c>
      <c r="L23" s="45">
        <v>12</v>
      </c>
      <c r="M23" s="45">
        <v>12</v>
      </c>
      <c r="N23" s="45">
        <v>12</v>
      </c>
      <c r="O23" s="45">
        <v>12</v>
      </c>
      <c r="P23" s="45">
        <v>12</v>
      </c>
      <c r="Q23" s="45">
        <v>12</v>
      </c>
      <c r="R23" s="45">
        <v>12</v>
      </c>
      <c r="S23" s="45">
        <v>12</v>
      </c>
      <c r="T23" s="45">
        <v>12</v>
      </c>
      <c r="U23" s="45">
        <v>12</v>
      </c>
      <c r="V23" s="45">
        <v>12</v>
      </c>
      <c r="W23" s="45">
        <v>12</v>
      </c>
      <c r="X23" s="45">
        <v>12</v>
      </c>
      <c r="Y23" s="45">
        <v>12</v>
      </c>
      <c r="Z23" s="45">
        <v>12</v>
      </c>
      <c r="AA23" s="45">
        <v>12</v>
      </c>
      <c r="AB23" s="45">
        <v>12</v>
      </c>
      <c r="AC23" s="45">
        <v>12</v>
      </c>
      <c r="AD23" s="45">
        <v>12</v>
      </c>
      <c r="AE23" s="45">
        <v>12</v>
      </c>
      <c r="AF23" s="45">
        <v>12</v>
      </c>
      <c r="AG23" s="51">
        <v>30</v>
      </c>
      <c r="AH23" s="47">
        <f t="shared" si="2"/>
        <v>12</v>
      </c>
      <c r="AI23" s="48">
        <f t="shared" si="3"/>
        <v>12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14.3</v>
      </c>
      <c r="C24" s="45">
        <v>14.3</v>
      </c>
      <c r="D24" s="45">
        <v>14.3</v>
      </c>
      <c r="E24" s="45">
        <v>14.3</v>
      </c>
      <c r="F24" s="45">
        <v>14.3</v>
      </c>
      <c r="G24" s="45">
        <v>14.3</v>
      </c>
      <c r="H24" s="45">
        <v>14.3</v>
      </c>
      <c r="I24" s="45">
        <v>14.3</v>
      </c>
      <c r="J24" s="45">
        <v>14.3</v>
      </c>
      <c r="K24" s="45">
        <v>14.3</v>
      </c>
      <c r="L24" s="45">
        <v>14.3</v>
      </c>
      <c r="M24" s="45">
        <v>14.3</v>
      </c>
      <c r="N24" s="45">
        <v>14.3</v>
      </c>
      <c r="O24" s="45">
        <v>14.3</v>
      </c>
      <c r="P24" s="45">
        <v>14.3</v>
      </c>
      <c r="Q24" s="45">
        <v>14.2</v>
      </c>
      <c r="R24" s="45">
        <v>14.2</v>
      </c>
      <c r="S24" s="45">
        <v>14.2</v>
      </c>
      <c r="T24" s="45">
        <v>14.3</v>
      </c>
      <c r="U24" s="45">
        <v>14.2</v>
      </c>
      <c r="V24" s="45">
        <v>14.2</v>
      </c>
      <c r="W24" s="45">
        <v>14.2</v>
      </c>
      <c r="X24" s="45">
        <v>14.2</v>
      </c>
      <c r="Y24" s="45">
        <v>14.2</v>
      </c>
      <c r="Z24" s="45">
        <v>14.2</v>
      </c>
      <c r="AA24" s="45">
        <v>14.2</v>
      </c>
      <c r="AB24" s="45">
        <v>14.2</v>
      </c>
      <c r="AC24" s="45">
        <v>14.2</v>
      </c>
      <c r="AD24" s="45">
        <v>14.2</v>
      </c>
      <c r="AE24" s="45">
        <v>14.2</v>
      </c>
      <c r="AF24" s="45">
        <v>14.2</v>
      </c>
      <c r="AG24" s="50">
        <v>25</v>
      </c>
      <c r="AH24" s="47">
        <f t="shared" si="2"/>
        <v>14.3</v>
      </c>
      <c r="AI24" s="48">
        <f t="shared" si="3"/>
        <v>14.2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14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</v>
      </c>
      <c r="C26" s="45">
        <v>6</v>
      </c>
      <c r="D26" s="45">
        <v>6</v>
      </c>
      <c r="E26" s="45">
        <v>6</v>
      </c>
      <c r="F26" s="45">
        <v>6</v>
      </c>
      <c r="G26" s="45">
        <v>6</v>
      </c>
      <c r="H26" s="45">
        <v>6</v>
      </c>
      <c r="I26" s="45">
        <v>6</v>
      </c>
      <c r="J26" s="45">
        <v>6</v>
      </c>
      <c r="K26" s="45">
        <v>6</v>
      </c>
      <c r="L26" s="45">
        <v>6</v>
      </c>
      <c r="M26" s="45">
        <v>6</v>
      </c>
      <c r="N26" s="45">
        <v>6</v>
      </c>
      <c r="O26" s="45">
        <v>6</v>
      </c>
      <c r="P26" s="45">
        <v>6</v>
      </c>
      <c r="Q26" s="45">
        <v>6</v>
      </c>
      <c r="R26" s="45">
        <v>6</v>
      </c>
      <c r="S26" s="45">
        <v>6</v>
      </c>
      <c r="T26" s="45">
        <v>6</v>
      </c>
      <c r="U26" s="45">
        <v>6</v>
      </c>
      <c r="V26" s="45">
        <v>6</v>
      </c>
      <c r="W26" s="45">
        <v>6</v>
      </c>
      <c r="X26" s="45">
        <v>6</v>
      </c>
      <c r="Y26" s="45">
        <v>6</v>
      </c>
      <c r="Z26" s="45">
        <v>6</v>
      </c>
      <c r="AA26" s="45">
        <v>6</v>
      </c>
      <c r="AB26" s="45">
        <v>6</v>
      </c>
      <c r="AC26" s="45">
        <v>6</v>
      </c>
      <c r="AD26" s="45">
        <v>6</v>
      </c>
      <c r="AE26" s="45">
        <v>6</v>
      </c>
      <c r="AF26" s="45">
        <v>6</v>
      </c>
      <c r="AG26" s="50">
        <v>25</v>
      </c>
      <c r="AH26" s="47">
        <f t="shared" si="2"/>
        <v>6</v>
      </c>
      <c r="AI26" s="48">
        <f t="shared" si="3"/>
        <v>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18</v>
      </c>
      <c r="C27" s="45">
        <v>18</v>
      </c>
      <c r="D27" s="45">
        <v>18</v>
      </c>
      <c r="E27" s="45">
        <v>18</v>
      </c>
      <c r="F27" s="45">
        <v>18</v>
      </c>
      <c r="G27" s="45">
        <v>18</v>
      </c>
      <c r="H27" s="45">
        <v>18</v>
      </c>
      <c r="I27" s="45">
        <v>18</v>
      </c>
      <c r="J27" s="45">
        <v>18</v>
      </c>
      <c r="K27" s="45">
        <v>18</v>
      </c>
      <c r="L27" s="45">
        <v>18</v>
      </c>
      <c r="M27" s="45">
        <v>18</v>
      </c>
      <c r="N27" s="45">
        <v>18</v>
      </c>
      <c r="O27" s="45">
        <v>18</v>
      </c>
      <c r="P27" s="45">
        <v>18</v>
      </c>
      <c r="Q27" s="45">
        <v>18</v>
      </c>
      <c r="R27" s="45">
        <v>18</v>
      </c>
      <c r="S27" s="45">
        <v>18</v>
      </c>
      <c r="T27" s="45">
        <v>18</v>
      </c>
      <c r="U27" s="45">
        <v>18</v>
      </c>
      <c r="V27" s="45">
        <v>18</v>
      </c>
      <c r="W27" s="45">
        <v>18</v>
      </c>
      <c r="X27" s="45">
        <v>18</v>
      </c>
      <c r="Y27" s="45">
        <v>18</v>
      </c>
      <c r="Z27" s="45">
        <v>18</v>
      </c>
      <c r="AA27" s="45">
        <v>18</v>
      </c>
      <c r="AB27" s="45">
        <v>18</v>
      </c>
      <c r="AC27" s="45">
        <v>18</v>
      </c>
      <c r="AD27" s="45">
        <v>18</v>
      </c>
      <c r="AE27" s="45">
        <v>18</v>
      </c>
      <c r="AF27" s="45">
        <v>18</v>
      </c>
      <c r="AG27" s="50">
        <v>25</v>
      </c>
      <c r="AH27" s="47">
        <f t="shared" si="2"/>
        <v>18</v>
      </c>
      <c r="AI27" s="48">
        <f t="shared" si="3"/>
        <v>18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7.7</v>
      </c>
      <c r="C28" s="45">
        <v>7.7</v>
      </c>
      <c r="D28" s="45">
        <v>7.7</v>
      </c>
      <c r="E28" s="45">
        <v>7.7</v>
      </c>
      <c r="F28" s="45">
        <v>7.7</v>
      </c>
      <c r="G28" s="45">
        <v>7.7</v>
      </c>
      <c r="H28" s="45">
        <v>7.7</v>
      </c>
      <c r="I28" s="45">
        <v>7.7</v>
      </c>
      <c r="J28" s="45">
        <v>7.7</v>
      </c>
      <c r="K28" s="45">
        <v>7.7</v>
      </c>
      <c r="L28" s="45">
        <v>7.7</v>
      </c>
      <c r="M28" s="45">
        <v>7.7</v>
      </c>
      <c r="N28" s="45">
        <v>7.7</v>
      </c>
      <c r="O28" s="45">
        <v>7.7</v>
      </c>
      <c r="P28" s="45">
        <v>7.7</v>
      </c>
      <c r="Q28" s="45">
        <v>7.7</v>
      </c>
      <c r="R28" s="45">
        <v>7.7</v>
      </c>
      <c r="S28" s="45">
        <v>7.7</v>
      </c>
      <c r="T28" s="45">
        <v>7.7</v>
      </c>
      <c r="U28" s="45">
        <v>7.7</v>
      </c>
      <c r="V28" s="45">
        <v>7.7</v>
      </c>
      <c r="W28" s="45">
        <v>7.7</v>
      </c>
      <c r="X28" s="45">
        <v>7.7</v>
      </c>
      <c r="Y28" s="45">
        <v>7.7</v>
      </c>
      <c r="Z28" s="45">
        <v>7.7</v>
      </c>
      <c r="AA28" s="45">
        <v>7.7</v>
      </c>
      <c r="AB28" s="45">
        <v>7.7</v>
      </c>
      <c r="AC28" s="45">
        <v>7.7</v>
      </c>
      <c r="AD28" s="45">
        <v>7.7</v>
      </c>
      <c r="AE28" s="45">
        <v>7.7</v>
      </c>
      <c r="AF28" s="45">
        <v>7.7</v>
      </c>
      <c r="AG28" s="50">
        <v>23.5</v>
      </c>
      <c r="AH28" s="47">
        <f t="shared" si="2"/>
        <v>7.7</v>
      </c>
      <c r="AI28" s="48">
        <f t="shared" si="3"/>
        <v>7.7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3.5</v>
      </c>
      <c r="C29" s="45">
        <v>3.5</v>
      </c>
      <c r="D29" s="45">
        <v>3.5</v>
      </c>
      <c r="E29" s="45">
        <v>3.5</v>
      </c>
      <c r="F29" s="45">
        <v>3.5</v>
      </c>
      <c r="G29" s="45">
        <v>3.5</v>
      </c>
      <c r="H29" s="45">
        <v>3.5</v>
      </c>
      <c r="I29" s="45">
        <v>3.5</v>
      </c>
      <c r="J29" s="45">
        <v>3.5</v>
      </c>
      <c r="K29" s="45">
        <v>3.5</v>
      </c>
      <c r="L29" s="45">
        <v>3.5</v>
      </c>
      <c r="M29" s="45">
        <v>3.5</v>
      </c>
      <c r="N29" s="45">
        <v>3.5</v>
      </c>
      <c r="O29" s="45">
        <v>3.5</v>
      </c>
      <c r="P29" s="45">
        <v>3.5</v>
      </c>
      <c r="Q29" s="45">
        <v>3.5</v>
      </c>
      <c r="R29" s="45">
        <v>3.5</v>
      </c>
      <c r="S29" s="45">
        <v>3.5</v>
      </c>
      <c r="T29" s="45">
        <v>3.5</v>
      </c>
      <c r="U29" s="45">
        <v>3.5</v>
      </c>
      <c r="V29" s="45">
        <v>3.5</v>
      </c>
      <c r="W29" s="45">
        <v>3.5</v>
      </c>
      <c r="X29" s="45">
        <v>3.5</v>
      </c>
      <c r="Y29" s="45">
        <v>3.5</v>
      </c>
      <c r="Z29" s="45">
        <v>3.5</v>
      </c>
      <c r="AA29" s="45">
        <v>3.5</v>
      </c>
      <c r="AB29" s="45">
        <v>3.5</v>
      </c>
      <c r="AC29" s="45">
        <v>3.5</v>
      </c>
      <c r="AD29" s="45">
        <v>3.5</v>
      </c>
      <c r="AE29" s="45">
        <v>3.5</v>
      </c>
      <c r="AF29" s="45">
        <v>3.5</v>
      </c>
      <c r="AG29" s="50">
        <v>22.2</v>
      </c>
      <c r="AH29" s="47">
        <f t="shared" si="2"/>
        <v>3.5</v>
      </c>
      <c r="AI29" s="48">
        <f t="shared" si="3"/>
        <v>3.5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50">
        <v>22</v>
      </c>
      <c r="AH31" s="47">
        <f t="shared" si="2"/>
        <v>4.5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6.8</v>
      </c>
      <c r="C32" s="45">
        <v>6.8</v>
      </c>
      <c r="D32" s="45">
        <v>6.8</v>
      </c>
      <c r="E32" s="45">
        <v>6.8</v>
      </c>
      <c r="F32" s="45">
        <v>6.8</v>
      </c>
      <c r="G32" s="45">
        <v>6.8</v>
      </c>
      <c r="H32" s="45">
        <v>6.8</v>
      </c>
      <c r="I32" s="45">
        <v>6.8</v>
      </c>
      <c r="J32" s="45">
        <v>6.8</v>
      </c>
      <c r="K32" s="45">
        <v>6.3</v>
      </c>
      <c r="L32" s="45">
        <v>6.3</v>
      </c>
      <c r="M32" s="45">
        <v>6.3</v>
      </c>
      <c r="N32" s="45">
        <v>6.3</v>
      </c>
      <c r="O32" s="45">
        <v>6.3</v>
      </c>
      <c r="P32" s="45">
        <v>6.3</v>
      </c>
      <c r="Q32" s="45">
        <v>5.9</v>
      </c>
      <c r="R32" s="45">
        <v>3.9</v>
      </c>
      <c r="S32" s="45">
        <v>3.9</v>
      </c>
      <c r="T32" s="45">
        <v>3.9</v>
      </c>
      <c r="U32" s="45">
        <v>3.9</v>
      </c>
      <c r="V32" s="45">
        <v>3.9</v>
      </c>
      <c r="W32" s="45">
        <v>3.9</v>
      </c>
      <c r="X32" s="45">
        <v>3.9</v>
      </c>
      <c r="Y32" s="45">
        <v>3.9</v>
      </c>
      <c r="Z32" s="45">
        <v>3.9</v>
      </c>
      <c r="AA32" s="45">
        <v>3.9</v>
      </c>
      <c r="AB32" s="45">
        <v>6.5</v>
      </c>
      <c r="AC32" s="45">
        <v>7.4</v>
      </c>
      <c r="AD32" s="45">
        <v>7.4</v>
      </c>
      <c r="AE32" s="45">
        <v>7.4</v>
      </c>
      <c r="AF32" s="45">
        <v>7.4</v>
      </c>
      <c r="AG32" s="50">
        <v>22</v>
      </c>
      <c r="AH32" s="47">
        <f t="shared" si="2"/>
        <v>7.4</v>
      </c>
      <c r="AI32" s="48">
        <f t="shared" si="3"/>
        <v>3.9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14</v>
      </c>
      <c r="C33" s="45">
        <v>14</v>
      </c>
      <c r="D33" s="45">
        <v>14</v>
      </c>
      <c r="E33" s="45">
        <v>14</v>
      </c>
      <c r="F33" s="45">
        <v>14</v>
      </c>
      <c r="G33" s="45">
        <v>14</v>
      </c>
      <c r="H33" s="45">
        <v>14</v>
      </c>
      <c r="I33" s="45">
        <v>14</v>
      </c>
      <c r="J33" s="45">
        <v>14</v>
      </c>
      <c r="K33" s="45">
        <v>14</v>
      </c>
      <c r="L33" s="45">
        <v>14</v>
      </c>
      <c r="M33" s="45">
        <v>14</v>
      </c>
      <c r="N33" s="45">
        <v>14</v>
      </c>
      <c r="O33" s="45">
        <v>14</v>
      </c>
      <c r="P33" s="45">
        <v>14</v>
      </c>
      <c r="Q33" s="45">
        <v>14</v>
      </c>
      <c r="R33" s="45">
        <v>11</v>
      </c>
      <c r="S33" s="45">
        <v>11</v>
      </c>
      <c r="T33" s="45">
        <v>9.1999999999999993</v>
      </c>
      <c r="U33" s="45">
        <v>9.1999999999999993</v>
      </c>
      <c r="V33" s="45">
        <v>9.1999999999999993</v>
      </c>
      <c r="W33" s="45">
        <v>9.1999999999999993</v>
      </c>
      <c r="X33" s="45">
        <v>9.1999999999999993</v>
      </c>
      <c r="Y33" s="45">
        <v>9.1999999999999993</v>
      </c>
      <c r="Z33" s="45">
        <v>9.1999999999999993</v>
      </c>
      <c r="AA33" s="45">
        <v>9.1999999999999993</v>
      </c>
      <c r="AB33" s="45">
        <v>9.1999999999999993</v>
      </c>
      <c r="AC33" s="45">
        <v>9.1999999999999993</v>
      </c>
      <c r="AD33" s="45">
        <v>9.1999999999999993</v>
      </c>
      <c r="AE33" s="45">
        <v>9.1999999999999993</v>
      </c>
      <c r="AF33" s="45">
        <v>9.1999999999999993</v>
      </c>
      <c r="AG33" s="50">
        <v>20</v>
      </c>
      <c r="AH33" s="47">
        <f t="shared" si="2"/>
        <v>14</v>
      </c>
      <c r="AI33" s="48">
        <f t="shared" si="3"/>
        <v>9.1999999999999993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8.6</v>
      </c>
      <c r="C34" s="45">
        <v>8.6</v>
      </c>
      <c r="D34" s="45">
        <v>8.6</v>
      </c>
      <c r="E34" s="45">
        <v>8.6</v>
      </c>
      <c r="F34" s="45">
        <v>8.6</v>
      </c>
      <c r="G34" s="45">
        <v>8.6</v>
      </c>
      <c r="H34" s="45">
        <v>8.6</v>
      </c>
      <c r="I34" s="45">
        <v>8.6</v>
      </c>
      <c r="J34" s="45">
        <v>8.6</v>
      </c>
      <c r="K34" s="45">
        <v>8.6</v>
      </c>
      <c r="L34" s="45">
        <v>8.6</v>
      </c>
      <c r="M34" s="45">
        <v>8.6</v>
      </c>
      <c r="N34" s="45">
        <v>8.6</v>
      </c>
      <c r="O34" s="45">
        <v>8.6</v>
      </c>
      <c r="P34" s="45">
        <v>8.6</v>
      </c>
      <c r="Q34" s="45">
        <v>8.6</v>
      </c>
      <c r="R34" s="45">
        <v>8.6</v>
      </c>
      <c r="S34" s="45">
        <v>8.6</v>
      </c>
      <c r="T34" s="45">
        <v>8.6</v>
      </c>
      <c r="U34" s="45">
        <v>8.6</v>
      </c>
      <c r="V34" s="45">
        <v>8.6</v>
      </c>
      <c r="W34" s="45">
        <v>8.6</v>
      </c>
      <c r="X34" s="45">
        <v>8.6</v>
      </c>
      <c r="Y34" s="45">
        <v>8.6</v>
      </c>
      <c r="Z34" s="45">
        <v>8.6</v>
      </c>
      <c r="AA34" s="45">
        <v>8.6</v>
      </c>
      <c r="AB34" s="45">
        <v>8.6</v>
      </c>
      <c r="AC34" s="45">
        <v>8.6</v>
      </c>
      <c r="AD34" s="45">
        <v>8.6</v>
      </c>
      <c r="AE34" s="45">
        <v>8.6</v>
      </c>
      <c r="AF34" s="45">
        <v>8.6</v>
      </c>
      <c r="AG34" s="50">
        <v>18</v>
      </c>
      <c r="AH34" s="47">
        <f t="shared" si="2"/>
        <v>8.6</v>
      </c>
      <c r="AI34" s="48">
        <f t="shared" si="3"/>
        <v>8.6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50">
        <v>13</v>
      </c>
      <c r="AH38" s="47">
        <f t="shared" si="2"/>
        <v>6</v>
      </c>
      <c r="AI38" s="48">
        <f t="shared" si="3"/>
        <v>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6.5</v>
      </c>
      <c r="C39" s="45">
        <v>6.5</v>
      </c>
      <c r="D39" s="45">
        <v>6.5</v>
      </c>
      <c r="E39" s="45">
        <v>6.5</v>
      </c>
      <c r="F39" s="45">
        <v>6.5</v>
      </c>
      <c r="G39" s="45">
        <v>6.5</v>
      </c>
      <c r="H39" s="45">
        <v>6.5</v>
      </c>
      <c r="I39" s="45">
        <v>6.5</v>
      </c>
      <c r="J39" s="45">
        <v>6.5</v>
      </c>
      <c r="K39" s="45">
        <v>6.5</v>
      </c>
      <c r="L39" s="45">
        <v>6.5</v>
      </c>
      <c r="M39" s="45">
        <v>6.5</v>
      </c>
      <c r="N39" s="45">
        <v>6.5</v>
      </c>
      <c r="O39" s="45">
        <v>6.5</v>
      </c>
      <c r="P39" s="45">
        <v>6.5</v>
      </c>
      <c r="Q39" s="45">
        <v>6.5</v>
      </c>
      <c r="R39" s="45">
        <v>6.5</v>
      </c>
      <c r="S39" s="45">
        <v>6.5</v>
      </c>
      <c r="T39" s="45">
        <v>6.5</v>
      </c>
      <c r="U39" s="45">
        <v>6.5</v>
      </c>
      <c r="V39" s="45">
        <v>6.5</v>
      </c>
      <c r="W39" s="45">
        <v>6.5</v>
      </c>
      <c r="X39" s="45">
        <v>6.5</v>
      </c>
      <c r="Y39" s="45">
        <v>6.5</v>
      </c>
      <c r="Z39" s="45">
        <v>6.5</v>
      </c>
      <c r="AA39" s="45">
        <v>6.5</v>
      </c>
      <c r="AB39" s="45">
        <v>6.5</v>
      </c>
      <c r="AC39" s="45">
        <v>6.5</v>
      </c>
      <c r="AD39" s="45">
        <v>6.5</v>
      </c>
      <c r="AE39" s="45">
        <v>6.5</v>
      </c>
      <c r="AF39" s="45">
        <v>6.5</v>
      </c>
      <c r="AG39" s="50">
        <v>12</v>
      </c>
      <c r="AH39" s="47">
        <f t="shared" si="2"/>
        <v>6.5</v>
      </c>
      <c r="AI39" s="48">
        <f t="shared" si="3"/>
        <v>6.5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>
        <v>3.6</v>
      </c>
      <c r="N45" s="45">
        <v>3.6</v>
      </c>
      <c r="O45" s="45">
        <v>3.6</v>
      </c>
      <c r="P45" s="45">
        <v>3.6</v>
      </c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3.6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5</v>
      </c>
      <c r="C46" s="45">
        <v>5</v>
      </c>
      <c r="D46" s="45">
        <v>5</v>
      </c>
      <c r="E46" s="45">
        <v>5</v>
      </c>
      <c r="F46" s="45">
        <v>5</v>
      </c>
      <c r="G46" s="45">
        <v>5</v>
      </c>
      <c r="H46" s="45">
        <v>5</v>
      </c>
      <c r="I46" s="45">
        <v>5</v>
      </c>
      <c r="J46" s="45">
        <v>5</v>
      </c>
      <c r="K46" s="45">
        <v>5</v>
      </c>
      <c r="L46" s="45">
        <v>5</v>
      </c>
      <c r="M46" s="45">
        <v>5</v>
      </c>
      <c r="N46" s="45">
        <v>5</v>
      </c>
      <c r="O46" s="45">
        <v>5</v>
      </c>
      <c r="P46" s="45">
        <v>5</v>
      </c>
      <c r="Q46" s="45">
        <v>5</v>
      </c>
      <c r="R46" s="45">
        <v>5</v>
      </c>
      <c r="S46" s="45">
        <v>5</v>
      </c>
      <c r="T46" s="45">
        <v>5</v>
      </c>
      <c r="U46" s="45">
        <v>5</v>
      </c>
      <c r="V46" s="45">
        <v>5</v>
      </c>
      <c r="W46" s="45">
        <v>5</v>
      </c>
      <c r="X46" s="45">
        <v>5</v>
      </c>
      <c r="Y46" s="45">
        <v>5</v>
      </c>
      <c r="Z46" s="45">
        <v>5</v>
      </c>
      <c r="AA46" s="45">
        <v>5</v>
      </c>
      <c r="AB46" s="45">
        <v>5</v>
      </c>
      <c r="AC46" s="45">
        <v>5</v>
      </c>
      <c r="AD46" s="45">
        <v>5</v>
      </c>
      <c r="AE46" s="45">
        <v>5</v>
      </c>
      <c r="AF46" s="45">
        <v>5</v>
      </c>
      <c r="AG46" s="54">
        <v>10</v>
      </c>
      <c r="AH46" s="47">
        <f t="shared" si="2"/>
        <v>5</v>
      </c>
      <c r="AI46" s="48">
        <f t="shared" si="3"/>
        <v>5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3.2</v>
      </c>
      <c r="N47" s="45">
        <v>4.8</v>
      </c>
      <c r="O47" s="45">
        <v>6</v>
      </c>
      <c r="P47" s="45">
        <v>6.68</v>
      </c>
      <c r="Q47" s="45">
        <v>6.8</v>
      </c>
      <c r="R47" s="45">
        <v>6.8</v>
      </c>
      <c r="S47" s="45">
        <v>6.8</v>
      </c>
      <c r="T47" s="45">
        <v>6.8</v>
      </c>
      <c r="U47" s="45">
        <v>6.8</v>
      </c>
      <c r="V47" s="45">
        <v>6.8</v>
      </c>
      <c r="W47" s="45">
        <v>6.8</v>
      </c>
      <c r="X47" s="45">
        <v>6.8</v>
      </c>
      <c r="Y47" s="45">
        <v>6.8</v>
      </c>
      <c r="Z47" s="45">
        <v>6.8</v>
      </c>
      <c r="AA47" s="45">
        <v>6.8</v>
      </c>
      <c r="AB47" s="45">
        <v>6.8</v>
      </c>
      <c r="AC47" s="45">
        <v>6.8</v>
      </c>
      <c r="AD47" s="45">
        <v>6.8</v>
      </c>
      <c r="AE47" s="45">
        <v>6.8</v>
      </c>
      <c r="AF47" s="45">
        <v>6.8</v>
      </c>
      <c r="AG47" s="54">
        <v>10</v>
      </c>
      <c r="AH47" s="47">
        <f t="shared" si="2"/>
        <v>6.8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230</v>
      </c>
      <c r="C48" s="56">
        <v>230</v>
      </c>
      <c r="D48" s="56">
        <v>230</v>
      </c>
      <c r="E48" s="56">
        <v>230</v>
      </c>
      <c r="F48" s="56">
        <v>230</v>
      </c>
      <c r="G48" s="56">
        <v>230</v>
      </c>
      <c r="H48" s="56">
        <v>230</v>
      </c>
      <c r="I48" s="56">
        <v>230</v>
      </c>
      <c r="J48" s="56">
        <v>230</v>
      </c>
      <c r="K48" s="56">
        <v>230</v>
      </c>
      <c r="L48" s="56">
        <v>230</v>
      </c>
      <c r="M48" s="56">
        <v>230</v>
      </c>
      <c r="N48" s="56">
        <v>230</v>
      </c>
      <c r="O48" s="56">
        <v>230</v>
      </c>
      <c r="P48" s="56">
        <v>230</v>
      </c>
      <c r="Q48" s="56">
        <v>230</v>
      </c>
      <c r="R48" s="56">
        <v>230</v>
      </c>
      <c r="S48" s="56">
        <v>230</v>
      </c>
      <c r="T48" s="56">
        <v>230</v>
      </c>
      <c r="U48" s="56">
        <v>230</v>
      </c>
      <c r="V48" s="56">
        <v>230</v>
      </c>
      <c r="W48" s="56">
        <v>230</v>
      </c>
      <c r="X48" s="56">
        <v>230</v>
      </c>
      <c r="Y48" s="56">
        <v>230</v>
      </c>
      <c r="Z48" s="56">
        <v>230</v>
      </c>
      <c r="AA48" s="56">
        <v>230</v>
      </c>
      <c r="AB48" s="56">
        <v>230</v>
      </c>
      <c r="AC48" s="56">
        <v>230</v>
      </c>
      <c r="AD48" s="56">
        <v>230</v>
      </c>
      <c r="AE48" s="56">
        <v>230</v>
      </c>
      <c r="AF48" s="56">
        <v>230</v>
      </c>
      <c r="AG48" s="54">
        <v>85</v>
      </c>
      <c r="AH48" s="47">
        <f t="shared" si="2"/>
        <v>230</v>
      </c>
      <c r="AI48" s="48">
        <f t="shared" si="3"/>
        <v>230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 t="shared" ref="B50:AE50" si="4">SUM(B11:B48)</f>
        <v>688.60000000000014</v>
      </c>
      <c r="C50" s="60">
        <f>SUM(C11:C48)</f>
        <v>688.60000000000014</v>
      </c>
      <c r="D50" s="60">
        <f t="shared" si="4"/>
        <v>687.60000000000014</v>
      </c>
      <c r="E50" s="60">
        <f t="shared" si="4"/>
        <v>686.60000000000014</v>
      </c>
      <c r="F50" s="60">
        <f t="shared" si="4"/>
        <v>686.60000000000014</v>
      </c>
      <c r="G50" s="60">
        <f t="shared" si="4"/>
        <v>689.7</v>
      </c>
      <c r="H50" s="60">
        <f t="shared" si="4"/>
        <v>688.7</v>
      </c>
      <c r="I50" s="60">
        <f t="shared" si="4"/>
        <v>688.7</v>
      </c>
      <c r="J50" s="60">
        <f t="shared" si="4"/>
        <v>688.7</v>
      </c>
      <c r="K50" s="60">
        <f t="shared" si="4"/>
        <v>682.5</v>
      </c>
      <c r="L50" s="60">
        <f t="shared" si="4"/>
        <v>685.2</v>
      </c>
      <c r="M50" s="60">
        <f t="shared" si="4"/>
        <v>685.40000000000009</v>
      </c>
      <c r="N50" s="60">
        <f t="shared" si="4"/>
        <v>687</v>
      </c>
      <c r="O50" s="60">
        <f t="shared" si="4"/>
        <v>687.2</v>
      </c>
      <c r="P50" s="60">
        <f t="shared" si="4"/>
        <v>688.88000000000011</v>
      </c>
      <c r="Q50" s="60">
        <f>SUM(Q11:Q48)</f>
        <v>687.90000000000009</v>
      </c>
      <c r="R50" s="60">
        <f t="shared" si="4"/>
        <v>684.1</v>
      </c>
      <c r="S50" s="60">
        <f t="shared" si="4"/>
        <v>684.1</v>
      </c>
      <c r="T50" s="60">
        <f t="shared" si="4"/>
        <v>690.40000000000009</v>
      </c>
      <c r="U50" s="60">
        <f t="shared" si="4"/>
        <v>666.8</v>
      </c>
      <c r="V50" s="60">
        <f t="shared" si="4"/>
        <v>673.9</v>
      </c>
      <c r="W50" s="60">
        <f t="shared" si="4"/>
        <v>673.9</v>
      </c>
      <c r="X50" s="60">
        <f t="shared" si="4"/>
        <v>673.9</v>
      </c>
      <c r="Y50" s="60">
        <f t="shared" si="4"/>
        <v>673.9</v>
      </c>
      <c r="Z50" s="60">
        <f t="shared" si="4"/>
        <v>673.9</v>
      </c>
      <c r="AA50" s="60">
        <f t="shared" si="4"/>
        <v>673.9</v>
      </c>
      <c r="AB50" s="60">
        <f t="shared" si="4"/>
        <v>694</v>
      </c>
      <c r="AC50" s="60">
        <f t="shared" si="4"/>
        <v>697.6</v>
      </c>
      <c r="AD50" s="60">
        <f t="shared" si="4"/>
        <v>715</v>
      </c>
      <c r="AE50" s="60">
        <f t="shared" si="4"/>
        <v>715</v>
      </c>
      <c r="AF50" s="60">
        <f>SUM(AF11:AF48)</f>
        <v>715</v>
      </c>
      <c r="AG50" s="61">
        <f>SUM(AG13:AG48)</f>
        <v>922.14</v>
      </c>
      <c r="AH50" s="47">
        <f t="shared" si="2"/>
        <v>715</v>
      </c>
      <c r="AI50" s="48">
        <f t="shared" si="3"/>
        <v>666.8</v>
      </c>
      <c r="AK50" s="49"/>
    </row>
    <row r="51" spans="1:41" x14ac:dyDescent="0.25">
      <c r="A51" s="62" t="s">
        <v>57</v>
      </c>
      <c r="B51" s="45">
        <v>368</v>
      </c>
      <c r="C51" s="45">
        <v>368</v>
      </c>
      <c r="D51" s="45">
        <v>364</v>
      </c>
      <c r="E51" s="45">
        <v>252</v>
      </c>
      <c r="F51" s="45">
        <v>230</v>
      </c>
      <c r="G51" s="45">
        <v>140</v>
      </c>
      <c r="H51" s="45">
        <v>120</v>
      </c>
      <c r="I51" s="45">
        <v>135</v>
      </c>
      <c r="J51" s="45">
        <v>113</v>
      </c>
      <c r="K51" s="45">
        <v>125</v>
      </c>
      <c r="L51" s="45">
        <v>136</v>
      </c>
      <c r="M51" s="45">
        <v>70</v>
      </c>
      <c r="N51" s="63">
        <v>75</v>
      </c>
      <c r="O51" s="63">
        <v>120</v>
      </c>
      <c r="P51" s="63">
        <v>100</v>
      </c>
      <c r="Q51" s="63">
        <v>135</v>
      </c>
      <c r="R51" s="63">
        <v>140</v>
      </c>
      <c r="S51" s="63">
        <v>150</v>
      </c>
      <c r="T51" s="45">
        <v>152</v>
      </c>
      <c r="U51" s="45">
        <v>132</v>
      </c>
      <c r="V51" s="45">
        <v>120</v>
      </c>
      <c r="W51" s="45">
        <v>110</v>
      </c>
      <c r="X51" s="45">
        <v>60</v>
      </c>
      <c r="Y51" s="45">
        <v>60</v>
      </c>
      <c r="Z51" s="45">
        <v>252</v>
      </c>
      <c r="AA51" s="45">
        <v>456</v>
      </c>
      <c r="AB51" s="45">
        <v>410</v>
      </c>
      <c r="AC51" s="45">
        <v>415</v>
      </c>
      <c r="AD51" s="45">
        <v>395</v>
      </c>
      <c r="AE51" s="45">
        <v>395</v>
      </c>
      <c r="AF51" s="45">
        <v>398</v>
      </c>
      <c r="AG51" s="51">
        <v>456</v>
      </c>
      <c r="AH51" s="47">
        <f t="shared" si="2"/>
        <v>456</v>
      </c>
      <c r="AI51" s="48">
        <f t="shared" si="3"/>
        <v>60</v>
      </c>
      <c r="AK51" s="49"/>
    </row>
    <row r="52" spans="1:41" x14ac:dyDescent="0.25">
      <c r="A52" s="64" t="s">
        <v>58</v>
      </c>
      <c r="B52" s="65">
        <v>42</v>
      </c>
      <c r="C52" s="65">
        <v>42</v>
      </c>
      <c r="D52" s="65">
        <v>42</v>
      </c>
      <c r="E52" s="65">
        <v>42</v>
      </c>
      <c r="F52" s="65">
        <v>42</v>
      </c>
      <c r="G52" s="65">
        <v>42</v>
      </c>
      <c r="H52" s="65">
        <v>42</v>
      </c>
      <c r="I52" s="65">
        <v>42</v>
      </c>
      <c r="J52" s="65">
        <v>42</v>
      </c>
      <c r="K52" s="65">
        <v>42</v>
      </c>
      <c r="L52" s="65">
        <v>42</v>
      </c>
      <c r="M52" s="65">
        <v>42</v>
      </c>
      <c r="N52" s="65">
        <v>42</v>
      </c>
      <c r="O52" s="65">
        <v>42</v>
      </c>
      <c r="P52" s="65">
        <v>42</v>
      </c>
      <c r="Q52" s="65">
        <v>42</v>
      </c>
      <c r="R52" s="65">
        <v>42</v>
      </c>
      <c r="S52" s="65">
        <v>42</v>
      </c>
      <c r="T52" s="65">
        <v>37.5</v>
      </c>
      <c r="U52" s="65">
        <v>36.5</v>
      </c>
      <c r="V52" s="65">
        <v>36.5</v>
      </c>
      <c r="W52" s="65">
        <v>36.5</v>
      </c>
      <c r="X52" s="65">
        <v>36.5</v>
      </c>
      <c r="Y52" s="65">
        <v>36.5</v>
      </c>
      <c r="Z52" s="65">
        <v>36.5</v>
      </c>
      <c r="AA52" s="65">
        <v>36.5</v>
      </c>
      <c r="AB52" s="65">
        <v>36.5</v>
      </c>
      <c r="AC52" s="65">
        <v>36.5</v>
      </c>
      <c r="AD52" s="65">
        <v>36.5</v>
      </c>
      <c r="AE52" s="65">
        <v>36.5</v>
      </c>
      <c r="AF52" s="65">
        <v>36.5</v>
      </c>
      <c r="AG52" s="54">
        <v>60</v>
      </c>
      <c r="AH52" s="47">
        <f t="shared" si="2"/>
        <v>42</v>
      </c>
      <c r="AI52" s="48">
        <f t="shared" si="3"/>
        <v>36.5</v>
      </c>
      <c r="AK52" s="49"/>
    </row>
    <row r="53" spans="1:41" ht="15.75" thickBot="1" x14ac:dyDescent="0.3">
      <c r="A53" s="66" t="s">
        <v>59</v>
      </c>
      <c r="B53" s="67">
        <v>22.5</v>
      </c>
      <c r="C53" s="67">
        <v>22.5</v>
      </c>
      <c r="D53" s="67">
        <v>22.5</v>
      </c>
      <c r="E53" s="67">
        <v>22</v>
      </c>
      <c r="F53" s="67">
        <v>22</v>
      </c>
      <c r="G53" s="67">
        <v>22</v>
      </c>
      <c r="H53" s="67">
        <v>22</v>
      </c>
      <c r="I53" s="67">
        <v>22</v>
      </c>
      <c r="J53" s="67">
        <v>22</v>
      </c>
      <c r="K53" s="67">
        <v>22</v>
      </c>
      <c r="L53" s="67">
        <v>22</v>
      </c>
      <c r="M53" s="67">
        <v>22.4</v>
      </c>
      <c r="N53" s="67">
        <v>22.4</v>
      </c>
      <c r="O53" s="67">
        <v>22.4</v>
      </c>
      <c r="P53" s="67">
        <v>22.4</v>
      </c>
      <c r="Q53" s="67">
        <v>22.4</v>
      </c>
      <c r="R53" s="67">
        <v>22.4</v>
      </c>
      <c r="S53" s="67">
        <v>22.4</v>
      </c>
      <c r="T53" s="67">
        <v>20.3</v>
      </c>
      <c r="U53" s="67">
        <v>20.3</v>
      </c>
      <c r="V53" s="67">
        <v>20.3</v>
      </c>
      <c r="W53" s="67">
        <v>20.3</v>
      </c>
      <c r="X53" s="67">
        <v>20.3</v>
      </c>
      <c r="Y53" s="67">
        <v>20.3</v>
      </c>
      <c r="Z53" s="67">
        <v>20.3</v>
      </c>
      <c r="AA53" s="67">
        <v>20.3</v>
      </c>
      <c r="AB53" s="67">
        <v>20.3</v>
      </c>
      <c r="AC53" s="67">
        <v>22</v>
      </c>
      <c r="AD53" s="67">
        <v>22</v>
      </c>
      <c r="AE53" s="67">
        <v>22</v>
      </c>
      <c r="AF53" s="67">
        <v>22</v>
      </c>
      <c r="AG53" s="68">
        <v>22.1</v>
      </c>
      <c r="AH53" s="47">
        <f t="shared" si="2"/>
        <v>22.5</v>
      </c>
      <c r="AI53" s="48">
        <f t="shared" si="3"/>
        <v>20.3</v>
      </c>
      <c r="AK53" s="49"/>
    </row>
    <row r="54" spans="1:41" ht="15.75" thickBot="1" x14ac:dyDescent="0.3">
      <c r="A54" s="69" t="s">
        <v>60</v>
      </c>
      <c r="B54" s="60">
        <f t="shared" ref="B54:AG54" si="5">SUM(B51:B53)</f>
        <v>432.5</v>
      </c>
      <c r="C54" s="60">
        <f>SUM(C51:C53)</f>
        <v>432.5</v>
      </c>
      <c r="D54" s="60">
        <f t="shared" si="5"/>
        <v>428.5</v>
      </c>
      <c r="E54" s="60">
        <f t="shared" si="5"/>
        <v>316</v>
      </c>
      <c r="F54" s="60">
        <f t="shared" si="5"/>
        <v>294</v>
      </c>
      <c r="G54" s="60">
        <f t="shared" si="5"/>
        <v>204</v>
      </c>
      <c r="H54" s="60">
        <f t="shared" si="5"/>
        <v>184</v>
      </c>
      <c r="I54" s="60">
        <f t="shared" si="5"/>
        <v>199</v>
      </c>
      <c r="J54" s="60">
        <f t="shared" si="5"/>
        <v>177</v>
      </c>
      <c r="K54" s="60">
        <f t="shared" si="5"/>
        <v>189</v>
      </c>
      <c r="L54" s="60">
        <f t="shared" si="5"/>
        <v>200</v>
      </c>
      <c r="M54" s="60">
        <f t="shared" si="5"/>
        <v>134.4</v>
      </c>
      <c r="N54" s="60">
        <f t="shared" si="5"/>
        <v>139.4</v>
      </c>
      <c r="O54" s="60">
        <f t="shared" si="5"/>
        <v>184.4</v>
      </c>
      <c r="P54" s="60">
        <f t="shared" si="5"/>
        <v>164.4</v>
      </c>
      <c r="Q54" s="60">
        <f t="shared" si="5"/>
        <v>199.4</v>
      </c>
      <c r="R54" s="60">
        <f t="shared" si="5"/>
        <v>204.4</v>
      </c>
      <c r="S54" s="60">
        <f t="shared" si="5"/>
        <v>214.4</v>
      </c>
      <c r="T54" s="60">
        <f t="shared" si="5"/>
        <v>209.8</v>
      </c>
      <c r="U54" s="60">
        <f t="shared" si="5"/>
        <v>188.8</v>
      </c>
      <c r="V54" s="60">
        <f t="shared" si="5"/>
        <v>176.8</v>
      </c>
      <c r="W54" s="60">
        <f t="shared" si="5"/>
        <v>166.8</v>
      </c>
      <c r="X54" s="60">
        <f t="shared" si="5"/>
        <v>116.8</v>
      </c>
      <c r="Y54" s="60">
        <f t="shared" si="5"/>
        <v>116.8</v>
      </c>
      <c r="Z54" s="60">
        <f t="shared" si="5"/>
        <v>308.8</v>
      </c>
      <c r="AA54" s="60">
        <f t="shared" si="5"/>
        <v>512.79999999999995</v>
      </c>
      <c r="AB54" s="60">
        <f t="shared" si="5"/>
        <v>466.8</v>
      </c>
      <c r="AC54" s="60">
        <f t="shared" si="5"/>
        <v>473.5</v>
      </c>
      <c r="AD54" s="60">
        <f t="shared" si="5"/>
        <v>453.5</v>
      </c>
      <c r="AE54" s="60">
        <f t="shared" si="5"/>
        <v>453.5</v>
      </c>
      <c r="AF54" s="60">
        <f>SUM(AF51:AF53)</f>
        <v>456.5</v>
      </c>
      <c r="AG54" s="61">
        <f t="shared" si="5"/>
        <v>538.1</v>
      </c>
      <c r="AH54" s="47">
        <f t="shared" si="2"/>
        <v>512.79999999999995</v>
      </c>
      <c r="AI54" s="48">
        <f t="shared" si="3"/>
        <v>116.8</v>
      </c>
      <c r="AK54" s="49"/>
    </row>
    <row r="55" spans="1:41" x14ac:dyDescent="0.25">
      <c r="A55" s="44" t="s">
        <v>61</v>
      </c>
      <c r="B55" s="45">
        <v>96</v>
      </c>
      <c r="C55" s="45">
        <v>96</v>
      </c>
      <c r="D55" s="45">
        <v>73.599999999999994</v>
      </c>
      <c r="E55" s="45">
        <v>86.5</v>
      </c>
      <c r="F55" s="45">
        <v>47.9</v>
      </c>
      <c r="G55" s="45">
        <v>47.9</v>
      </c>
      <c r="H55" s="45">
        <v>48</v>
      </c>
      <c r="I55" s="45">
        <v>48</v>
      </c>
      <c r="J55" s="45">
        <v>48</v>
      </c>
      <c r="K55" s="45">
        <v>61.3</v>
      </c>
      <c r="L55" s="45">
        <v>61.2</v>
      </c>
      <c r="M55" s="45">
        <v>61.3</v>
      </c>
      <c r="N55" s="45">
        <v>130.19999999999999</v>
      </c>
      <c r="O55" s="45">
        <v>81.599999999999994</v>
      </c>
      <c r="P55" s="45">
        <v>132</v>
      </c>
      <c r="Q55" s="45">
        <v>144.5</v>
      </c>
      <c r="R55" s="45">
        <v>144.1</v>
      </c>
      <c r="S55" s="45">
        <v>144.1</v>
      </c>
      <c r="T55" s="45">
        <v>143.30000000000001</v>
      </c>
      <c r="U55" s="45">
        <v>142.69999999999999</v>
      </c>
      <c r="V55" s="45">
        <v>128</v>
      </c>
      <c r="W55" s="45">
        <v>128</v>
      </c>
      <c r="X55" s="45">
        <v>140</v>
      </c>
      <c r="Y55" s="45">
        <v>120</v>
      </c>
      <c r="Z55" s="45">
        <v>139</v>
      </c>
      <c r="AA55" s="45">
        <v>139</v>
      </c>
      <c r="AB55" s="45">
        <v>140</v>
      </c>
      <c r="AC55" s="45">
        <v>112.9</v>
      </c>
      <c r="AD55" s="45">
        <v>107</v>
      </c>
      <c r="AE55" s="45">
        <v>92</v>
      </c>
      <c r="AF55" s="45">
        <v>86.6</v>
      </c>
      <c r="AG55" s="51">
        <v>144</v>
      </c>
      <c r="AH55" s="47">
        <f t="shared" si="2"/>
        <v>144.5</v>
      </c>
      <c r="AI55" s="48">
        <f t="shared" si="3"/>
        <v>47.9</v>
      </c>
      <c r="AK55" s="49"/>
    </row>
    <row r="56" spans="1:41" x14ac:dyDescent="0.25">
      <c r="A56" s="53" t="s">
        <v>62</v>
      </c>
      <c r="B56" s="65">
        <v>50</v>
      </c>
      <c r="C56" s="65">
        <v>50</v>
      </c>
      <c r="D56" s="65">
        <v>50</v>
      </c>
      <c r="E56" s="65">
        <v>43.2</v>
      </c>
      <c r="F56" s="65">
        <v>44</v>
      </c>
      <c r="G56" s="65">
        <v>53.5</v>
      </c>
      <c r="H56" s="65">
        <v>53.7</v>
      </c>
      <c r="I56" s="65">
        <v>60.6</v>
      </c>
      <c r="J56" s="65">
        <v>71</v>
      </c>
      <c r="K56" s="65">
        <v>71.2</v>
      </c>
      <c r="L56" s="65">
        <v>65.900000000000006</v>
      </c>
      <c r="M56" s="65">
        <v>64.2</v>
      </c>
      <c r="N56" s="65">
        <v>63.9</v>
      </c>
      <c r="O56" s="65">
        <v>65.7</v>
      </c>
      <c r="P56" s="65">
        <v>71.099999999999994</v>
      </c>
      <c r="Q56" s="65">
        <v>69.7</v>
      </c>
      <c r="R56" s="65">
        <v>71.7</v>
      </c>
      <c r="S56" s="65">
        <v>71.7</v>
      </c>
      <c r="T56" s="45">
        <v>71.400000000000006</v>
      </c>
      <c r="U56" s="45">
        <v>71.400000000000006</v>
      </c>
      <c r="V56" s="45">
        <v>60</v>
      </c>
      <c r="W56" s="45">
        <v>60</v>
      </c>
      <c r="X56" s="45">
        <v>61.7</v>
      </c>
      <c r="Y56" s="45">
        <v>44</v>
      </c>
      <c r="Z56" s="45">
        <v>44</v>
      </c>
      <c r="AA56" s="45">
        <v>66.2</v>
      </c>
      <c r="AB56" s="45">
        <v>66.099999999999994</v>
      </c>
      <c r="AC56" s="45">
        <v>65.900000000000006</v>
      </c>
      <c r="AD56" s="65">
        <v>60.7</v>
      </c>
      <c r="AE56" s="45">
        <v>55</v>
      </c>
      <c r="AF56" s="45">
        <v>50</v>
      </c>
      <c r="AG56" s="54">
        <v>70</v>
      </c>
      <c r="AH56" s="47">
        <f t="shared" si="2"/>
        <v>71.7</v>
      </c>
      <c r="AI56" s="48">
        <f t="shared" si="3"/>
        <v>43.2</v>
      </c>
      <c r="AK56" s="49"/>
    </row>
    <row r="57" spans="1:41" x14ac:dyDescent="0.25">
      <c r="A57" s="53" t="s">
        <v>63</v>
      </c>
      <c r="B57" s="65">
        <v>37</v>
      </c>
      <c r="C57" s="65">
        <v>37</v>
      </c>
      <c r="D57" s="65">
        <v>35.4</v>
      </c>
      <c r="E57" s="65">
        <v>35.799999999999997</v>
      </c>
      <c r="F57" s="65">
        <v>31.8</v>
      </c>
      <c r="G57" s="65">
        <v>40</v>
      </c>
      <c r="H57" s="65">
        <v>40</v>
      </c>
      <c r="I57" s="65">
        <v>45.2</v>
      </c>
      <c r="J57" s="65">
        <v>45</v>
      </c>
      <c r="K57" s="65">
        <v>45.2</v>
      </c>
      <c r="L57" s="65">
        <v>45.5</v>
      </c>
      <c r="M57" s="65">
        <v>45.1</v>
      </c>
      <c r="N57" s="65">
        <v>45.3</v>
      </c>
      <c r="O57" s="65">
        <v>45.2</v>
      </c>
      <c r="P57" s="65">
        <v>45.5</v>
      </c>
      <c r="Q57" s="65">
        <v>45.5</v>
      </c>
      <c r="R57" s="65">
        <v>69</v>
      </c>
      <c r="S57" s="65">
        <v>63</v>
      </c>
      <c r="T57" s="45">
        <v>67.400000000000006</v>
      </c>
      <c r="U57" s="45">
        <v>68.2</v>
      </c>
      <c r="V57" s="45">
        <v>68.2</v>
      </c>
      <c r="W57" s="45">
        <v>68.2</v>
      </c>
      <c r="X57" s="45">
        <v>60.3</v>
      </c>
      <c r="Y57" s="45">
        <v>53.4</v>
      </c>
      <c r="Z57" s="45">
        <v>53.4</v>
      </c>
      <c r="AA57" s="45">
        <v>69</v>
      </c>
      <c r="AB57" s="45">
        <v>69</v>
      </c>
      <c r="AC57" s="45">
        <v>68.7</v>
      </c>
      <c r="AD57" s="65">
        <v>61.6</v>
      </c>
      <c r="AE57" s="45">
        <v>60.7</v>
      </c>
      <c r="AF57" s="45">
        <v>53.5</v>
      </c>
      <c r="AG57" s="54">
        <v>69</v>
      </c>
      <c r="AH57" s="47">
        <f t="shared" si="2"/>
        <v>69</v>
      </c>
      <c r="AI57" s="48">
        <f t="shared" si="3"/>
        <v>31.8</v>
      </c>
      <c r="AK57" s="49"/>
    </row>
    <row r="58" spans="1:41" x14ac:dyDescent="0.25">
      <c r="A58" s="53" t="s">
        <v>64</v>
      </c>
      <c r="B58" s="65">
        <v>60.9</v>
      </c>
      <c r="C58" s="65">
        <v>60.9</v>
      </c>
      <c r="D58" s="65">
        <v>60.9</v>
      </c>
      <c r="E58" s="56">
        <v>60.7</v>
      </c>
      <c r="F58" s="56">
        <v>60.7</v>
      </c>
      <c r="G58" s="56">
        <v>60.4</v>
      </c>
      <c r="H58" s="56">
        <v>60.4</v>
      </c>
      <c r="I58" s="56">
        <v>60.4</v>
      </c>
      <c r="J58" s="56">
        <v>60.4</v>
      </c>
      <c r="K58" s="56">
        <v>60.4</v>
      </c>
      <c r="L58" s="56">
        <v>60.4</v>
      </c>
      <c r="M58" s="65">
        <v>60.4</v>
      </c>
      <c r="N58" s="65">
        <v>60.4</v>
      </c>
      <c r="O58" s="65">
        <v>60.4</v>
      </c>
      <c r="P58" s="65">
        <v>60.7</v>
      </c>
      <c r="Q58" s="65">
        <v>60.2</v>
      </c>
      <c r="R58" s="65">
        <v>60.2</v>
      </c>
      <c r="S58" s="65">
        <v>60.2</v>
      </c>
      <c r="T58" s="45">
        <v>60.2</v>
      </c>
      <c r="U58" s="45">
        <v>60.2</v>
      </c>
      <c r="V58" s="45">
        <v>60.2</v>
      </c>
      <c r="W58" s="45">
        <v>60.2</v>
      </c>
      <c r="X58" s="45">
        <v>60.2</v>
      </c>
      <c r="Y58" s="45">
        <v>60.2</v>
      </c>
      <c r="Z58" s="45">
        <v>60.2</v>
      </c>
      <c r="AA58" s="45">
        <v>60.2</v>
      </c>
      <c r="AB58" s="45">
        <v>60.2</v>
      </c>
      <c r="AC58" s="45">
        <v>60.2</v>
      </c>
      <c r="AD58" s="45">
        <v>60.2</v>
      </c>
      <c r="AE58" s="45">
        <v>60.2</v>
      </c>
      <c r="AF58" s="45">
        <v>60.2</v>
      </c>
      <c r="AG58" s="54">
        <v>60</v>
      </c>
      <c r="AH58" s="47">
        <f t="shared" si="2"/>
        <v>60.9</v>
      </c>
      <c r="AI58" s="48">
        <f t="shared" si="3"/>
        <v>60.2</v>
      </c>
      <c r="AK58" s="49"/>
    </row>
    <row r="59" spans="1:41" x14ac:dyDescent="0.25">
      <c r="A59" s="53" t="s">
        <v>65</v>
      </c>
      <c r="B59" s="65">
        <v>10</v>
      </c>
      <c r="C59" s="65">
        <v>10</v>
      </c>
      <c r="D59" s="65">
        <v>0</v>
      </c>
      <c r="E59" s="65">
        <v>0</v>
      </c>
      <c r="F59" s="56">
        <v>12</v>
      </c>
      <c r="G59" s="56">
        <v>12</v>
      </c>
      <c r="H59" s="56">
        <v>12</v>
      </c>
      <c r="I59" s="56">
        <v>12</v>
      </c>
      <c r="J59" s="56">
        <v>12</v>
      </c>
      <c r="K59" s="56">
        <v>12</v>
      </c>
      <c r="L59" s="56">
        <v>12</v>
      </c>
      <c r="M59" s="65">
        <v>10</v>
      </c>
      <c r="N59" s="65">
        <v>15</v>
      </c>
      <c r="O59" s="65">
        <v>15</v>
      </c>
      <c r="P59" s="65">
        <v>10</v>
      </c>
      <c r="Q59" s="65">
        <v>10</v>
      </c>
      <c r="R59" s="65">
        <v>10</v>
      </c>
      <c r="S59" s="65">
        <v>10</v>
      </c>
      <c r="T59" s="45">
        <v>30</v>
      </c>
      <c r="U59" s="45">
        <v>30</v>
      </c>
      <c r="V59" s="45">
        <v>15</v>
      </c>
      <c r="W59" s="45">
        <v>15</v>
      </c>
      <c r="X59" s="45">
        <v>15</v>
      </c>
      <c r="Y59" s="45">
        <v>15</v>
      </c>
      <c r="Z59" s="45">
        <v>15</v>
      </c>
      <c r="AA59" s="45">
        <v>10</v>
      </c>
      <c r="AB59" s="45">
        <v>10</v>
      </c>
      <c r="AC59" s="45">
        <v>10</v>
      </c>
      <c r="AD59" s="45">
        <v>10</v>
      </c>
      <c r="AE59" s="45">
        <v>10</v>
      </c>
      <c r="AF59" s="45">
        <v>10</v>
      </c>
      <c r="AG59" s="54">
        <v>30</v>
      </c>
      <c r="AH59" s="47">
        <f t="shared" si="2"/>
        <v>30</v>
      </c>
      <c r="AI59" s="48">
        <f t="shared" si="3"/>
        <v>0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0.9</v>
      </c>
      <c r="J60" s="65">
        <v>2.1</v>
      </c>
      <c r="K60" s="65">
        <v>3.6</v>
      </c>
      <c r="L60" s="65">
        <v>5.8</v>
      </c>
      <c r="M60" s="65">
        <v>8.6999999999999993</v>
      </c>
      <c r="N60" s="65">
        <v>8.6999999999999993</v>
      </c>
      <c r="O60" s="65">
        <v>8.6999999999999993</v>
      </c>
      <c r="P60" s="65">
        <v>16.5</v>
      </c>
      <c r="Q60" s="65">
        <v>16.7</v>
      </c>
      <c r="R60" s="65">
        <v>16.2</v>
      </c>
      <c r="S60" s="65">
        <v>13.8</v>
      </c>
      <c r="T60" s="45">
        <v>10.9</v>
      </c>
      <c r="U60" s="45">
        <v>6.9</v>
      </c>
      <c r="V60" s="45">
        <v>2.5</v>
      </c>
      <c r="W60" s="45">
        <v>2.5</v>
      </c>
      <c r="X60" s="45">
        <v>1</v>
      </c>
      <c r="Y60" s="45">
        <v>0.3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16.7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15</v>
      </c>
      <c r="C61" s="65">
        <v>15</v>
      </c>
      <c r="D61" s="65">
        <v>15</v>
      </c>
      <c r="E61" s="65">
        <v>15</v>
      </c>
      <c r="F61" s="65">
        <v>15</v>
      </c>
      <c r="G61" s="65">
        <v>15</v>
      </c>
      <c r="H61" s="65">
        <v>15</v>
      </c>
      <c r="I61" s="65">
        <v>15</v>
      </c>
      <c r="J61" s="65">
        <v>15</v>
      </c>
      <c r="K61" s="65">
        <v>15</v>
      </c>
      <c r="L61" s="65">
        <v>15</v>
      </c>
      <c r="M61" s="65">
        <v>15</v>
      </c>
      <c r="N61" s="65">
        <v>15</v>
      </c>
      <c r="O61" s="65">
        <v>15</v>
      </c>
      <c r="P61" s="65">
        <v>16</v>
      </c>
      <c r="Q61" s="65">
        <v>15</v>
      </c>
      <c r="R61" s="65">
        <v>15</v>
      </c>
      <c r="S61" s="65">
        <v>15</v>
      </c>
      <c r="T61" s="65">
        <v>15.5</v>
      </c>
      <c r="U61" s="65">
        <v>15.5</v>
      </c>
      <c r="V61" s="65">
        <v>15.5</v>
      </c>
      <c r="W61" s="65">
        <v>15.5</v>
      </c>
      <c r="X61" s="65">
        <v>15.5</v>
      </c>
      <c r="Y61" s="65">
        <v>10</v>
      </c>
      <c r="Z61" s="65">
        <v>10</v>
      </c>
      <c r="AA61" s="65">
        <v>10</v>
      </c>
      <c r="AB61" s="65">
        <v>15</v>
      </c>
      <c r="AC61" s="65">
        <v>15</v>
      </c>
      <c r="AD61" s="65">
        <v>15</v>
      </c>
      <c r="AE61" s="65">
        <v>15</v>
      </c>
      <c r="AF61" s="65">
        <v>15</v>
      </c>
      <c r="AG61" s="54">
        <v>24</v>
      </c>
      <c r="AH61" s="47">
        <f t="shared" si="2"/>
        <v>16</v>
      </c>
      <c r="AI61" s="48">
        <f t="shared" si="3"/>
        <v>10</v>
      </c>
      <c r="AK61" s="49"/>
    </row>
    <row r="62" spans="1:41" x14ac:dyDescent="0.25">
      <c r="A62" s="53" t="s">
        <v>68</v>
      </c>
      <c r="B62" s="65">
        <v>1.6</v>
      </c>
      <c r="C62" s="65">
        <v>1.6</v>
      </c>
      <c r="D62" s="65">
        <v>1.6</v>
      </c>
      <c r="E62" s="65">
        <v>1.6</v>
      </c>
      <c r="F62" s="65">
        <v>1.6</v>
      </c>
      <c r="G62" s="65">
        <v>1.6</v>
      </c>
      <c r="H62" s="65">
        <v>1.6</v>
      </c>
      <c r="I62" s="65">
        <v>1.6</v>
      </c>
      <c r="J62" s="65">
        <v>1.6</v>
      </c>
      <c r="K62" s="65">
        <v>1.6</v>
      </c>
      <c r="L62" s="65">
        <v>1.6</v>
      </c>
      <c r="M62" s="65">
        <v>1.6</v>
      </c>
      <c r="N62" s="65">
        <v>1.6</v>
      </c>
      <c r="O62" s="65">
        <v>1.6</v>
      </c>
      <c r="P62" s="65">
        <v>1.6</v>
      </c>
      <c r="Q62" s="65">
        <v>1.6</v>
      </c>
      <c r="R62" s="65">
        <v>1.6</v>
      </c>
      <c r="S62" s="65">
        <v>1.6</v>
      </c>
      <c r="T62" s="65">
        <v>1.4</v>
      </c>
      <c r="U62" s="65">
        <v>1.4</v>
      </c>
      <c r="V62" s="65">
        <v>1.4</v>
      </c>
      <c r="W62" s="65">
        <v>1.4</v>
      </c>
      <c r="X62" s="65">
        <v>1.4</v>
      </c>
      <c r="Y62" s="65">
        <v>1.4</v>
      </c>
      <c r="Z62" s="65">
        <v>1.4</v>
      </c>
      <c r="AA62" s="65">
        <v>1.4</v>
      </c>
      <c r="AB62" s="65">
        <v>1.4</v>
      </c>
      <c r="AC62" s="65">
        <v>1.4</v>
      </c>
      <c r="AD62" s="65">
        <v>1.4</v>
      </c>
      <c r="AE62" s="65">
        <v>1.4</v>
      </c>
      <c r="AF62" s="65">
        <v>1.4</v>
      </c>
      <c r="AG62" s="54">
        <v>15</v>
      </c>
      <c r="AH62" s="47">
        <f t="shared" si="2"/>
        <v>1.6</v>
      </c>
      <c r="AI62" s="48">
        <f t="shared" si="3"/>
        <v>1.4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10.1</v>
      </c>
      <c r="C63" s="65">
        <v>10.1</v>
      </c>
      <c r="D63" s="65">
        <v>10.1</v>
      </c>
      <c r="E63" s="65">
        <v>10.1</v>
      </c>
      <c r="F63" s="65">
        <v>10.1</v>
      </c>
      <c r="G63" s="65">
        <v>10.1</v>
      </c>
      <c r="H63" s="65">
        <v>10.1</v>
      </c>
      <c r="I63" s="65">
        <v>10.1</v>
      </c>
      <c r="J63" s="65">
        <v>10.1</v>
      </c>
      <c r="K63" s="65">
        <v>10.1</v>
      </c>
      <c r="L63" s="65">
        <v>10.1</v>
      </c>
      <c r="M63" s="65">
        <v>10.1</v>
      </c>
      <c r="N63" s="65">
        <v>10.1</v>
      </c>
      <c r="O63" s="65">
        <v>10.1</v>
      </c>
      <c r="P63" s="65">
        <v>12.2</v>
      </c>
      <c r="Q63" s="65">
        <v>12.2</v>
      </c>
      <c r="R63" s="65">
        <v>12.2</v>
      </c>
      <c r="S63" s="65">
        <v>12.2</v>
      </c>
      <c r="T63" s="65">
        <v>12.5</v>
      </c>
      <c r="U63" s="65">
        <v>12.6</v>
      </c>
      <c r="V63" s="65">
        <v>12.6</v>
      </c>
      <c r="W63" s="65">
        <v>12.6</v>
      </c>
      <c r="X63" s="65">
        <v>12.6</v>
      </c>
      <c r="Y63" s="65">
        <v>12.6</v>
      </c>
      <c r="Z63" s="65">
        <v>12.6</v>
      </c>
      <c r="AA63" s="65">
        <v>12.6</v>
      </c>
      <c r="AB63" s="65">
        <v>12.6</v>
      </c>
      <c r="AC63" s="65">
        <v>12.6</v>
      </c>
      <c r="AD63" s="65">
        <v>12.6</v>
      </c>
      <c r="AE63" s="65">
        <v>12.6</v>
      </c>
      <c r="AF63" s="65">
        <v>12.6</v>
      </c>
      <c r="AG63" s="54">
        <v>14.1</v>
      </c>
      <c r="AH63" s="47">
        <f t="shared" si="2"/>
        <v>12.6</v>
      </c>
      <c r="AI63" s="48">
        <f t="shared" si="3"/>
        <v>10.1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9</v>
      </c>
      <c r="C64" s="65">
        <v>9</v>
      </c>
      <c r="D64" s="65">
        <v>9</v>
      </c>
      <c r="E64" s="65">
        <v>9</v>
      </c>
      <c r="F64" s="65">
        <v>9</v>
      </c>
      <c r="G64" s="65">
        <v>9</v>
      </c>
      <c r="H64" s="65">
        <v>9</v>
      </c>
      <c r="I64" s="65">
        <v>9</v>
      </c>
      <c r="J64" s="65">
        <v>9</v>
      </c>
      <c r="K64" s="65">
        <v>9</v>
      </c>
      <c r="L64" s="65">
        <v>9</v>
      </c>
      <c r="M64" s="65">
        <v>9</v>
      </c>
      <c r="N64" s="65">
        <v>9</v>
      </c>
      <c r="O64" s="65">
        <v>9</v>
      </c>
      <c r="P64" s="65">
        <v>9</v>
      </c>
      <c r="Q64" s="65">
        <v>9</v>
      </c>
      <c r="R64" s="65">
        <v>9</v>
      </c>
      <c r="S64" s="65">
        <v>9</v>
      </c>
      <c r="T64" s="65">
        <v>7.4</v>
      </c>
      <c r="U64" s="65">
        <v>6.2</v>
      </c>
      <c r="V64" s="65">
        <v>9</v>
      </c>
      <c r="W64" s="65">
        <v>9</v>
      </c>
      <c r="X64" s="65">
        <v>9</v>
      </c>
      <c r="Y64" s="65">
        <v>8.1999999999999993</v>
      </c>
      <c r="Z64" s="65">
        <v>8.1999999999999993</v>
      </c>
      <c r="AA64" s="65">
        <v>8.1999999999999993</v>
      </c>
      <c r="AB64" s="65">
        <v>8.1999999999999993</v>
      </c>
      <c r="AC64" s="65">
        <v>8.1999999999999993</v>
      </c>
      <c r="AD64" s="65">
        <v>8.1999999999999993</v>
      </c>
      <c r="AE64" s="65">
        <v>8.1999999999999993</v>
      </c>
      <c r="AF64" s="65">
        <v>8.1999999999999993</v>
      </c>
      <c r="AG64" s="54">
        <v>14</v>
      </c>
      <c r="AH64" s="47">
        <f t="shared" si="2"/>
        <v>9</v>
      </c>
      <c r="AI64" s="48">
        <f t="shared" si="3"/>
        <v>6.2</v>
      </c>
      <c r="AK64" s="49"/>
    </row>
    <row r="65" spans="1:40" x14ac:dyDescent="0.25">
      <c r="A65" s="53" t="s">
        <v>71</v>
      </c>
      <c r="B65" s="65">
        <v>4.8</v>
      </c>
      <c r="C65" s="65">
        <v>4.8</v>
      </c>
      <c r="D65" s="65">
        <v>4.8</v>
      </c>
      <c r="E65" s="65">
        <v>4.8</v>
      </c>
      <c r="F65" s="65">
        <v>4.8</v>
      </c>
      <c r="G65" s="65">
        <v>4.8</v>
      </c>
      <c r="H65" s="65">
        <v>4.8</v>
      </c>
      <c r="I65" s="65">
        <v>4.8</v>
      </c>
      <c r="J65" s="65">
        <v>4.8</v>
      </c>
      <c r="K65" s="65">
        <v>4.8</v>
      </c>
      <c r="L65" s="65">
        <v>4.8</v>
      </c>
      <c r="M65" s="65">
        <v>6</v>
      </c>
      <c r="N65" s="65">
        <v>6</v>
      </c>
      <c r="O65" s="65">
        <v>6</v>
      </c>
      <c r="P65" s="65">
        <v>6</v>
      </c>
      <c r="Q65" s="65">
        <v>6</v>
      </c>
      <c r="R65" s="65">
        <v>6</v>
      </c>
      <c r="S65" s="65">
        <v>6</v>
      </c>
      <c r="T65" s="65">
        <v>6.3</v>
      </c>
      <c r="U65" s="65">
        <v>6.3</v>
      </c>
      <c r="V65" s="65">
        <v>6.3</v>
      </c>
      <c r="W65" s="65">
        <v>6.3</v>
      </c>
      <c r="X65" s="65">
        <v>6.3</v>
      </c>
      <c r="Y65" s="65">
        <v>6.3</v>
      </c>
      <c r="Z65" s="65">
        <v>6.3</v>
      </c>
      <c r="AA65" s="65">
        <v>6.3</v>
      </c>
      <c r="AB65" s="65">
        <v>6.3</v>
      </c>
      <c r="AC65" s="65">
        <v>6.3</v>
      </c>
      <c r="AD65" s="65">
        <v>6.3</v>
      </c>
      <c r="AE65" s="65">
        <v>6.3</v>
      </c>
      <c r="AF65" s="65">
        <v>6.3</v>
      </c>
      <c r="AG65" s="54">
        <v>10.050000000000001</v>
      </c>
      <c r="AH65" s="47">
        <f t="shared" si="2"/>
        <v>6.3</v>
      </c>
      <c r="AI65" s="48">
        <f t="shared" si="3"/>
        <v>4.8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6">SUM(B55:B67)</f>
        <v>299.94000000000005</v>
      </c>
      <c r="C68" s="60">
        <f t="shared" si="6"/>
        <v>299.94000000000005</v>
      </c>
      <c r="D68" s="60">
        <f t="shared" si="6"/>
        <v>265.94</v>
      </c>
      <c r="E68" s="60">
        <f t="shared" si="6"/>
        <v>272.24</v>
      </c>
      <c r="F68" s="60">
        <f t="shared" si="6"/>
        <v>242.44</v>
      </c>
      <c r="G68" s="60">
        <f t="shared" si="6"/>
        <v>259.84000000000003</v>
      </c>
      <c r="H68" s="60">
        <f t="shared" si="6"/>
        <v>260.14000000000004</v>
      </c>
      <c r="I68" s="60">
        <f t="shared" si="6"/>
        <v>273.14000000000004</v>
      </c>
      <c r="J68" s="60">
        <f t="shared" si="6"/>
        <v>284.54000000000002</v>
      </c>
      <c r="K68" s="60">
        <f t="shared" si="6"/>
        <v>299.74000000000007</v>
      </c>
      <c r="L68" s="60">
        <f t="shared" si="6"/>
        <v>296.84000000000015</v>
      </c>
      <c r="M68" s="60">
        <f t="shared" si="6"/>
        <v>296.94000000000005</v>
      </c>
      <c r="N68" s="60">
        <f t="shared" si="6"/>
        <v>370.74</v>
      </c>
      <c r="O68" s="60">
        <f t="shared" si="6"/>
        <v>323.84000000000003</v>
      </c>
      <c r="P68" s="60">
        <f t="shared" si="6"/>
        <v>386.14000000000004</v>
      </c>
      <c r="Q68" s="60">
        <f t="shared" si="6"/>
        <v>395.94</v>
      </c>
      <c r="R68" s="60">
        <f t="shared" si="6"/>
        <v>420.54</v>
      </c>
      <c r="S68" s="60">
        <f t="shared" si="6"/>
        <v>412.14000000000004</v>
      </c>
      <c r="T68" s="60">
        <f t="shared" si="6"/>
        <v>431.84</v>
      </c>
      <c r="U68" s="60">
        <f t="shared" si="6"/>
        <v>426.94</v>
      </c>
      <c r="V68" s="60">
        <f t="shared" si="6"/>
        <v>384.24</v>
      </c>
      <c r="W68" s="60">
        <f t="shared" si="6"/>
        <v>384.24</v>
      </c>
      <c r="X68" s="60">
        <f t="shared" si="6"/>
        <v>388.54</v>
      </c>
      <c r="Y68" s="60">
        <f t="shared" si="6"/>
        <v>336.94000000000005</v>
      </c>
      <c r="Z68" s="60">
        <f t="shared" si="6"/>
        <v>355.64000000000004</v>
      </c>
      <c r="AA68" s="60">
        <f t="shared" si="6"/>
        <v>388.44</v>
      </c>
      <c r="AB68" s="60">
        <f t="shared" si="6"/>
        <v>394.34000000000003</v>
      </c>
      <c r="AC68" s="60">
        <f t="shared" si="6"/>
        <v>366.74</v>
      </c>
      <c r="AD68" s="60">
        <f t="shared" si="6"/>
        <v>348.54</v>
      </c>
      <c r="AE68" s="60">
        <f t="shared" si="6"/>
        <v>326.94</v>
      </c>
      <c r="AF68" s="60">
        <f t="shared" si="6"/>
        <v>309.34000000000003</v>
      </c>
      <c r="AG68" s="61">
        <f t="shared" si="6"/>
        <v>489.91</v>
      </c>
      <c r="AH68" s="47">
        <f t="shared" si="2"/>
        <v>431.84</v>
      </c>
      <c r="AI68" s="48">
        <f t="shared" si="3"/>
        <v>242.44</v>
      </c>
      <c r="AK68" s="49"/>
    </row>
    <row r="69" spans="1:40" x14ac:dyDescent="0.25">
      <c r="A69" s="44" t="s">
        <v>75</v>
      </c>
      <c r="B69" s="45">
        <v>20</v>
      </c>
      <c r="C69" s="45">
        <v>14</v>
      </c>
      <c r="D69" s="45">
        <v>14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10</v>
      </c>
      <c r="K69" s="45">
        <v>14</v>
      </c>
      <c r="L69" s="45">
        <v>30</v>
      </c>
      <c r="M69" s="45">
        <v>30</v>
      </c>
      <c r="N69" s="45">
        <v>30</v>
      </c>
      <c r="O69" s="45">
        <v>30</v>
      </c>
      <c r="P69" s="45">
        <v>30</v>
      </c>
      <c r="Q69" s="45">
        <v>30</v>
      </c>
      <c r="R69" s="45">
        <v>30</v>
      </c>
      <c r="S69" s="45">
        <v>30</v>
      </c>
      <c r="T69" s="45">
        <v>40</v>
      </c>
      <c r="U69" s="45">
        <v>40</v>
      </c>
      <c r="V69" s="45">
        <v>34</v>
      </c>
      <c r="W69" s="45">
        <v>34</v>
      </c>
      <c r="X69" s="45">
        <v>20</v>
      </c>
      <c r="Y69" s="45">
        <v>10</v>
      </c>
      <c r="Z69" s="45">
        <v>20</v>
      </c>
      <c r="AA69" s="45">
        <v>60</v>
      </c>
      <c r="AB69" s="45">
        <v>14</v>
      </c>
      <c r="AC69" s="45">
        <v>25</v>
      </c>
      <c r="AD69" s="45">
        <v>10</v>
      </c>
      <c r="AE69" s="45">
        <v>0</v>
      </c>
      <c r="AF69" s="45">
        <v>0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9</v>
      </c>
      <c r="C70" s="45">
        <v>9</v>
      </c>
      <c r="D70" s="45">
        <v>9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3.1</v>
      </c>
      <c r="L70" s="65">
        <v>14.7</v>
      </c>
      <c r="M70" s="65">
        <v>14.7</v>
      </c>
      <c r="N70" s="65">
        <v>14.7</v>
      </c>
      <c r="O70" s="65">
        <v>14.7</v>
      </c>
      <c r="P70" s="65">
        <v>15.3</v>
      </c>
      <c r="Q70" s="65">
        <v>14.8</v>
      </c>
      <c r="R70" s="65">
        <v>14.8</v>
      </c>
      <c r="S70" s="65">
        <v>14.8</v>
      </c>
      <c r="T70" s="65">
        <v>17.600000000000001</v>
      </c>
      <c r="U70" s="65">
        <v>19.600000000000001</v>
      </c>
      <c r="V70" s="65">
        <v>20.7</v>
      </c>
      <c r="W70" s="65">
        <v>15.7</v>
      </c>
      <c r="X70" s="65">
        <v>10.8</v>
      </c>
      <c r="Y70" s="65">
        <v>2.9</v>
      </c>
      <c r="Z70" s="65">
        <v>8</v>
      </c>
      <c r="AA70" s="65">
        <v>15</v>
      </c>
      <c r="AB70" s="65">
        <v>6.9</v>
      </c>
      <c r="AC70" s="65">
        <v>12.4</v>
      </c>
      <c r="AD70" s="65">
        <v>3.4</v>
      </c>
      <c r="AE70" s="65">
        <v>0</v>
      </c>
      <c r="AF70" s="65">
        <v>0</v>
      </c>
      <c r="AG70" s="54">
        <v>32</v>
      </c>
      <c r="AH70" s="47">
        <f t="shared" si="2"/>
        <v>20.7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3.3</v>
      </c>
      <c r="C71" s="45">
        <v>3.3</v>
      </c>
      <c r="D71" s="45">
        <v>3.3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1.1000000000000001</v>
      </c>
      <c r="L71" s="67">
        <v>5.4</v>
      </c>
      <c r="M71" s="67">
        <v>5.4</v>
      </c>
      <c r="N71" s="67">
        <v>5.4</v>
      </c>
      <c r="O71" s="67">
        <v>5.4</v>
      </c>
      <c r="P71" s="67">
        <v>5.6</v>
      </c>
      <c r="Q71" s="67">
        <v>5.4</v>
      </c>
      <c r="R71" s="67">
        <v>5.4</v>
      </c>
      <c r="S71" s="67">
        <v>5.4</v>
      </c>
      <c r="T71" s="67">
        <v>6.4</v>
      </c>
      <c r="U71" s="67">
        <v>7.2</v>
      </c>
      <c r="V71" s="67">
        <v>7.6</v>
      </c>
      <c r="W71" s="67">
        <v>5.7</v>
      </c>
      <c r="X71" s="67">
        <v>4</v>
      </c>
      <c r="Y71" s="67">
        <v>1.1000000000000001</v>
      </c>
      <c r="Z71" s="67">
        <v>2.9</v>
      </c>
      <c r="AA71" s="67">
        <v>5.4</v>
      </c>
      <c r="AB71" s="67">
        <v>2.5</v>
      </c>
      <c r="AC71" s="67">
        <v>4.5</v>
      </c>
      <c r="AD71" s="67">
        <v>1.2</v>
      </c>
      <c r="AE71" s="67">
        <v>0</v>
      </c>
      <c r="AF71" s="67">
        <v>0</v>
      </c>
      <c r="AG71" s="68">
        <v>14</v>
      </c>
      <c r="AH71" s="47">
        <f t="shared" si="2"/>
        <v>7.6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32.299999999999997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50.1</v>
      </c>
      <c r="M72" s="60">
        <f t="shared" ref="M72:AF72" si="7">M69+M70+M71</f>
        <v>50.1</v>
      </c>
      <c r="N72" s="60">
        <f t="shared" si="7"/>
        <v>50.1</v>
      </c>
      <c r="O72" s="60">
        <f t="shared" si="7"/>
        <v>50.1</v>
      </c>
      <c r="P72" s="60">
        <f t="shared" si="7"/>
        <v>50.9</v>
      </c>
      <c r="Q72" s="60">
        <f t="shared" si="7"/>
        <v>50.199999999999996</v>
      </c>
      <c r="R72" s="60">
        <f t="shared" si="7"/>
        <v>50.199999999999996</v>
      </c>
      <c r="S72" s="60">
        <f t="shared" si="7"/>
        <v>50.199999999999996</v>
      </c>
      <c r="T72" s="60">
        <f t="shared" si="7"/>
        <v>64</v>
      </c>
      <c r="U72" s="60">
        <f t="shared" si="7"/>
        <v>66.8</v>
      </c>
      <c r="V72" s="60">
        <f t="shared" si="7"/>
        <v>62.300000000000004</v>
      </c>
      <c r="W72" s="60">
        <f t="shared" si="7"/>
        <v>55.400000000000006</v>
      </c>
      <c r="X72" s="60">
        <f t="shared" si="7"/>
        <v>34.799999999999997</v>
      </c>
      <c r="Y72" s="60">
        <f t="shared" si="7"/>
        <v>14</v>
      </c>
      <c r="Z72" s="60">
        <f t="shared" si="7"/>
        <v>30.9</v>
      </c>
      <c r="AA72" s="60">
        <f t="shared" si="7"/>
        <v>80.400000000000006</v>
      </c>
      <c r="AB72" s="60">
        <f t="shared" si="7"/>
        <v>23.4</v>
      </c>
      <c r="AC72" s="60">
        <f t="shared" si="7"/>
        <v>41.9</v>
      </c>
      <c r="AD72" s="60">
        <f t="shared" si="7"/>
        <v>14.6</v>
      </c>
      <c r="AE72" s="60">
        <f t="shared" si="7"/>
        <v>0</v>
      </c>
      <c r="AF72" s="60">
        <f t="shared" si="7"/>
        <v>0</v>
      </c>
      <c r="AG72" s="61">
        <f>SUM(AG69:AG71)</f>
        <v>106</v>
      </c>
      <c r="AH72" s="47">
        <f t="shared" si="2"/>
        <v>80.400000000000006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62</v>
      </c>
      <c r="C73" s="45">
        <v>58.5</v>
      </c>
      <c r="D73" s="45">
        <v>63</v>
      </c>
      <c r="E73" s="45">
        <v>47</v>
      </c>
      <c r="F73" s="45">
        <v>69</v>
      </c>
      <c r="G73" s="45">
        <v>62.2</v>
      </c>
      <c r="H73" s="45">
        <v>61</v>
      </c>
      <c r="I73" s="45">
        <v>48</v>
      </c>
      <c r="J73" s="45">
        <v>62</v>
      </c>
      <c r="K73" s="45">
        <v>65.5</v>
      </c>
      <c r="L73" s="45">
        <v>67.2</v>
      </c>
      <c r="M73" s="45">
        <v>69.5</v>
      </c>
      <c r="N73" s="45">
        <v>71.099999999999994</v>
      </c>
      <c r="O73" s="45">
        <v>75</v>
      </c>
      <c r="P73" s="45">
        <v>67.2</v>
      </c>
      <c r="Q73" s="45">
        <v>65.400000000000006</v>
      </c>
      <c r="R73" s="45">
        <v>64.7</v>
      </c>
      <c r="S73" s="45">
        <v>70.7</v>
      </c>
      <c r="T73" s="45">
        <v>65.099999999999994</v>
      </c>
      <c r="U73" s="45">
        <v>71</v>
      </c>
      <c r="V73" s="45">
        <v>76.400000000000006</v>
      </c>
      <c r="W73" s="45">
        <v>76.400000000000006</v>
      </c>
      <c r="X73" s="45">
        <v>48.2</v>
      </c>
      <c r="Y73" s="45">
        <v>61.8</v>
      </c>
      <c r="Z73" s="45">
        <v>52.9</v>
      </c>
      <c r="AA73" s="45">
        <v>54</v>
      </c>
      <c r="AB73" s="45">
        <v>66.2</v>
      </c>
      <c r="AC73" s="45">
        <v>66</v>
      </c>
      <c r="AD73" s="45">
        <v>71.7</v>
      </c>
      <c r="AE73" s="45">
        <v>64</v>
      </c>
      <c r="AF73" s="45">
        <v>60</v>
      </c>
      <c r="AG73" s="51"/>
      <c r="AH73" s="47">
        <f t="shared" si="2"/>
        <v>76.400000000000006</v>
      </c>
      <c r="AI73" s="48">
        <f t="shared" si="3"/>
        <v>47</v>
      </c>
      <c r="AK73" s="49"/>
    </row>
    <row r="74" spans="1:40" x14ac:dyDescent="0.25">
      <c r="A74" s="53" t="s">
        <v>80</v>
      </c>
      <c r="B74" s="65">
        <v>58</v>
      </c>
      <c r="C74" s="65">
        <v>58.2</v>
      </c>
      <c r="D74" s="65">
        <v>62</v>
      </c>
      <c r="E74" s="65">
        <v>63</v>
      </c>
      <c r="F74" s="65">
        <v>69.7</v>
      </c>
      <c r="G74" s="65">
        <v>70.8</v>
      </c>
      <c r="H74" s="65">
        <v>69.7</v>
      </c>
      <c r="I74" s="65">
        <v>74.5</v>
      </c>
      <c r="J74" s="65">
        <v>76.3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75</v>
      </c>
      <c r="R74" s="65">
        <v>76.400000000000006</v>
      </c>
      <c r="S74" s="65">
        <v>85.7</v>
      </c>
      <c r="T74" s="65">
        <v>89.7</v>
      </c>
      <c r="U74" s="65">
        <v>89.5</v>
      </c>
      <c r="V74" s="65">
        <v>101</v>
      </c>
      <c r="W74" s="65">
        <v>98.3</v>
      </c>
      <c r="X74" s="65">
        <v>80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101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-3.2</v>
      </c>
      <c r="C75" s="65">
        <v>5.2</v>
      </c>
      <c r="D75" s="65">
        <v>40</v>
      </c>
      <c r="E75" s="65">
        <v>100.6</v>
      </c>
      <c r="F75" s="65">
        <v>135</v>
      </c>
      <c r="G75" s="65">
        <v>187</v>
      </c>
      <c r="H75" s="65">
        <v>178</v>
      </c>
      <c r="I75" s="65">
        <v>204</v>
      </c>
      <c r="J75" s="65">
        <v>187</v>
      </c>
      <c r="K75" s="65">
        <v>332</v>
      </c>
      <c r="L75" s="65">
        <v>322</v>
      </c>
      <c r="M75" s="65">
        <v>401.5</v>
      </c>
      <c r="N75" s="65">
        <v>401.5</v>
      </c>
      <c r="O75" s="65">
        <v>392.8</v>
      </c>
      <c r="P75" s="65">
        <v>366.8</v>
      </c>
      <c r="Q75" s="65">
        <v>298</v>
      </c>
      <c r="R75" s="65">
        <v>285.39999999999998</v>
      </c>
      <c r="S75" s="65">
        <v>270</v>
      </c>
      <c r="T75" s="65">
        <v>264.7</v>
      </c>
      <c r="U75" s="65">
        <v>234.8</v>
      </c>
      <c r="V75" s="65">
        <v>254</v>
      </c>
      <c r="W75" s="65">
        <v>244</v>
      </c>
      <c r="X75" s="65">
        <v>206</v>
      </c>
      <c r="Y75" s="65">
        <v>300</v>
      </c>
      <c r="Z75" s="65">
        <v>119</v>
      </c>
      <c r="AA75" s="65">
        <v>-50</v>
      </c>
      <c r="AB75" s="65">
        <v>0</v>
      </c>
      <c r="AC75" s="65">
        <v>3.6</v>
      </c>
      <c r="AD75" s="65">
        <v>0</v>
      </c>
      <c r="AE75" s="65">
        <v>26.6</v>
      </c>
      <c r="AF75" s="65">
        <v>0</v>
      </c>
      <c r="AG75" s="75"/>
      <c r="AH75" s="47">
        <f t="shared" si="2"/>
        <v>401.5</v>
      </c>
      <c r="AI75" s="48">
        <f t="shared" si="3"/>
        <v>-50</v>
      </c>
      <c r="AK75" s="49"/>
    </row>
    <row r="76" spans="1:40" x14ac:dyDescent="0.25">
      <c r="A76" s="53" t="s">
        <v>82</v>
      </c>
      <c r="B76" s="65">
        <v>0</v>
      </c>
      <c r="C76" s="65">
        <v>0</v>
      </c>
      <c r="D76" s="65">
        <v>0</v>
      </c>
      <c r="E76" s="76">
        <v>14</v>
      </c>
      <c r="F76" s="76">
        <v>14</v>
      </c>
      <c r="G76" s="76">
        <v>14</v>
      </c>
      <c r="H76" s="76">
        <v>21</v>
      </c>
      <c r="I76" s="76">
        <v>30</v>
      </c>
      <c r="J76" s="76">
        <v>39</v>
      </c>
      <c r="K76" s="76">
        <v>42</v>
      </c>
      <c r="L76" s="76">
        <v>48</v>
      </c>
      <c r="M76" s="76">
        <v>53.3</v>
      </c>
      <c r="N76" s="76">
        <v>53.3</v>
      </c>
      <c r="O76" s="76">
        <v>49.3</v>
      </c>
      <c r="P76" s="76">
        <v>50.1</v>
      </c>
      <c r="Q76" s="76">
        <v>51</v>
      </c>
      <c r="R76" s="76">
        <v>53.1</v>
      </c>
      <c r="S76" s="76">
        <v>47.7</v>
      </c>
      <c r="T76" s="76">
        <v>48.3</v>
      </c>
      <c r="U76" s="76">
        <v>12.5</v>
      </c>
      <c r="V76" s="76">
        <v>12.5</v>
      </c>
      <c r="W76" s="76">
        <v>12.5</v>
      </c>
      <c r="X76" s="76">
        <v>12.5</v>
      </c>
      <c r="Y76" s="76">
        <v>12.5</v>
      </c>
      <c r="Z76" s="76">
        <v>12.5</v>
      </c>
      <c r="AA76" s="76">
        <v>12.5</v>
      </c>
      <c r="AB76" s="76">
        <v>12.5</v>
      </c>
      <c r="AC76" s="76">
        <v>13</v>
      </c>
      <c r="AD76" s="65">
        <v>13</v>
      </c>
      <c r="AE76" s="76">
        <v>13</v>
      </c>
      <c r="AF76" s="76">
        <v>13</v>
      </c>
      <c r="AG76" s="75"/>
      <c r="AH76" s="47">
        <f t="shared" si="2"/>
        <v>53.3</v>
      </c>
      <c r="AI76" s="48">
        <f t="shared" si="3"/>
        <v>0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45">
        <v>0</v>
      </c>
      <c r="E77" s="45">
        <v>21.6</v>
      </c>
      <c r="F77" s="45">
        <v>20.2</v>
      </c>
      <c r="G77" s="45">
        <v>17.899999999999999</v>
      </c>
      <c r="H77" s="45">
        <v>17.7</v>
      </c>
      <c r="I77" s="45">
        <v>17.899999999999999</v>
      </c>
      <c r="J77" s="45">
        <v>18</v>
      </c>
      <c r="K77" s="45">
        <v>19</v>
      </c>
      <c r="L77" s="45">
        <v>11.3</v>
      </c>
      <c r="M77" s="45">
        <v>20</v>
      </c>
      <c r="N77" s="45">
        <v>20</v>
      </c>
      <c r="O77" s="45">
        <v>39.1</v>
      </c>
      <c r="P77" s="45">
        <v>41.5</v>
      </c>
      <c r="Q77" s="45">
        <v>40.4</v>
      </c>
      <c r="R77" s="45">
        <v>40.200000000000003</v>
      </c>
      <c r="S77" s="45">
        <v>36.5</v>
      </c>
      <c r="T77" s="45">
        <v>39.4</v>
      </c>
      <c r="U77" s="45">
        <v>37.299999999999997</v>
      </c>
      <c r="V77" s="45">
        <v>35</v>
      </c>
      <c r="W77" s="45">
        <v>32</v>
      </c>
      <c r="X77" s="45">
        <v>30</v>
      </c>
      <c r="Y77" s="45">
        <v>30</v>
      </c>
      <c r="Z77" s="45">
        <v>28.5</v>
      </c>
      <c r="AA77" s="45">
        <v>28.5</v>
      </c>
      <c r="AB77" s="45">
        <v>28.5</v>
      </c>
      <c r="AC77" s="45">
        <v>25.9</v>
      </c>
      <c r="AD77" s="45">
        <v>27</v>
      </c>
      <c r="AE77" s="45">
        <v>13.9</v>
      </c>
      <c r="AF77" s="45">
        <v>24.5</v>
      </c>
      <c r="AG77" s="75"/>
      <c r="AH77" s="47">
        <f t="shared" ref="AH77:AH120" si="8">MAX(B77:AF77)</f>
        <v>41.5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45">
        <v>8</v>
      </c>
      <c r="C78" s="45">
        <v>8</v>
      </c>
      <c r="D78" s="45">
        <v>8</v>
      </c>
      <c r="E78" s="45">
        <v>8</v>
      </c>
      <c r="F78" s="45">
        <v>8</v>
      </c>
      <c r="G78" s="45">
        <v>8</v>
      </c>
      <c r="H78" s="45">
        <v>8</v>
      </c>
      <c r="I78" s="45">
        <v>8</v>
      </c>
      <c r="J78" s="45">
        <v>8</v>
      </c>
      <c r="K78" s="45">
        <v>8</v>
      </c>
      <c r="L78" s="45">
        <v>8</v>
      </c>
      <c r="M78" s="45">
        <v>8</v>
      </c>
      <c r="N78" s="45">
        <v>8</v>
      </c>
      <c r="O78" s="77">
        <v>8</v>
      </c>
      <c r="P78" s="77">
        <v>8</v>
      </c>
      <c r="Q78" s="77">
        <v>8</v>
      </c>
      <c r="R78" s="77">
        <v>8</v>
      </c>
      <c r="S78" s="77">
        <v>8</v>
      </c>
      <c r="T78" s="77">
        <v>6.9</v>
      </c>
      <c r="U78" s="77">
        <v>6.9</v>
      </c>
      <c r="V78" s="77">
        <v>6.9</v>
      </c>
      <c r="W78" s="77">
        <v>6.9</v>
      </c>
      <c r="X78" s="77">
        <v>6.9</v>
      </c>
      <c r="Y78" s="77">
        <v>6.9</v>
      </c>
      <c r="Z78" s="77">
        <v>6.9</v>
      </c>
      <c r="AA78" s="77">
        <v>6.9</v>
      </c>
      <c r="AB78" s="77">
        <v>6.9</v>
      </c>
      <c r="AC78" s="77">
        <v>6.9</v>
      </c>
      <c r="AD78" s="77">
        <v>6.5</v>
      </c>
      <c r="AE78" s="77">
        <v>6.5</v>
      </c>
      <c r="AF78" s="77">
        <v>6.5</v>
      </c>
      <c r="AG78" s="75"/>
      <c r="AH78" s="47">
        <f t="shared" si="8"/>
        <v>8</v>
      </c>
      <c r="AI78" s="48">
        <f t="shared" si="9"/>
        <v>6.5</v>
      </c>
      <c r="AK78" s="49"/>
    </row>
    <row r="79" spans="1:40" ht="15.75" thickBot="1" x14ac:dyDescent="0.3">
      <c r="A79" s="53" t="s">
        <v>85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0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 t="shared" ref="B84:AF84" si="10">SUMIF(B73:B83,"&gt;0")</f>
        <v>128</v>
      </c>
      <c r="C84" s="60">
        <f t="shared" si="10"/>
        <v>129.9</v>
      </c>
      <c r="D84" s="60">
        <f t="shared" si="10"/>
        <v>173</v>
      </c>
      <c r="E84" s="60">
        <f t="shared" si="10"/>
        <v>254.2</v>
      </c>
      <c r="F84" s="60">
        <f t="shared" si="10"/>
        <v>315.89999999999998</v>
      </c>
      <c r="G84" s="60">
        <f t="shared" si="10"/>
        <v>359.9</v>
      </c>
      <c r="H84" s="60">
        <f t="shared" si="10"/>
        <v>355.4</v>
      </c>
      <c r="I84" s="60">
        <f t="shared" si="10"/>
        <v>382.4</v>
      </c>
      <c r="J84" s="60">
        <f t="shared" si="10"/>
        <v>390.3</v>
      </c>
      <c r="K84" s="60">
        <f t="shared" si="10"/>
        <v>466.5</v>
      </c>
      <c r="L84" s="60">
        <f t="shared" si="10"/>
        <v>456.5</v>
      </c>
      <c r="M84" s="60">
        <f t="shared" si="10"/>
        <v>552.29999999999995</v>
      </c>
      <c r="N84" s="60">
        <f t="shared" si="10"/>
        <v>553.9</v>
      </c>
      <c r="O84" s="60">
        <f t="shared" si="10"/>
        <v>564.20000000000005</v>
      </c>
      <c r="P84" s="60">
        <f t="shared" si="10"/>
        <v>533.6</v>
      </c>
      <c r="Q84" s="60">
        <f t="shared" si="10"/>
        <v>537.79999999999995</v>
      </c>
      <c r="R84" s="60">
        <f t="shared" si="10"/>
        <v>527.80000000000007</v>
      </c>
      <c r="S84" s="60">
        <f t="shared" si="10"/>
        <v>518.59999999999991</v>
      </c>
      <c r="T84" s="60">
        <f t="shared" si="10"/>
        <v>514.1</v>
      </c>
      <c r="U84" s="60">
        <f t="shared" si="10"/>
        <v>452</v>
      </c>
      <c r="V84" s="60">
        <f t="shared" si="10"/>
        <v>485.79999999999995</v>
      </c>
      <c r="W84" s="60">
        <f t="shared" si="10"/>
        <v>470.09999999999997</v>
      </c>
      <c r="X84" s="60">
        <f t="shared" si="10"/>
        <v>383.59999999999997</v>
      </c>
      <c r="Y84" s="60">
        <f t="shared" si="10"/>
        <v>411.2</v>
      </c>
      <c r="Z84" s="60">
        <f t="shared" si="10"/>
        <v>219.8</v>
      </c>
      <c r="AA84" s="60">
        <f t="shared" si="10"/>
        <v>101.9</v>
      </c>
      <c r="AB84" s="60">
        <f t="shared" si="10"/>
        <v>114.10000000000001</v>
      </c>
      <c r="AC84" s="60">
        <f t="shared" si="10"/>
        <v>115.4</v>
      </c>
      <c r="AD84" s="60">
        <f t="shared" si="10"/>
        <v>118.2</v>
      </c>
      <c r="AE84" s="60">
        <f t="shared" si="10"/>
        <v>124</v>
      </c>
      <c r="AF84" s="60">
        <f t="shared" si="10"/>
        <v>104</v>
      </c>
      <c r="AG84" s="88">
        <f>SUM(AG73:AG83)</f>
        <v>0</v>
      </c>
      <c r="AH84" s="47">
        <f t="shared" si="8"/>
        <v>564.20000000000005</v>
      </c>
      <c r="AI84" s="48">
        <f t="shared" si="9"/>
        <v>101.9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 t="shared" ref="B89:AG89" si="11">B50+B54+B72+B68+B84+B88</f>
        <v>1581.3400000000001</v>
      </c>
      <c r="C89" s="95">
        <f t="shared" si="11"/>
        <v>1550.9400000000003</v>
      </c>
      <c r="D89" s="95">
        <f t="shared" si="11"/>
        <v>1555.0400000000002</v>
      </c>
      <c r="E89" s="95">
        <f t="shared" si="11"/>
        <v>1529.0400000000002</v>
      </c>
      <c r="F89" s="95">
        <f t="shared" si="11"/>
        <v>1538.94</v>
      </c>
      <c r="G89" s="95">
        <f t="shared" si="11"/>
        <v>1513.44</v>
      </c>
      <c r="H89" s="95">
        <f t="shared" si="11"/>
        <v>1488.2400000000002</v>
      </c>
      <c r="I89" s="95">
        <f t="shared" si="11"/>
        <v>1543.2400000000002</v>
      </c>
      <c r="J89" s="95">
        <f t="shared" si="11"/>
        <v>1540.54</v>
      </c>
      <c r="K89" s="95">
        <f t="shared" si="11"/>
        <v>1637.74</v>
      </c>
      <c r="L89" s="95">
        <f t="shared" si="11"/>
        <v>1688.6400000000003</v>
      </c>
      <c r="M89" s="95">
        <f t="shared" si="11"/>
        <v>1719.14</v>
      </c>
      <c r="N89" s="95">
        <f t="shared" si="11"/>
        <v>1801.1399999999999</v>
      </c>
      <c r="O89" s="95">
        <f t="shared" si="11"/>
        <v>1809.74</v>
      </c>
      <c r="P89" s="95">
        <f t="shared" si="11"/>
        <v>1823.92</v>
      </c>
      <c r="Q89" s="95">
        <f t="shared" si="11"/>
        <v>1871.24</v>
      </c>
      <c r="R89" s="95">
        <f t="shared" si="11"/>
        <v>1887.04</v>
      </c>
      <c r="S89" s="95">
        <f t="shared" si="11"/>
        <v>1879.44</v>
      </c>
      <c r="T89" s="95">
        <f t="shared" si="11"/>
        <v>1910.1399999999999</v>
      </c>
      <c r="U89" s="95">
        <f t="shared" si="11"/>
        <v>1801.34</v>
      </c>
      <c r="V89" s="95">
        <f t="shared" si="11"/>
        <v>1783.04</v>
      </c>
      <c r="W89" s="95">
        <f t="shared" si="11"/>
        <v>1750.44</v>
      </c>
      <c r="X89" s="95">
        <f t="shared" si="11"/>
        <v>1597.6399999999999</v>
      </c>
      <c r="Y89" s="95">
        <f t="shared" si="11"/>
        <v>1552.84</v>
      </c>
      <c r="Z89" s="95">
        <f t="shared" si="11"/>
        <v>1589.04</v>
      </c>
      <c r="AA89" s="95">
        <f t="shared" si="11"/>
        <v>1757.44</v>
      </c>
      <c r="AB89" s="95">
        <f t="shared" si="11"/>
        <v>1692.6399999999999</v>
      </c>
      <c r="AC89" s="95">
        <f t="shared" si="11"/>
        <v>1695.14</v>
      </c>
      <c r="AD89" s="95">
        <f t="shared" si="11"/>
        <v>1649.84</v>
      </c>
      <c r="AE89" s="95">
        <f t="shared" si="11"/>
        <v>1619.44</v>
      </c>
      <c r="AF89" s="95">
        <f t="shared" si="11"/>
        <v>1584.8400000000001</v>
      </c>
      <c r="AG89" s="61">
        <f t="shared" si="11"/>
        <v>2111.5500000000002</v>
      </c>
      <c r="AH89" s="47">
        <f t="shared" si="8"/>
        <v>1910.1399999999999</v>
      </c>
      <c r="AI89" s="48">
        <f t="shared" si="9"/>
        <v>1488.2400000000002</v>
      </c>
    </row>
    <row r="90" spans="1:40" ht="15.75" thickBot="1" x14ac:dyDescent="0.3">
      <c r="A90" s="96" t="s">
        <v>99</v>
      </c>
      <c r="B90" s="97">
        <v>100</v>
      </c>
      <c r="C90" s="97">
        <v>100</v>
      </c>
      <c r="D90" s="97">
        <v>100</v>
      </c>
      <c r="E90" s="97">
        <v>100</v>
      </c>
      <c r="F90" s="97">
        <v>100</v>
      </c>
      <c r="G90" s="97">
        <v>100</v>
      </c>
      <c r="H90" s="97">
        <v>100</v>
      </c>
      <c r="I90" s="97">
        <v>90</v>
      </c>
      <c r="J90" s="97">
        <v>130</v>
      </c>
      <c r="K90" s="97">
        <v>130</v>
      </c>
      <c r="L90" s="97">
        <v>140</v>
      </c>
      <c r="M90" s="97">
        <v>140</v>
      </c>
      <c r="N90" s="97">
        <v>120</v>
      </c>
      <c r="O90" s="97">
        <v>120</v>
      </c>
      <c r="P90" s="97">
        <v>80</v>
      </c>
      <c r="Q90" s="97"/>
      <c r="R90" s="97"/>
      <c r="S90" s="97">
        <v>80</v>
      </c>
      <c r="T90" s="97">
        <v>80</v>
      </c>
      <c r="U90" s="97">
        <v>80</v>
      </c>
      <c r="V90" s="97">
        <v>80</v>
      </c>
      <c r="W90" s="97">
        <v>80</v>
      </c>
      <c r="X90" s="97">
        <v>180</v>
      </c>
      <c r="Y90" s="97">
        <v>180</v>
      </c>
      <c r="Z90" s="97">
        <v>180</v>
      </c>
      <c r="AA90" s="97">
        <v>180</v>
      </c>
      <c r="AB90" s="97">
        <v>150</v>
      </c>
      <c r="AC90" s="97">
        <v>150</v>
      </c>
      <c r="AD90" s="97">
        <v>150</v>
      </c>
      <c r="AE90" s="97">
        <v>160</v>
      </c>
      <c r="AF90" s="97">
        <v>100</v>
      </c>
      <c r="AG90" s="88"/>
      <c r="AH90" s="47">
        <f t="shared" si="8"/>
        <v>180</v>
      </c>
      <c r="AI90" s="48">
        <f t="shared" si="9"/>
        <v>80</v>
      </c>
    </row>
    <row r="91" spans="1:40" ht="15.75" thickBot="1" x14ac:dyDescent="0.3">
      <c r="A91" s="74" t="s">
        <v>100</v>
      </c>
      <c r="B91" s="95">
        <f t="shared" ref="B91:AF91" si="12">B89+B90</f>
        <v>1681.3400000000001</v>
      </c>
      <c r="C91" s="95">
        <f t="shared" si="12"/>
        <v>1650.9400000000003</v>
      </c>
      <c r="D91" s="95">
        <f t="shared" si="12"/>
        <v>1655.0400000000002</v>
      </c>
      <c r="E91" s="95">
        <f t="shared" si="12"/>
        <v>1629.0400000000002</v>
      </c>
      <c r="F91" s="95">
        <f t="shared" si="12"/>
        <v>1638.94</v>
      </c>
      <c r="G91" s="95">
        <f t="shared" si="12"/>
        <v>1613.44</v>
      </c>
      <c r="H91" s="95">
        <f t="shared" si="12"/>
        <v>1588.2400000000002</v>
      </c>
      <c r="I91" s="95">
        <f t="shared" si="12"/>
        <v>1633.2400000000002</v>
      </c>
      <c r="J91" s="95">
        <f t="shared" si="12"/>
        <v>1670.54</v>
      </c>
      <c r="K91" s="95">
        <f t="shared" si="12"/>
        <v>1767.74</v>
      </c>
      <c r="L91" s="95">
        <f t="shared" si="12"/>
        <v>1828.6400000000003</v>
      </c>
      <c r="M91" s="95">
        <f t="shared" si="12"/>
        <v>1859.14</v>
      </c>
      <c r="N91" s="95">
        <f t="shared" si="12"/>
        <v>1921.1399999999999</v>
      </c>
      <c r="O91" s="95">
        <f t="shared" si="12"/>
        <v>1929.74</v>
      </c>
      <c r="P91" s="95">
        <f t="shared" si="12"/>
        <v>1903.92</v>
      </c>
      <c r="Q91" s="95">
        <f t="shared" si="12"/>
        <v>1871.24</v>
      </c>
      <c r="R91" s="95">
        <f t="shared" si="12"/>
        <v>1887.04</v>
      </c>
      <c r="S91" s="95">
        <f t="shared" si="12"/>
        <v>1959.44</v>
      </c>
      <c r="T91" s="95">
        <f t="shared" si="12"/>
        <v>1990.1399999999999</v>
      </c>
      <c r="U91" s="95">
        <f t="shared" si="12"/>
        <v>1881.34</v>
      </c>
      <c r="V91" s="95">
        <f t="shared" si="12"/>
        <v>1863.04</v>
      </c>
      <c r="W91" s="95">
        <f t="shared" si="12"/>
        <v>1830.44</v>
      </c>
      <c r="X91" s="95">
        <f t="shared" si="12"/>
        <v>1777.6399999999999</v>
      </c>
      <c r="Y91" s="95">
        <f t="shared" si="12"/>
        <v>1732.84</v>
      </c>
      <c r="Z91" s="95">
        <f t="shared" si="12"/>
        <v>1769.04</v>
      </c>
      <c r="AA91" s="95">
        <f t="shared" si="12"/>
        <v>1937.44</v>
      </c>
      <c r="AB91" s="95">
        <f t="shared" si="12"/>
        <v>1842.6399999999999</v>
      </c>
      <c r="AC91" s="95">
        <f t="shared" si="12"/>
        <v>1845.14</v>
      </c>
      <c r="AD91" s="95">
        <f t="shared" si="12"/>
        <v>1799.84</v>
      </c>
      <c r="AE91" s="95">
        <f t="shared" si="12"/>
        <v>1779.44</v>
      </c>
      <c r="AF91" s="95">
        <f t="shared" si="12"/>
        <v>1684.8400000000001</v>
      </c>
      <c r="AG91" s="88">
        <f>AG88+AG84+AG72+AG68+AG50+AG90</f>
        <v>1573.45</v>
      </c>
      <c r="AH91" s="47">
        <f t="shared" si="8"/>
        <v>1990.1399999999999</v>
      </c>
      <c r="AI91" s="48">
        <f t="shared" si="9"/>
        <v>1588.2400000000002</v>
      </c>
    </row>
    <row r="92" spans="1:40" ht="15.75" thickBot="1" x14ac:dyDescent="0.3">
      <c r="A92" s="74" t="s">
        <v>101</v>
      </c>
      <c r="B92" s="95">
        <f t="shared" ref="B92:AF92" si="13">B91-B99</f>
        <v>1681.3400000000001</v>
      </c>
      <c r="C92" s="95">
        <f t="shared" si="13"/>
        <v>1650.9400000000003</v>
      </c>
      <c r="D92" s="95">
        <f t="shared" si="13"/>
        <v>1655.0400000000002</v>
      </c>
      <c r="E92" s="95">
        <f t="shared" si="13"/>
        <v>1629.0400000000002</v>
      </c>
      <c r="F92" s="95">
        <f t="shared" si="13"/>
        <v>1638.94</v>
      </c>
      <c r="G92" s="95">
        <f t="shared" si="13"/>
        <v>1613.44</v>
      </c>
      <c r="H92" s="95">
        <f t="shared" si="13"/>
        <v>1588.2400000000002</v>
      </c>
      <c r="I92" s="95">
        <f t="shared" si="13"/>
        <v>1633.2400000000002</v>
      </c>
      <c r="J92" s="95">
        <f t="shared" si="13"/>
        <v>1670.54</v>
      </c>
      <c r="K92" s="95">
        <f t="shared" si="13"/>
        <v>1767.74</v>
      </c>
      <c r="L92" s="95">
        <f t="shared" si="13"/>
        <v>1828.6400000000003</v>
      </c>
      <c r="M92" s="95">
        <f t="shared" si="13"/>
        <v>1859.14</v>
      </c>
      <c r="N92" s="95">
        <f t="shared" si="13"/>
        <v>1921.1399999999999</v>
      </c>
      <c r="O92" s="95">
        <f t="shared" si="13"/>
        <v>1929.74</v>
      </c>
      <c r="P92" s="95">
        <f t="shared" si="13"/>
        <v>1903.92</v>
      </c>
      <c r="Q92" s="95">
        <f t="shared" si="13"/>
        <v>1871.24</v>
      </c>
      <c r="R92" s="95">
        <f t="shared" si="13"/>
        <v>1887.04</v>
      </c>
      <c r="S92" s="95">
        <f t="shared" si="13"/>
        <v>1959.44</v>
      </c>
      <c r="T92" s="95">
        <f t="shared" si="13"/>
        <v>1990.1399999999999</v>
      </c>
      <c r="U92" s="95">
        <f t="shared" si="13"/>
        <v>1881.34</v>
      </c>
      <c r="V92" s="95">
        <f t="shared" si="13"/>
        <v>1863.04</v>
      </c>
      <c r="W92" s="95">
        <f t="shared" si="13"/>
        <v>1830.44</v>
      </c>
      <c r="X92" s="95">
        <f t="shared" si="13"/>
        <v>1777.6399999999999</v>
      </c>
      <c r="Y92" s="95">
        <f t="shared" si="13"/>
        <v>1732.84</v>
      </c>
      <c r="Z92" s="95">
        <f t="shared" si="13"/>
        <v>1769.04</v>
      </c>
      <c r="AA92" s="95">
        <f t="shared" si="13"/>
        <v>1937.44</v>
      </c>
      <c r="AB92" s="95">
        <f t="shared" si="13"/>
        <v>1842.6399999999999</v>
      </c>
      <c r="AC92" s="95">
        <f t="shared" si="13"/>
        <v>1845.14</v>
      </c>
      <c r="AD92" s="95">
        <f t="shared" si="13"/>
        <v>1799.84</v>
      </c>
      <c r="AE92" s="95">
        <f t="shared" si="13"/>
        <v>1779.44</v>
      </c>
      <c r="AF92" s="95">
        <f t="shared" si="13"/>
        <v>1684.8400000000001</v>
      </c>
      <c r="AG92" s="88"/>
      <c r="AH92" s="47">
        <f t="shared" si="8"/>
        <v>1990.1399999999999</v>
      </c>
      <c r="AI92" s="48">
        <f t="shared" si="9"/>
        <v>1588.2400000000002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 t="shared" ref="B100:AF100" si="14">B84-B99</f>
        <v>128</v>
      </c>
      <c r="C100" s="60">
        <f t="shared" si="14"/>
        <v>129.9</v>
      </c>
      <c r="D100" s="60">
        <f t="shared" si="14"/>
        <v>173</v>
      </c>
      <c r="E100" s="60">
        <f t="shared" si="14"/>
        <v>254.2</v>
      </c>
      <c r="F100" s="60">
        <f t="shared" si="14"/>
        <v>315.89999999999998</v>
      </c>
      <c r="G100" s="60">
        <f t="shared" si="14"/>
        <v>359.9</v>
      </c>
      <c r="H100" s="60">
        <f t="shared" si="14"/>
        <v>355.4</v>
      </c>
      <c r="I100" s="60">
        <f t="shared" si="14"/>
        <v>382.4</v>
      </c>
      <c r="J100" s="60">
        <f t="shared" si="14"/>
        <v>390.3</v>
      </c>
      <c r="K100" s="60">
        <f t="shared" si="14"/>
        <v>466.5</v>
      </c>
      <c r="L100" s="60">
        <f t="shared" si="14"/>
        <v>456.5</v>
      </c>
      <c r="M100" s="60">
        <f t="shared" si="14"/>
        <v>552.29999999999995</v>
      </c>
      <c r="N100" s="60">
        <f t="shared" si="14"/>
        <v>553.9</v>
      </c>
      <c r="O100" s="60">
        <f t="shared" si="14"/>
        <v>564.20000000000005</v>
      </c>
      <c r="P100" s="60">
        <f t="shared" si="14"/>
        <v>533.6</v>
      </c>
      <c r="Q100" s="60">
        <f t="shared" si="14"/>
        <v>537.79999999999995</v>
      </c>
      <c r="R100" s="60">
        <f t="shared" si="14"/>
        <v>527.80000000000007</v>
      </c>
      <c r="S100" s="60">
        <f t="shared" si="14"/>
        <v>518.59999999999991</v>
      </c>
      <c r="T100" s="60">
        <f t="shared" si="14"/>
        <v>514.1</v>
      </c>
      <c r="U100" s="60">
        <f t="shared" si="14"/>
        <v>452</v>
      </c>
      <c r="V100" s="60">
        <f t="shared" si="14"/>
        <v>485.79999999999995</v>
      </c>
      <c r="W100" s="60">
        <f t="shared" si="14"/>
        <v>470.09999999999997</v>
      </c>
      <c r="X100" s="60">
        <f t="shared" si="14"/>
        <v>383.59999999999997</v>
      </c>
      <c r="Y100" s="60">
        <f t="shared" si="14"/>
        <v>411.2</v>
      </c>
      <c r="Z100" s="60">
        <f t="shared" si="14"/>
        <v>219.8</v>
      </c>
      <c r="AA100" s="60">
        <f t="shared" si="14"/>
        <v>101.9</v>
      </c>
      <c r="AB100" s="60">
        <f t="shared" si="14"/>
        <v>114.10000000000001</v>
      </c>
      <c r="AC100" s="60">
        <f t="shared" si="14"/>
        <v>115.4</v>
      </c>
      <c r="AD100" s="60">
        <f t="shared" si="14"/>
        <v>118.2</v>
      </c>
      <c r="AE100" s="60">
        <f t="shared" si="14"/>
        <v>124</v>
      </c>
      <c r="AF100" s="60">
        <f t="shared" si="14"/>
        <v>104</v>
      </c>
      <c r="AG100" s="88"/>
      <c r="AH100" s="47">
        <f t="shared" si="8"/>
        <v>564.20000000000005</v>
      </c>
      <c r="AI100" s="48">
        <f t="shared" si="9"/>
        <v>101.9</v>
      </c>
    </row>
    <row r="101" spans="1:37" x14ac:dyDescent="0.25">
      <c r="A101" s="100" t="s">
        <v>107</v>
      </c>
      <c r="B101" s="101">
        <v>49.923999999999999</v>
      </c>
      <c r="C101" s="101">
        <v>49.933</v>
      </c>
      <c r="D101" s="101">
        <v>50.051000000000002</v>
      </c>
      <c r="E101" s="101">
        <v>50.063000000000002</v>
      </c>
      <c r="F101" s="101">
        <v>49.9</v>
      </c>
      <c r="G101" s="101">
        <v>50</v>
      </c>
      <c r="H101" s="101">
        <v>49.893000000000001</v>
      </c>
      <c r="I101" s="101">
        <v>50.04</v>
      </c>
      <c r="J101" s="101">
        <v>49.89</v>
      </c>
      <c r="K101" s="101">
        <v>50</v>
      </c>
      <c r="L101" s="101">
        <v>49.99</v>
      </c>
      <c r="M101" s="101">
        <v>50.116999999999997</v>
      </c>
      <c r="N101" s="101">
        <v>50.091999999999999</v>
      </c>
      <c r="O101" s="101">
        <v>50.034999999999997</v>
      </c>
      <c r="P101" s="101">
        <v>49.938000000000002</v>
      </c>
      <c r="Q101" s="101">
        <v>50.02</v>
      </c>
      <c r="R101" s="101">
        <v>49.987000000000002</v>
      </c>
      <c r="S101" s="101">
        <v>50.043999999999997</v>
      </c>
      <c r="T101" s="101">
        <v>50.101999999999997</v>
      </c>
      <c r="U101" s="101">
        <v>50.05</v>
      </c>
      <c r="V101" s="101">
        <v>49.920999999999999</v>
      </c>
      <c r="W101" s="101">
        <v>50.026000000000003</v>
      </c>
      <c r="X101" s="101">
        <v>50.042000000000002</v>
      </c>
      <c r="Y101" s="101">
        <v>50.106999999999999</v>
      </c>
      <c r="Z101" s="101">
        <v>50.026000000000003</v>
      </c>
      <c r="AA101" s="101">
        <v>50.012</v>
      </c>
      <c r="AB101" s="101">
        <v>50.01</v>
      </c>
      <c r="AC101" s="101">
        <v>50.026000000000003</v>
      </c>
      <c r="AD101" s="101">
        <v>49.874699999999997</v>
      </c>
      <c r="AE101" s="101">
        <v>50.1</v>
      </c>
      <c r="AF101" s="101">
        <v>49.97</v>
      </c>
      <c r="AG101" s="102"/>
      <c r="AH101" s="47">
        <f t="shared" si="8"/>
        <v>50.116999999999997</v>
      </c>
      <c r="AI101" s="48">
        <f t="shared" si="9"/>
        <v>49.874699999999997</v>
      </c>
    </row>
    <row r="102" spans="1:37" x14ac:dyDescent="0.25">
      <c r="A102" s="103" t="s">
        <v>108</v>
      </c>
      <c r="B102" s="65">
        <v>123.6</v>
      </c>
      <c r="C102" s="65">
        <v>123.3</v>
      </c>
      <c r="D102" s="65">
        <v>123</v>
      </c>
      <c r="E102" s="65">
        <v>126</v>
      </c>
      <c r="F102" s="65">
        <v>126</v>
      </c>
      <c r="G102" s="65">
        <v>126</v>
      </c>
      <c r="H102" s="65">
        <v>126</v>
      </c>
      <c r="I102" s="65">
        <v>123</v>
      </c>
      <c r="J102" s="65">
        <v>125</v>
      </c>
      <c r="K102" s="65">
        <v>122.5</v>
      </c>
      <c r="L102" s="65">
        <v>123.6</v>
      </c>
      <c r="M102" s="65">
        <v>121.7</v>
      </c>
      <c r="N102" s="65">
        <v>121.9</v>
      </c>
      <c r="O102" s="65">
        <v>120</v>
      </c>
      <c r="P102" s="65">
        <v>119.1</v>
      </c>
      <c r="Q102" s="65">
        <v>119</v>
      </c>
      <c r="R102" s="65">
        <v>120</v>
      </c>
      <c r="S102" s="65">
        <v>120.5</v>
      </c>
      <c r="T102" s="65">
        <v>121.2</v>
      </c>
      <c r="U102" s="65">
        <v>123.6</v>
      </c>
      <c r="V102" s="65">
        <v>123.3</v>
      </c>
      <c r="W102" s="65">
        <v>124.7</v>
      </c>
      <c r="X102" s="65">
        <v>126.1</v>
      </c>
      <c r="Y102" s="65">
        <v>124.1</v>
      </c>
      <c r="Z102" s="65">
        <v>124.5</v>
      </c>
      <c r="AA102" s="65">
        <v>125</v>
      </c>
      <c r="AB102" s="65">
        <v>125.1</v>
      </c>
      <c r="AC102" s="65">
        <v>125.7</v>
      </c>
      <c r="AD102" s="65">
        <v>125.7</v>
      </c>
      <c r="AE102" s="65">
        <v>124.8</v>
      </c>
      <c r="AF102" s="65">
        <v>123</v>
      </c>
      <c r="AG102" s="104"/>
      <c r="AH102" s="47">
        <f t="shared" si="8"/>
        <v>126.1</v>
      </c>
      <c r="AI102" s="48">
        <f t="shared" si="9"/>
        <v>119</v>
      </c>
    </row>
    <row r="103" spans="1:37" x14ac:dyDescent="0.25">
      <c r="A103" s="103" t="s">
        <v>109</v>
      </c>
      <c r="B103" s="65">
        <v>128.6</v>
      </c>
      <c r="C103" s="65">
        <v>129.19999999999999</v>
      </c>
      <c r="D103" s="65">
        <v>128.9</v>
      </c>
      <c r="E103" s="65">
        <v>130.9</v>
      </c>
      <c r="F103" s="65">
        <v>130.9</v>
      </c>
      <c r="G103" s="65">
        <v>130.9</v>
      </c>
      <c r="H103" s="65">
        <v>130.9</v>
      </c>
      <c r="I103" s="65">
        <v>128</v>
      </c>
      <c r="J103" s="65">
        <v>129</v>
      </c>
      <c r="K103" s="65">
        <v>126.5</v>
      </c>
      <c r="L103" s="65">
        <v>127</v>
      </c>
      <c r="M103" s="65">
        <v>125.3</v>
      </c>
      <c r="N103" s="65">
        <v>125.8</v>
      </c>
      <c r="O103" s="65">
        <v>124</v>
      </c>
      <c r="P103" s="65">
        <v>124</v>
      </c>
      <c r="Q103" s="65">
        <v>123</v>
      </c>
      <c r="R103" s="65">
        <v>125.1</v>
      </c>
      <c r="S103" s="65">
        <v>125.3</v>
      </c>
      <c r="T103" s="65">
        <v>125.6</v>
      </c>
      <c r="U103" s="65">
        <v>127.7</v>
      </c>
      <c r="V103" s="65">
        <v>127.2</v>
      </c>
      <c r="W103" s="65">
        <v>128.19999999999999</v>
      </c>
      <c r="X103" s="65">
        <v>129.19999999999999</v>
      </c>
      <c r="Y103" s="65">
        <v>127.7</v>
      </c>
      <c r="Z103" s="65">
        <v>127.7</v>
      </c>
      <c r="AA103" s="65">
        <v>128</v>
      </c>
      <c r="AB103" s="65">
        <v>128.69999999999999</v>
      </c>
      <c r="AC103" s="65">
        <v>129</v>
      </c>
      <c r="AD103" s="65">
        <v>129</v>
      </c>
      <c r="AE103" s="65">
        <v>129</v>
      </c>
      <c r="AF103" s="65">
        <v>128</v>
      </c>
      <c r="AG103" s="104"/>
      <c r="AH103" s="47">
        <f t="shared" si="8"/>
        <v>130.9</v>
      </c>
      <c r="AI103" s="48">
        <f t="shared" si="9"/>
        <v>123</v>
      </c>
    </row>
    <row r="104" spans="1:37" x14ac:dyDescent="0.25">
      <c r="A104" s="103" t="s">
        <v>110</v>
      </c>
      <c r="B104" s="65">
        <v>125.3</v>
      </c>
      <c r="C104" s="65">
        <v>125.9</v>
      </c>
      <c r="D104" s="65">
        <v>125.9</v>
      </c>
      <c r="E104" s="65">
        <v>127.9</v>
      </c>
      <c r="F104" s="65">
        <v>127.9</v>
      </c>
      <c r="G104" s="65">
        <v>127.9</v>
      </c>
      <c r="H104" s="65">
        <v>127.9</v>
      </c>
      <c r="I104" s="65">
        <v>131.80000000000001</v>
      </c>
      <c r="J104" s="65">
        <v>129.5</v>
      </c>
      <c r="K104" s="65">
        <v>122.4</v>
      </c>
      <c r="L104" s="65">
        <v>122.5</v>
      </c>
      <c r="M104" s="65">
        <v>126.8</v>
      </c>
      <c r="N104" s="65">
        <v>125.6</v>
      </c>
      <c r="O104" s="65">
        <v>123.2</v>
      </c>
      <c r="P104" s="65">
        <v>125.3</v>
      </c>
      <c r="Q104" s="65">
        <v>124.5</v>
      </c>
      <c r="R104" s="65">
        <v>125.3</v>
      </c>
      <c r="S104" s="65">
        <v>131.6</v>
      </c>
      <c r="T104" s="65">
        <v>133.1</v>
      </c>
      <c r="U104" s="65">
        <v>130</v>
      </c>
      <c r="V104" s="65">
        <v>132.69999999999999</v>
      </c>
      <c r="W104" s="65">
        <v>130.30000000000001</v>
      </c>
      <c r="X104" s="65">
        <v>133.1</v>
      </c>
      <c r="Y104" s="65">
        <v>127.2</v>
      </c>
      <c r="Z104" s="65">
        <v>128.9</v>
      </c>
      <c r="AA104" s="65">
        <v>129.19999999999999</v>
      </c>
      <c r="AB104" s="65">
        <v>128.4</v>
      </c>
      <c r="AC104" s="65">
        <v>125</v>
      </c>
      <c r="AD104" s="65">
        <v>125</v>
      </c>
      <c r="AE104" s="65">
        <v>125.8</v>
      </c>
      <c r="AF104" s="65">
        <v>123.6</v>
      </c>
      <c r="AG104" s="104"/>
      <c r="AH104" s="47">
        <f t="shared" si="8"/>
        <v>133.1</v>
      </c>
      <c r="AI104" s="48">
        <f t="shared" si="9"/>
        <v>122.4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130.69999999999999</v>
      </c>
      <c r="C106" s="106">
        <v>131.69999999999999</v>
      </c>
      <c r="D106" s="106">
        <v>133.30000000000001</v>
      </c>
      <c r="E106" s="106">
        <v>134</v>
      </c>
      <c r="F106" s="106">
        <v>134</v>
      </c>
      <c r="G106" s="106">
        <v>134</v>
      </c>
      <c r="H106" s="106">
        <v>134</v>
      </c>
      <c r="I106" s="106">
        <v>131</v>
      </c>
      <c r="J106" s="106">
        <v>133.9</v>
      </c>
      <c r="K106" s="106">
        <v>131.19999999999999</v>
      </c>
      <c r="L106" s="106">
        <v>130.9</v>
      </c>
      <c r="M106" s="106">
        <v>128.5</v>
      </c>
      <c r="N106" s="106">
        <v>129.4</v>
      </c>
      <c r="O106" s="106">
        <v>130.5</v>
      </c>
      <c r="P106" s="106">
        <v>127.4</v>
      </c>
      <c r="Q106" s="106">
        <v>131</v>
      </c>
      <c r="R106" s="106">
        <v>134.4</v>
      </c>
      <c r="S106" s="106">
        <v>132.5</v>
      </c>
      <c r="T106" s="106">
        <v>132.5</v>
      </c>
      <c r="U106" s="106">
        <v>134.80000000000001</v>
      </c>
      <c r="V106" s="106">
        <v>134.69999999999999</v>
      </c>
      <c r="W106" s="106">
        <v>131.69999999999999</v>
      </c>
      <c r="X106" s="106">
        <v>136</v>
      </c>
      <c r="Y106" s="106">
        <v>134</v>
      </c>
      <c r="Z106" s="106">
        <v>134.9</v>
      </c>
      <c r="AA106" s="106">
        <v>133.1</v>
      </c>
      <c r="AB106" s="106">
        <v>132.80000000000001</v>
      </c>
      <c r="AC106" s="106">
        <v>130.6</v>
      </c>
      <c r="AD106" s="106">
        <v>130.6</v>
      </c>
      <c r="AE106" s="106">
        <v>135</v>
      </c>
      <c r="AF106" s="106">
        <v>134</v>
      </c>
      <c r="AG106" s="107"/>
      <c r="AH106" s="47">
        <f t="shared" si="8"/>
        <v>136</v>
      </c>
      <c r="AI106" s="48">
        <f t="shared" si="9"/>
        <v>127.4</v>
      </c>
    </row>
    <row r="107" spans="1:37" x14ac:dyDescent="0.25">
      <c r="A107" s="103" t="s">
        <v>113</v>
      </c>
      <c r="B107" s="65">
        <v>136</v>
      </c>
      <c r="C107" s="65">
        <v>130.6</v>
      </c>
      <c r="D107" s="65">
        <v>132.5</v>
      </c>
      <c r="E107" s="65">
        <v>130.69999999999999</v>
      </c>
      <c r="F107" s="65">
        <v>130.69999999999999</v>
      </c>
      <c r="G107" s="65">
        <v>130.69999999999999</v>
      </c>
      <c r="H107" s="65">
        <v>130.69999999999999</v>
      </c>
      <c r="I107" s="65">
        <v>134</v>
      </c>
      <c r="J107" s="65">
        <v>128.69999999999999</v>
      </c>
      <c r="K107" s="65">
        <v>129.4</v>
      </c>
      <c r="L107" s="65">
        <v>126.4</v>
      </c>
      <c r="M107" s="65">
        <v>128.80000000000001</v>
      </c>
      <c r="N107" s="65">
        <v>127.1</v>
      </c>
      <c r="O107" s="65">
        <v>135.4</v>
      </c>
      <c r="P107" s="65">
        <v>122.8</v>
      </c>
      <c r="Q107" s="65">
        <v>128.30000000000001</v>
      </c>
      <c r="R107" s="65">
        <v>128.30000000000001</v>
      </c>
      <c r="S107" s="65">
        <v>130.4</v>
      </c>
      <c r="T107" s="65">
        <v>130.19999999999999</v>
      </c>
      <c r="U107" s="65">
        <v>128.5</v>
      </c>
      <c r="V107" s="65">
        <v>134</v>
      </c>
      <c r="W107" s="65">
        <v>131.6</v>
      </c>
      <c r="X107" s="65">
        <v>135.5</v>
      </c>
      <c r="Y107" s="65">
        <v>134</v>
      </c>
      <c r="Z107" s="65">
        <v>130.19999999999999</v>
      </c>
      <c r="AA107" s="65">
        <v>126.3</v>
      </c>
      <c r="AB107" s="65">
        <v>128</v>
      </c>
      <c r="AC107" s="65">
        <v>127.7</v>
      </c>
      <c r="AD107" s="65">
        <v>127.7</v>
      </c>
      <c r="AE107" s="65">
        <v>127</v>
      </c>
      <c r="AF107" s="65">
        <v>127</v>
      </c>
      <c r="AG107" s="104"/>
      <c r="AH107" s="47">
        <f t="shared" si="8"/>
        <v>136</v>
      </c>
      <c r="AI107" s="48">
        <f t="shared" si="9"/>
        <v>122.8</v>
      </c>
    </row>
    <row r="108" spans="1:37" ht="15.75" thickBot="1" x14ac:dyDescent="0.3">
      <c r="A108" s="103" t="s">
        <v>114</v>
      </c>
      <c r="B108" s="92">
        <v>64.8</v>
      </c>
      <c r="C108" s="92">
        <v>65.099999999999994</v>
      </c>
      <c r="D108" s="92">
        <v>65.2</v>
      </c>
      <c r="E108" s="92">
        <v>65.900000000000006</v>
      </c>
      <c r="F108" s="92">
        <v>65.900000000000006</v>
      </c>
      <c r="G108" s="92">
        <v>65.900000000000006</v>
      </c>
      <c r="H108" s="92">
        <v>65.900000000000006</v>
      </c>
      <c r="I108" s="92">
        <v>64</v>
      </c>
      <c r="J108" s="92">
        <v>64.900000000000006</v>
      </c>
      <c r="K108" s="92">
        <v>63.6</v>
      </c>
      <c r="L108" s="92">
        <v>63.7</v>
      </c>
      <c r="M108" s="92">
        <v>62.5</v>
      </c>
      <c r="N108" s="92">
        <v>63.1</v>
      </c>
      <c r="O108" s="92">
        <v>62</v>
      </c>
      <c r="P108" s="92">
        <v>61.8</v>
      </c>
      <c r="Q108" s="92">
        <v>61.1</v>
      </c>
      <c r="R108" s="92">
        <v>62.3</v>
      </c>
      <c r="S108" s="92">
        <v>62.5</v>
      </c>
      <c r="T108" s="92">
        <v>62.9</v>
      </c>
      <c r="U108" s="92">
        <v>63.8</v>
      </c>
      <c r="V108" s="92">
        <v>63.7</v>
      </c>
      <c r="W108" s="92">
        <v>64.2</v>
      </c>
      <c r="X108" s="92">
        <v>64.599999999999994</v>
      </c>
      <c r="Y108" s="92">
        <v>64</v>
      </c>
      <c r="Z108" s="92">
        <v>63.9</v>
      </c>
      <c r="AA108" s="92">
        <v>64</v>
      </c>
      <c r="AB108" s="92">
        <v>64.099999999999994</v>
      </c>
      <c r="AC108" s="92">
        <v>64.7</v>
      </c>
      <c r="AD108" s="92">
        <v>64.7</v>
      </c>
      <c r="AE108" s="92">
        <v>64.8</v>
      </c>
      <c r="AF108" s="92">
        <v>64.2</v>
      </c>
      <c r="AG108" s="108"/>
      <c r="AH108" s="47">
        <f t="shared" si="8"/>
        <v>65.900000000000006</v>
      </c>
      <c r="AI108" s="48">
        <f t="shared" si="9"/>
        <v>61.1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 t="shared" ref="B110:O110" si="15">SUM(B20,B26,B29:B30,B58,B60:B61,B63,B65,B111:B115,B138,B144,B150,B159,B161,B173,B180,B183:B184,B191,B193,B195,B199:B201,B203:B205,B210,B216:B217,B219:B221,B229,B234)</f>
        <v>114.9</v>
      </c>
      <c r="C110" s="111">
        <f t="shared" si="15"/>
        <v>106.84</v>
      </c>
      <c r="D110" s="111">
        <f t="shared" si="15"/>
        <v>99.039999999999978</v>
      </c>
      <c r="E110" s="111">
        <f t="shared" si="15"/>
        <v>96.14</v>
      </c>
      <c r="F110" s="111">
        <f t="shared" si="15"/>
        <v>97.139999999999986</v>
      </c>
      <c r="G110" s="111">
        <f t="shared" si="15"/>
        <v>121.63999999999999</v>
      </c>
      <c r="H110" s="111">
        <f t="shared" si="15"/>
        <v>444.53999999999996</v>
      </c>
      <c r="I110" s="111">
        <f t="shared" si="15"/>
        <v>176.93999999999997</v>
      </c>
      <c r="J110" s="111">
        <f t="shared" si="15"/>
        <v>210.73999999999998</v>
      </c>
      <c r="K110" s="111">
        <f t="shared" si="15"/>
        <v>235.33999999999997</v>
      </c>
      <c r="L110" s="111">
        <f t="shared" si="15"/>
        <v>255.24</v>
      </c>
      <c r="M110" s="111">
        <f t="shared" si="15"/>
        <v>246.14000000000004</v>
      </c>
      <c r="N110" s="111">
        <f t="shared" si="15"/>
        <v>241.34000000000003</v>
      </c>
      <c r="O110" s="111">
        <f t="shared" si="15"/>
        <v>257.64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282.3</v>
      </c>
      <c r="R110" s="111">
        <f t="shared" si="16"/>
        <v>262.39999999999998</v>
      </c>
      <c r="S110" s="111">
        <f t="shared" si="16"/>
        <v>281.60000000000002</v>
      </c>
      <c r="T110" s="111">
        <f t="shared" si="16"/>
        <v>288.90000000000003</v>
      </c>
      <c r="U110" s="111">
        <f t="shared" si="16"/>
        <v>284.20000000000005</v>
      </c>
      <c r="V110" s="111">
        <f t="shared" si="16"/>
        <v>265.39999999999998</v>
      </c>
      <c r="W110" s="111">
        <f t="shared" si="16"/>
        <v>254</v>
      </c>
      <c r="X110" s="111">
        <f t="shared" si="16"/>
        <v>246.1</v>
      </c>
      <c r="Y110" s="111">
        <f t="shared" si="16"/>
        <v>256.3</v>
      </c>
      <c r="Z110" s="111">
        <f t="shared" si="16"/>
        <v>290.29999999999995</v>
      </c>
      <c r="AA110" s="111">
        <f t="shared" si="16"/>
        <v>316.89999999999998</v>
      </c>
      <c r="AB110" s="111">
        <f t="shared" si="16"/>
        <v>150.19999999999996</v>
      </c>
      <c r="AC110" s="111">
        <f t="shared" si="16"/>
        <v>274.5</v>
      </c>
      <c r="AD110" s="111">
        <f t="shared" si="16"/>
        <v>236.59999999999997</v>
      </c>
      <c r="AE110" s="111">
        <f t="shared" si="16"/>
        <v>188.10000000000002</v>
      </c>
      <c r="AF110" s="111">
        <f t="shared" si="16"/>
        <v>139.19999999999999</v>
      </c>
      <c r="AG110" s="112"/>
      <c r="AH110" s="47">
        <f t="shared" si="8"/>
        <v>444.53999999999996</v>
      </c>
      <c r="AI110" s="48">
        <f t="shared" si="9"/>
        <v>42</v>
      </c>
    </row>
    <row r="111" spans="1:37" x14ac:dyDescent="0.25">
      <c r="A111" s="100" t="s">
        <v>117</v>
      </c>
      <c r="B111" s="113">
        <v>8.6</v>
      </c>
      <c r="C111" s="113">
        <v>4.4000000000000004</v>
      </c>
      <c r="D111" s="113">
        <v>2.6</v>
      </c>
      <c r="E111" s="113">
        <v>6.2</v>
      </c>
      <c r="F111" s="113">
        <v>8.5</v>
      </c>
      <c r="G111" s="113">
        <v>15.9</v>
      </c>
      <c r="H111" s="113">
        <v>20.5</v>
      </c>
      <c r="I111" s="113">
        <v>26.3</v>
      </c>
      <c r="J111" s="113">
        <v>33.700000000000003</v>
      </c>
      <c r="K111" s="113">
        <v>35.5</v>
      </c>
      <c r="L111" s="113">
        <v>29.8</v>
      </c>
      <c r="M111" s="113">
        <v>32.1</v>
      </c>
      <c r="N111" s="113">
        <v>20.6</v>
      </c>
      <c r="O111" s="113">
        <v>22.5</v>
      </c>
      <c r="P111" s="113">
        <v>24.5</v>
      </c>
      <c r="Q111" s="113">
        <v>26.3</v>
      </c>
      <c r="R111" s="113">
        <v>30.8</v>
      </c>
      <c r="S111" s="113">
        <v>30.6</v>
      </c>
      <c r="T111" s="113">
        <v>29.4</v>
      </c>
      <c r="U111" s="113">
        <v>33.5</v>
      </c>
      <c r="V111" s="113">
        <v>31.5</v>
      </c>
      <c r="W111" s="113">
        <v>27.1</v>
      </c>
      <c r="X111" s="113">
        <v>31.8</v>
      </c>
      <c r="Y111" s="113">
        <v>20.5</v>
      </c>
      <c r="Z111" s="113">
        <v>27.9</v>
      </c>
      <c r="AA111" s="113">
        <v>31</v>
      </c>
      <c r="AB111" s="113">
        <v>38.9</v>
      </c>
      <c r="AC111" s="113">
        <v>38.6</v>
      </c>
      <c r="AD111" s="113">
        <v>37.200000000000003</v>
      </c>
      <c r="AE111" s="113">
        <v>39.200000000000003</v>
      </c>
      <c r="AF111" s="113">
        <v>24.3</v>
      </c>
      <c r="AG111" s="114">
        <v>75</v>
      </c>
      <c r="AH111" s="47">
        <f t="shared" si="8"/>
        <v>39.200000000000003</v>
      </c>
      <c r="AI111" s="48">
        <f t="shared" si="9"/>
        <v>2.6</v>
      </c>
    </row>
    <row r="112" spans="1:37" x14ac:dyDescent="0.25">
      <c r="A112" s="103" t="s">
        <v>118</v>
      </c>
      <c r="B112" s="115">
        <v>23.5</v>
      </c>
      <c r="C112" s="115">
        <v>16.600000000000001</v>
      </c>
      <c r="D112" s="115">
        <v>14.8</v>
      </c>
      <c r="E112" s="115">
        <v>20.2</v>
      </c>
      <c r="F112" s="115">
        <v>22</v>
      </c>
      <c r="G112" s="115">
        <v>30.4</v>
      </c>
      <c r="H112" s="115">
        <v>337.7</v>
      </c>
      <c r="I112" s="115">
        <v>40.799999999999997</v>
      </c>
      <c r="J112" s="115">
        <v>50.6</v>
      </c>
      <c r="K112" s="115">
        <v>52</v>
      </c>
      <c r="L112" s="115">
        <v>45.6</v>
      </c>
      <c r="M112" s="115">
        <v>46.7</v>
      </c>
      <c r="N112" s="115">
        <v>30.4</v>
      </c>
      <c r="O112" s="115">
        <v>33.200000000000003</v>
      </c>
      <c r="P112" s="115">
        <v>43.4</v>
      </c>
      <c r="Q112" s="115">
        <v>45.1</v>
      </c>
      <c r="R112" s="115">
        <v>50.4</v>
      </c>
      <c r="S112" s="115">
        <v>50</v>
      </c>
      <c r="T112" s="115">
        <v>47.9</v>
      </c>
      <c r="U112" s="115">
        <v>55.3</v>
      </c>
      <c r="V112" s="115">
        <v>51</v>
      </c>
      <c r="W112" s="115">
        <v>45</v>
      </c>
      <c r="X112" s="115">
        <v>46.9</v>
      </c>
      <c r="Y112" s="115">
        <v>28.3</v>
      </c>
      <c r="Z112" s="115">
        <v>38.4</v>
      </c>
      <c r="AA112" s="115">
        <v>46</v>
      </c>
      <c r="AB112" s="115">
        <v>56.3</v>
      </c>
      <c r="AC112" s="115">
        <v>54.8</v>
      </c>
      <c r="AD112" s="115">
        <v>56.3</v>
      </c>
      <c r="AE112" s="115">
        <v>58.5</v>
      </c>
      <c r="AF112" s="115">
        <v>43.9</v>
      </c>
      <c r="AG112" s="114">
        <v>240</v>
      </c>
      <c r="AH112" s="47">
        <f t="shared" si="8"/>
        <v>337.7</v>
      </c>
      <c r="AI112" s="48">
        <f t="shared" si="9"/>
        <v>14.8</v>
      </c>
    </row>
    <row r="113" spans="1:37" x14ac:dyDescent="0.25">
      <c r="A113" s="103" t="s">
        <v>119</v>
      </c>
      <c r="B113" s="115">
        <v>-100</v>
      </c>
      <c r="C113" s="115">
        <v>-100</v>
      </c>
      <c r="D113" s="115">
        <v>-109</v>
      </c>
      <c r="E113" s="115">
        <v>-100.3</v>
      </c>
      <c r="F113" s="115">
        <v>-102</v>
      </c>
      <c r="G113" s="115">
        <v>-98.8</v>
      </c>
      <c r="H113" s="115">
        <v>-78</v>
      </c>
      <c r="I113" s="115">
        <v>-83</v>
      </c>
      <c r="J113" s="115">
        <v>-69</v>
      </c>
      <c r="K113" s="115">
        <v>-66</v>
      </c>
      <c r="L113" s="115">
        <v>-49.4</v>
      </c>
      <c r="M113" s="115">
        <v>-70</v>
      </c>
      <c r="N113" s="115">
        <v>-61</v>
      </c>
      <c r="O113" s="115">
        <v>-58</v>
      </c>
      <c r="P113" s="115">
        <v>-73</v>
      </c>
      <c r="Q113" s="115">
        <f>-21-28.2</f>
        <v>-49.2</v>
      </c>
      <c r="R113" s="115">
        <v>-79</v>
      </c>
      <c r="S113" s="115">
        <v>-55</v>
      </c>
      <c r="T113" s="115">
        <v>-50</v>
      </c>
      <c r="U113" s="115">
        <v>-48.6</v>
      </c>
      <c r="V113" s="115">
        <v>-54</v>
      </c>
      <c r="W113" s="115">
        <v>-47</v>
      </c>
      <c r="X113" s="115">
        <v>-45</v>
      </c>
      <c r="Y113" s="115">
        <v>-22</v>
      </c>
      <c r="Z113" s="115">
        <v>-23</v>
      </c>
      <c r="AA113" s="115">
        <v>-21</v>
      </c>
      <c r="AB113" s="115">
        <f>-23.5-17.4</f>
        <v>-40.9</v>
      </c>
      <c r="AC113" s="115">
        <v>-38.799999999999997</v>
      </c>
      <c r="AD113" s="115">
        <v>-71.5</v>
      </c>
      <c r="AE113" s="115">
        <v>-102</v>
      </c>
      <c r="AF113" s="115">
        <v>-118</v>
      </c>
      <c r="AG113" s="114">
        <v>240</v>
      </c>
      <c r="AH113" s="47">
        <f t="shared" si="8"/>
        <v>-21</v>
      </c>
      <c r="AI113" s="48">
        <f t="shared" si="9"/>
        <v>-118</v>
      </c>
    </row>
    <row r="114" spans="1:37" x14ac:dyDescent="0.25">
      <c r="A114" s="103" t="s">
        <v>120</v>
      </c>
      <c r="B114" s="115">
        <v>-8.1</v>
      </c>
      <c r="C114" s="115">
        <v>-10.199999999999999</v>
      </c>
      <c r="D114" s="115">
        <v>-11</v>
      </c>
      <c r="E114" s="115">
        <v>-16.5</v>
      </c>
      <c r="F114" s="115">
        <v>-16.5</v>
      </c>
      <c r="G114" s="115">
        <v>-13.2</v>
      </c>
      <c r="H114" s="115">
        <v>-12</v>
      </c>
      <c r="I114" s="115">
        <v>-9.6999999999999993</v>
      </c>
      <c r="J114" s="115">
        <v>-0.9</v>
      </c>
      <c r="K114" s="115">
        <v>3.2</v>
      </c>
      <c r="L114" s="115">
        <v>16.399999999999999</v>
      </c>
      <c r="M114" s="115">
        <v>13.9</v>
      </c>
      <c r="N114" s="115">
        <v>15.4</v>
      </c>
      <c r="O114" s="115">
        <v>19.7</v>
      </c>
      <c r="P114" s="115">
        <v>17.3</v>
      </c>
      <c r="Q114" s="115">
        <v>17.600000000000001</v>
      </c>
      <c r="R114" s="115">
        <v>15.2</v>
      </c>
      <c r="S114" s="115">
        <v>15</v>
      </c>
      <c r="T114" s="115">
        <v>21.3</v>
      </c>
      <c r="U114" s="115">
        <v>15.7</v>
      </c>
      <c r="V114" s="115">
        <v>14</v>
      </c>
      <c r="W114" s="115">
        <v>15</v>
      </c>
      <c r="X114" s="115">
        <v>14</v>
      </c>
      <c r="Y114" s="115">
        <v>11.3</v>
      </c>
      <c r="Z114" s="115">
        <v>22.1</v>
      </c>
      <c r="AA114" s="115">
        <v>44</v>
      </c>
      <c r="AB114" s="115">
        <f>-23.5-17.4</f>
        <v>-40.9</v>
      </c>
      <c r="AC114" s="115">
        <v>16.399999999999999</v>
      </c>
      <c r="AD114" s="115">
        <v>1.6</v>
      </c>
      <c r="AE114" s="115">
        <v>-9.3000000000000007</v>
      </c>
      <c r="AF114" s="115">
        <v>-12.7</v>
      </c>
      <c r="AG114" s="114">
        <v>60</v>
      </c>
      <c r="AH114" s="47">
        <f t="shared" si="8"/>
        <v>44</v>
      </c>
      <c r="AI114" s="48">
        <f t="shared" si="9"/>
        <v>-40.9</v>
      </c>
    </row>
    <row r="115" spans="1:37" x14ac:dyDescent="0.25">
      <c r="A115" s="116" t="s">
        <v>121</v>
      </c>
      <c r="B115" s="117">
        <v>71.5</v>
      </c>
      <c r="C115" s="117">
        <v>75.7</v>
      </c>
      <c r="D115" s="117">
        <v>81.3</v>
      </c>
      <c r="E115" s="117">
        <v>66.400000000000006</v>
      </c>
      <c r="F115" s="117">
        <v>65</v>
      </c>
      <c r="G115" s="117">
        <v>67</v>
      </c>
      <c r="H115" s="117">
        <v>56</v>
      </c>
      <c r="I115" s="117">
        <v>81.3</v>
      </c>
      <c r="J115" s="117">
        <v>73.900000000000006</v>
      </c>
      <c r="K115" s="117">
        <v>86.7</v>
      </c>
      <c r="L115" s="117">
        <v>86.7</v>
      </c>
      <c r="M115" s="117">
        <v>93.2</v>
      </c>
      <c r="N115" s="117">
        <v>105.7</v>
      </c>
      <c r="O115" s="117">
        <v>110</v>
      </c>
      <c r="P115" s="117">
        <v>99.8</v>
      </c>
      <c r="Q115" s="117">
        <v>103.6</v>
      </c>
      <c r="R115" s="117">
        <v>106.6</v>
      </c>
      <c r="S115" s="117">
        <v>105</v>
      </c>
      <c r="T115" s="117">
        <v>106</v>
      </c>
      <c r="U115" s="117">
        <v>98</v>
      </c>
      <c r="V115" s="117">
        <v>97</v>
      </c>
      <c r="W115" s="117">
        <v>88</v>
      </c>
      <c r="X115" s="117">
        <v>74</v>
      </c>
      <c r="Y115" s="117">
        <v>100</v>
      </c>
      <c r="Z115" s="117">
        <v>107</v>
      </c>
      <c r="AA115" s="117">
        <v>99</v>
      </c>
      <c r="AB115" s="117">
        <v>13.9</v>
      </c>
      <c r="AC115" s="117">
        <v>80.599999999999994</v>
      </c>
      <c r="AD115" s="117">
        <v>85.3</v>
      </c>
      <c r="AE115" s="117">
        <v>74</v>
      </c>
      <c r="AF115" s="117">
        <v>74</v>
      </c>
      <c r="AG115" s="118">
        <v>120</v>
      </c>
      <c r="AH115" s="47">
        <f t="shared" si="8"/>
        <v>110</v>
      </c>
      <c r="AI115" s="48">
        <f t="shared" si="9"/>
        <v>13.9</v>
      </c>
    </row>
    <row r="116" spans="1:37" x14ac:dyDescent="0.25">
      <c r="A116" s="116" t="s">
        <v>122</v>
      </c>
      <c r="B116" s="117">
        <v>78.7</v>
      </c>
      <c r="C116" s="117">
        <v>87.5</v>
      </c>
      <c r="D116" s="117">
        <v>93</v>
      </c>
      <c r="E116" s="117">
        <v>79.400000000000006</v>
      </c>
      <c r="F116" s="117">
        <v>90</v>
      </c>
      <c r="G116" s="117">
        <v>93.2</v>
      </c>
      <c r="H116" s="117">
        <v>69.5</v>
      </c>
      <c r="I116" s="117">
        <v>94.4</v>
      </c>
      <c r="J116" s="117">
        <v>82.4</v>
      </c>
      <c r="K116" s="117">
        <v>91.2</v>
      </c>
      <c r="L116" s="117">
        <v>86.2</v>
      </c>
      <c r="M116" s="117">
        <v>96.7</v>
      </c>
      <c r="N116" s="117">
        <v>103</v>
      </c>
      <c r="O116" s="117">
        <v>103.2</v>
      </c>
      <c r="P116" s="117">
        <v>99.9</v>
      </c>
      <c r="Q116" s="117">
        <v>102.4</v>
      </c>
      <c r="R116" s="117">
        <v>109.8</v>
      </c>
      <c r="S116" s="117">
        <v>110</v>
      </c>
      <c r="T116" s="117">
        <v>104.1</v>
      </c>
      <c r="U116" s="117">
        <v>100.7</v>
      </c>
      <c r="V116" s="117">
        <v>104</v>
      </c>
      <c r="W116" s="117">
        <v>95</v>
      </c>
      <c r="X116" s="117">
        <v>78</v>
      </c>
      <c r="Y116" s="117">
        <v>93</v>
      </c>
      <c r="Z116" s="117">
        <v>84</v>
      </c>
      <c r="AA116" s="117">
        <v>74</v>
      </c>
      <c r="AB116" s="117">
        <v>88.8</v>
      </c>
      <c r="AC116" s="117">
        <v>80.599999999999994</v>
      </c>
      <c r="AD116" s="117">
        <v>65.5</v>
      </c>
      <c r="AE116" s="117">
        <v>68.8</v>
      </c>
      <c r="AF116" s="117">
        <v>78.400000000000006</v>
      </c>
      <c r="AG116" s="118"/>
      <c r="AH116" s="47">
        <f t="shared" si="8"/>
        <v>110</v>
      </c>
      <c r="AI116" s="48">
        <f t="shared" si="9"/>
        <v>65.5</v>
      </c>
    </row>
    <row r="117" spans="1:37" x14ac:dyDescent="0.25">
      <c r="A117" s="116" t="s">
        <v>123</v>
      </c>
      <c r="B117" s="117"/>
      <c r="C117" s="117">
        <v>60.1</v>
      </c>
      <c r="D117" s="117"/>
      <c r="E117" s="117"/>
      <c r="F117" s="117"/>
      <c r="G117" s="117"/>
      <c r="H117" s="117"/>
      <c r="I117" s="117"/>
      <c r="J117" s="117"/>
      <c r="K117" s="117"/>
      <c r="L117" s="117"/>
      <c r="M117" s="117">
        <v>45.8</v>
      </c>
      <c r="N117" s="117">
        <v>61.6</v>
      </c>
      <c r="O117" s="117">
        <v>57</v>
      </c>
      <c r="P117" s="117">
        <v>45.7</v>
      </c>
      <c r="Q117" s="117">
        <v>47</v>
      </c>
      <c r="R117" s="117">
        <v>47.8</v>
      </c>
      <c r="S117" s="117">
        <v>40</v>
      </c>
      <c r="T117" s="117">
        <v>36.1</v>
      </c>
      <c r="U117" s="117">
        <v>32.4</v>
      </c>
      <c r="V117" s="117">
        <v>45</v>
      </c>
      <c r="W117" s="117">
        <v>48</v>
      </c>
      <c r="X117" s="117">
        <v>40</v>
      </c>
      <c r="Y117" s="117">
        <v>46.8</v>
      </c>
      <c r="Z117" s="117">
        <v>39</v>
      </c>
      <c r="AA117" s="117">
        <v>54.2</v>
      </c>
      <c r="AB117" s="117">
        <v>44.3</v>
      </c>
      <c r="AC117" s="117">
        <v>54.4</v>
      </c>
      <c r="AD117" s="117">
        <v>43.3</v>
      </c>
      <c r="AE117" s="117">
        <v>38.4</v>
      </c>
      <c r="AF117" s="117">
        <v>50</v>
      </c>
      <c r="AG117" s="119"/>
      <c r="AH117" s="47">
        <f t="shared" si="8"/>
        <v>61.6</v>
      </c>
      <c r="AI117" s="48">
        <f t="shared" si="9"/>
        <v>32.4</v>
      </c>
    </row>
    <row r="118" spans="1:37" x14ac:dyDescent="0.25">
      <c r="A118" s="120" t="s">
        <v>124</v>
      </c>
      <c r="B118" s="106">
        <v>-18.5</v>
      </c>
      <c r="C118" s="106">
        <v>-19</v>
      </c>
      <c r="D118" s="106">
        <v>-19.600000000000001</v>
      </c>
      <c r="E118" s="106">
        <v>-19.2</v>
      </c>
      <c r="F118" s="106">
        <v>-16</v>
      </c>
      <c r="G118" s="106">
        <v>-10</v>
      </c>
      <c r="H118" s="106">
        <v>-12</v>
      </c>
      <c r="I118" s="106">
        <v>-13.3</v>
      </c>
      <c r="J118" s="106">
        <v>-14.2</v>
      </c>
      <c r="K118" s="106">
        <v>-12</v>
      </c>
      <c r="L118" s="106">
        <v>-27.7</v>
      </c>
      <c r="M118" s="106">
        <v>-27.6</v>
      </c>
      <c r="N118" s="106">
        <v>-28.9</v>
      </c>
      <c r="O118" s="106">
        <v>-29.9</v>
      </c>
      <c r="P118" s="106">
        <v>-17.600000000000001</v>
      </c>
      <c r="Q118" s="106">
        <v>-20</v>
      </c>
      <c r="R118" s="106">
        <v>27.6</v>
      </c>
      <c r="S118" s="106">
        <v>-13</v>
      </c>
      <c r="T118" s="106">
        <v>-23.9</v>
      </c>
      <c r="U118" s="106">
        <v>-31.1</v>
      </c>
      <c r="V118" s="106">
        <v>-22</v>
      </c>
      <c r="W118" s="106">
        <v>-23</v>
      </c>
      <c r="X118" s="106">
        <v>-21</v>
      </c>
      <c r="Y118" s="106">
        <v>20</v>
      </c>
      <c r="Z118" s="106">
        <v>-17</v>
      </c>
      <c r="AA118" s="106">
        <v>-30</v>
      </c>
      <c r="AB118" s="106">
        <v>-19.8</v>
      </c>
      <c r="AC118" s="106">
        <v>-15.9</v>
      </c>
      <c r="AD118" s="106">
        <v>-19.399999999999999</v>
      </c>
      <c r="AE118" s="106">
        <v>-13.3</v>
      </c>
      <c r="AF118" s="106">
        <v>-3.7</v>
      </c>
      <c r="AG118" s="119"/>
      <c r="AH118" s="47">
        <f t="shared" si="8"/>
        <v>27.6</v>
      </c>
      <c r="AI118" s="48">
        <f t="shared" si="9"/>
        <v>-31.1</v>
      </c>
    </row>
    <row r="119" spans="1:37" x14ac:dyDescent="0.25">
      <c r="A119" s="175" t="s">
        <v>265</v>
      </c>
      <c r="B119" s="106">
        <v>81.900000000000006</v>
      </c>
      <c r="C119" s="106">
        <v>81.099999999999994</v>
      </c>
      <c r="D119" s="106">
        <v>87.5</v>
      </c>
      <c r="E119" s="106">
        <v>67.2</v>
      </c>
      <c r="F119" s="106">
        <v>67</v>
      </c>
      <c r="G119" s="106">
        <v>67.400000000000006</v>
      </c>
      <c r="H119" s="106">
        <v>44.2</v>
      </c>
      <c r="I119" s="106">
        <v>50.3</v>
      </c>
      <c r="J119" s="106">
        <v>44</v>
      </c>
      <c r="K119" s="106">
        <v>37.4</v>
      </c>
      <c r="L119" s="106">
        <v>38.4</v>
      </c>
      <c r="M119" s="106">
        <v>30.4</v>
      </c>
      <c r="N119" s="106">
        <v>20.399999999999999</v>
      </c>
      <c r="O119" s="106">
        <v>13</v>
      </c>
      <c r="P119" s="106">
        <v>31.8</v>
      </c>
      <c r="Q119" s="106">
        <v>28.3</v>
      </c>
      <c r="R119" s="106">
        <v>36.4</v>
      </c>
      <c r="S119" s="106">
        <v>31.3</v>
      </c>
      <c r="T119" s="106">
        <v>35</v>
      </c>
      <c r="U119" s="106">
        <v>22.7</v>
      </c>
      <c r="V119" s="106">
        <v>27</v>
      </c>
      <c r="W119" s="106">
        <v>26</v>
      </c>
      <c r="X119" s="106">
        <v>16</v>
      </c>
      <c r="Y119" s="106">
        <v>-18</v>
      </c>
      <c r="Z119" s="106">
        <v>-5.5</v>
      </c>
      <c r="AA119" s="106">
        <v>18</v>
      </c>
      <c r="AB119" s="106">
        <v>-12.7</v>
      </c>
      <c r="AC119" s="106">
        <v>11.7</v>
      </c>
      <c r="AD119" s="106">
        <v>35.4</v>
      </c>
      <c r="AE119" s="106">
        <v>68.3</v>
      </c>
      <c r="AF119" s="106">
        <v>79</v>
      </c>
      <c r="AG119" s="119"/>
      <c r="AH119" s="47">
        <f t="shared" si="8"/>
        <v>87.5</v>
      </c>
      <c r="AI119" s="48">
        <f t="shared" si="9"/>
        <v>-18</v>
      </c>
    </row>
    <row r="120" spans="1:37" ht="15.75" thickBot="1" x14ac:dyDescent="0.3">
      <c r="A120" s="120" t="s">
        <v>125</v>
      </c>
      <c r="B120" s="106">
        <v>73.599999999999994</v>
      </c>
      <c r="C120" s="106">
        <v>72.400000000000006</v>
      </c>
      <c r="D120" s="106">
        <v>76</v>
      </c>
      <c r="E120" s="106">
        <v>71.2</v>
      </c>
      <c r="F120" s="106">
        <v>62</v>
      </c>
      <c r="G120" s="106">
        <v>52.9</v>
      </c>
      <c r="H120" s="106">
        <v>53.3</v>
      </c>
      <c r="I120" s="106">
        <v>44.5</v>
      </c>
      <c r="J120" s="106">
        <v>47.8</v>
      </c>
      <c r="K120" s="106">
        <v>110.8</v>
      </c>
      <c r="L120" s="106">
        <v>115.9</v>
      </c>
      <c r="M120" s="106">
        <v>115.9</v>
      </c>
      <c r="N120" s="106">
        <v>111.7</v>
      </c>
      <c r="O120" s="106">
        <v>109.4</v>
      </c>
      <c r="P120" s="106">
        <v>98.6</v>
      </c>
      <c r="Q120" s="106">
        <v>102.6</v>
      </c>
      <c r="R120" s="106">
        <v>75.5</v>
      </c>
      <c r="S120" s="106">
        <v>51</v>
      </c>
      <c r="T120" s="106">
        <v>66.3</v>
      </c>
      <c r="U120" s="106">
        <v>70</v>
      </c>
      <c r="V120" s="106">
        <v>51</v>
      </c>
      <c r="W120" s="106">
        <v>56</v>
      </c>
      <c r="X120" s="106">
        <v>40</v>
      </c>
      <c r="Y120" s="106">
        <v>56</v>
      </c>
      <c r="Z120" s="106">
        <v>62</v>
      </c>
      <c r="AA120" s="106">
        <v>73</v>
      </c>
      <c r="AB120" s="106">
        <v>100</v>
      </c>
      <c r="AC120" s="106">
        <v>103.7</v>
      </c>
      <c r="AD120" s="106">
        <v>100.5</v>
      </c>
      <c r="AE120" s="106">
        <v>105.6</v>
      </c>
      <c r="AF120" s="106">
        <v>104</v>
      </c>
      <c r="AG120" s="119"/>
      <c r="AH120" s="47">
        <f t="shared" si="8"/>
        <v>115.9</v>
      </c>
      <c r="AI120" s="48">
        <f t="shared" si="9"/>
        <v>40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119.19900000000008</v>
      </c>
      <c r="N231" s="128">
        <f t="shared" ca="1" si="19"/>
        <v>119.19900000000008</v>
      </c>
      <c r="O231" s="128">
        <f t="shared" ca="1" si="19"/>
        <v>103.11900000000004</v>
      </c>
      <c r="P231" s="128">
        <f t="shared" ca="1" si="19"/>
        <v>103.11900000000004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125.2590000000001</v>
      </c>
      <c r="M235" s="136">
        <f t="shared" ca="1" si="20"/>
        <v>121.23900000000009</v>
      </c>
      <c r="N235" s="136">
        <f t="shared" ca="1" si="20"/>
        <v>121.23900000000009</v>
      </c>
      <c r="O235" s="136">
        <f t="shared" ca="1" si="20"/>
        <v>105.15900000000005</v>
      </c>
      <c r="P235" s="136">
        <f t="shared" ca="1" si="20"/>
        <v>105.15900000000005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1921.1399999999999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25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2080/02/25)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2080/02/25)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1681.3400000000001</v>
      </c>
      <c r="U249" s="170">
        <f t="shared" si="21"/>
        <v>1650.9400000000003</v>
      </c>
      <c r="V249" s="170">
        <f t="shared" si="21"/>
        <v>1655.0400000000002</v>
      </c>
      <c r="W249" s="170">
        <f t="shared" si="21"/>
        <v>1629.0400000000002</v>
      </c>
      <c r="X249" s="170">
        <f t="shared" si="21"/>
        <v>1638.94</v>
      </c>
      <c r="Y249" s="170">
        <f t="shared" si="21"/>
        <v>1613.44</v>
      </c>
      <c r="Z249" s="170">
        <f t="shared" si="21"/>
        <v>1588.2400000000002</v>
      </c>
      <c r="AA249" s="170">
        <f t="shared" si="21"/>
        <v>1633.2400000000002</v>
      </c>
      <c r="AB249" s="170">
        <f t="shared" si="21"/>
        <v>1670.54</v>
      </c>
      <c r="AC249" s="170">
        <f t="shared" si="21"/>
        <v>1767.74</v>
      </c>
      <c r="AD249" s="170">
        <f t="shared" si="21"/>
        <v>1828.6400000000003</v>
      </c>
      <c r="AE249" s="170">
        <f t="shared" si="21"/>
        <v>1859.14</v>
      </c>
      <c r="AF249" s="170">
        <f t="shared" si="21"/>
        <v>1921.1399999999999</v>
      </c>
      <c r="AG249" s="170">
        <f t="shared" si="21"/>
        <v>1929.74</v>
      </c>
      <c r="AH249" s="170">
        <f t="shared" si="21"/>
        <v>1903.92</v>
      </c>
      <c r="AI249" s="170">
        <f t="shared" si="21"/>
        <v>1871.24</v>
      </c>
      <c r="AJ249" s="170">
        <f t="shared" si="21"/>
        <v>1887.04</v>
      </c>
      <c r="AK249" s="170">
        <f t="shared" si="21"/>
        <v>1959.44</v>
      </c>
      <c r="AL249" s="170">
        <f t="shared" si="21"/>
        <v>1990.1399999999999</v>
      </c>
      <c r="AM249" s="170">
        <f t="shared" si="21"/>
        <v>1881.34</v>
      </c>
      <c r="AN249" s="170">
        <f t="shared" si="21"/>
        <v>1863.04</v>
      </c>
      <c r="AO249" s="170">
        <f t="shared" si="21"/>
        <v>1830.44</v>
      </c>
      <c r="AP249" s="170">
        <f t="shared" si="21"/>
        <v>1777.6399999999999</v>
      </c>
      <c r="AQ249" s="170">
        <f t="shared" si="21"/>
        <v>1732.84</v>
      </c>
      <c r="AR249" s="170">
        <f t="shared" si="21"/>
        <v>1769.04</v>
      </c>
      <c r="AS249" s="170">
        <f t="shared" si="21"/>
        <v>1937.44</v>
      </c>
      <c r="AT249" s="170">
        <f t="shared" si="21"/>
        <v>1842.6399999999999</v>
      </c>
      <c r="AU249" s="170">
        <f t="shared" si="21"/>
        <v>1845.14</v>
      </c>
      <c r="AV249" s="170">
        <f t="shared" si="21"/>
        <v>1799.84</v>
      </c>
      <c r="AW249" s="170">
        <f t="shared" si="21"/>
        <v>1779.44</v>
      </c>
      <c r="AX249" s="170">
        <f t="shared" si="21"/>
        <v>1684.8400000000001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4:AF17 B12:AF12">
    <cfRule type="expression" dxfId="4195" priority="409">
      <formula>B$9&gt;=20/24</formula>
    </cfRule>
    <cfRule type="expression" dxfId="4194" priority="410">
      <formula>AND(B$9&gt;=14/24,B$9&lt;20/24)</formula>
    </cfRule>
    <cfRule type="expression" dxfId="4193" priority="411">
      <formula>AND(B$9&gt;=8/24,B$9&lt;14/24)</formula>
    </cfRule>
    <cfRule type="expression" dxfId="4192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G67 B14:AF17 B12:AF12">
    <cfRule type="expression" dxfId="4191" priority="407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4190" priority="406">
      <formula>$AH12=0</formula>
    </cfRule>
  </conditionalFormatting>
  <conditionalFormatting sqref="A116">
    <cfRule type="expression" dxfId="4189" priority="405">
      <formula>$AH116=0</formula>
    </cfRule>
  </conditionalFormatting>
  <conditionalFormatting sqref="AL44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4188" priority="403">
      <formula>$AH47=0</formula>
    </cfRule>
  </conditionalFormatting>
  <conditionalFormatting sqref="A100">
    <cfRule type="expression" dxfId="4187" priority="402">
      <formula>$AH100=0</formula>
    </cfRule>
  </conditionalFormatting>
  <conditionalFormatting sqref="A20">
    <cfRule type="expression" dxfId="4186" priority="401">
      <formula>$AH20=0</formula>
    </cfRule>
  </conditionalFormatting>
  <conditionalFormatting sqref="A199:A204">
    <cfRule type="expression" dxfId="4185" priority="400">
      <formula>$AH199=0</formula>
    </cfRule>
  </conditionalFormatting>
  <conditionalFormatting sqref="A193:A198">
    <cfRule type="expression" dxfId="4184" priority="399">
      <formula>$AH193=0</formula>
    </cfRule>
  </conditionalFormatting>
  <conditionalFormatting sqref="A60">
    <cfRule type="expression" dxfId="4183" priority="398">
      <formula>$AH60=0</formula>
    </cfRule>
  </conditionalFormatting>
  <conditionalFormatting sqref="A96">
    <cfRule type="expression" dxfId="4182" priority="397">
      <formula>$AH96=0</formula>
    </cfRule>
  </conditionalFormatting>
  <conditionalFormatting sqref="AD101:AF101 E101:Y101">
    <cfRule type="expression" dxfId="4181" priority="393">
      <formula>E$9&gt;=20/24</formula>
    </cfRule>
    <cfRule type="expression" dxfId="4180" priority="394">
      <formula>AND(E$9&gt;=14/24,E$9&lt;20/24)</formula>
    </cfRule>
    <cfRule type="expression" dxfId="4179" priority="395">
      <formula>AND(E$9&gt;=8/24,E$9&lt;14/24)</formula>
    </cfRule>
    <cfRule type="expression" dxfId="4178" priority="396">
      <formula>E$9&lt;8/24</formula>
    </cfRule>
  </conditionalFormatting>
  <conditionalFormatting sqref="AL45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177" priority="415">
      <formula>C$9&gt;=20/24</formula>
    </cfRule>
    <cfRule type="expression" dxfId="4176" priority="416">
      <formula>AND(C$9&gt;=14/24,C$9&lt;20/24)</formula>
    </cfRule>
    <cfRule type="expression" dxfId="4175" priority="417">
      <formula>AND(C$9&gt;=8/24,C$9&lt;14/24)</formula>
    </cfRule>
    <cfRule type="expression" dxfId="4174" priority="418">
      <formula>C$9&lt;8/24</formula>
    </cfRule>
  </conditionalFormatting>
  <conditionalFormatting sqref="A236">
    <cfRule type="expression" dxfId="4173" priority="419">
      <formula>$AH236=0</formula>
    </cfRule>
  </conditionalFormatting>
  <conditionalFormatting sqref="AG248">
    <cfRule type="expression" dxfId="4172" priority="420">
      <formula>B$9&gt;=20/24</formula>
    </cfRule>
    <cfRule type="expression" dxfId="4171" priority="421">
      <formula>AND(B$9&gt;=14/24,B$9&lt;20/24)</formula>
    </cfRule>
    <cfRule type="expression" dxfId="4170" priority="422">
      <formula>AND(B$9&gt;=8/24,B$9&lt;14/24)</formula>
    </cfRule>
    <cfRule type="expression" dxfId="4169" priority="423">
      <formula>B$9&lt;8/24</formula>
    </cfRule>
  </conditionalFormatting>
  <conditionalFormatting sqref="S8">
    <cfRule type="expression" dxfId="4168" priority="388">
      <formula>U$9&gt;=20/24</formula>
    </cfRule>
    <cfRule type="expression" dxfId="4167" priority="389">
      <formula>AND(U$9&gt;=14/24,U$9&lt;20/24)</formula>
    </cfRule>
    <cfRule type="expression" dxfId="4166" priority="390">
      <formula>AND(U$9&gt;=8/24,U$9&lt;14/24)</formula>
    </cfRule>
    <cfRule type="expression" dxfId="4165" priority="391">
      <formula>U$9&lt;8/24</formula>
    </cfRule>
  </conditionalFormatting>
  <conditionalFormatting sqref="AB8">
    <cfRule type="expression" dxfId="4164" priority="384">
      <formula>AD$9&gt;=20/24</formula>
    </cfRule>
    <cfRule type="expression" dxfId="4163" priority="385">
      <formula>AND(AD$9&gt;=14/24,AD$9&lt;20/24)</formula>
    </cfRule>
    <cfRule type="expression" dxfId="4162" priority="386">
      <formula>AND(AD$9&gt;=8/24,AD$9&lt;14/24)</formula>
    </cfRule>
    <cfRule type="expression" dxfId="4161" priority="387">
      <formula>AD$9&lt;8/24</formula>
    </cfRule>
  </conditionalFormatting>
  <conditionalFormatting sqref="AH248:AX248">
    <cfRule type="expression" dxfId="4160" priority="424">
      <formula>AG$9&gt;=20/24</formula>
    </cfRule>
    <cfRule type="expression" dxfId="4159" priority="425">
      <formula>AND(AG$9&gt;=14/24,AG$9&lt;20/24)</formula>
    </cfRule>
    <cfRule type="expression" dxfId="4158" priority="426">
      <formula>AND(AG$9&gt;=8/24,AG$9&lt;14/24)</formula>
    </cfRule>
    <cfRule type="expression" dxfId="4157" priority="427">
      <formula>AG$9&lt;8/24</formula>
    </cfRule>
  </conditionalFormatting>
  <conditionalFormatting sqref="T248">
    <cfRule type="expression" dxfId="4156" priority="428">
      <formula>AX$9&gt;=20/24</formula>
    </cfRule>
    <cfRule type="expression" dxfId="4155" priority="429">
      <formula>AND(AX$9&gt;=14/24,AX$9&lt;20/24)</formula>
    </cfRule>
    <cfRule type="expression" dxfId="4154" priority="430">
      <formula>AND(AX$9&gt;=8/24,AX$9&lt;14/24)</formula>
    </cfRule>
    <cfRule type="expression" dxfId="4153" priority="431">
      <formula>AX$9&lt;8/24</formula>
    </cfRule>
  </conditionalFormatting>
  <conditionalFormatting sqref="A117:A119">
    <cfRule type="expression" dxfId="4152" priority="383">
      <formula>$AH117=0</formula>
    </cfRule>
  </conditionalFormatting>
  <conditionalFormatting sqref="AD56:AD57 AF73 M56:S59 E73:AD73">
    <cfRule type="expression" dxfId="4151" priority="379">
      <formula>E$9&gt;=20/24</formula>
    </cfRule>
    <cfRule type="expression" dxfId="4150" priority="380">
      <formula>AND(E$9&gt;=14/24,E$9&lt;20/24)</formula>
    </cfRule>
    <cfRule type="expression" dxfId="4149" priority="381">
      <formula>AND(E$9&gt;=8/24,E$9&lt;14/24)</formula>
    </cfRule>
    <cfRule type="expression" dxfId="4148" priority="382">
      <formula>E$9&lt;8/24</formula>
    </cfRule>
  </conditionalFormatting>
  <conditionalFormatting sqref="AD55 M55:S55">
    <cfRule type="expression" dxfId="4147" priority="375">
      <formula>M$9&gt;=20/24</formula>
    </cfRule>
    <cfRule type="expression" dxfId="4146" priority="376">
      <formula>AND(M$9&gt;=14/24,M$9&lt;20/24)</formula>
    </cfRule>
    <cfRule type="expression" dxfId="4145" priority="377">
      <formula>AND(M$9&gt;=8/24,M$9&lt;14/24)</formula>
    </cfRule>
    <cfRule type="expression" dxfId="4144" priority="378">
      <formula>M$9&lt;8/24</formula>
    </cfRule>
  </conditionalFormatting>
  <conditionalFormatting sqref="AD55:AD57 M55:S59">
    <cfRule type="expression" dxfId="4143" priority="374">
      <formula>M55&gt;$AG55</formula>
    </cfRule>
  </conditionalFormatting>
  <conditionalFormatting sqref="D88:AF88 X98:AF98 AE102:AF108 M102:Y108 AD74:AD76 AF74:AF75 E74:AC75 X49:AF49 AA69:AF71">
    <cfRule type="expression" dxfId="4142" priority="370">
      <formula>D$9&gt;=20/24</formula>
    </cfRule>
    <cfRule type="expression" dxfId="4141" priority="371">
      <formula>AND(D$9&gt;=14/24,D$9&lt;20/24)</formula>
    </cfRule>
    <cfRule type="expression" dxfId="4140" priority="372">
      <formula>AND(D$9&gt;=8/24,D$9&lt;14/24)</formula>
    </cfRule>
    <cfRule type="expression" dxfId="4139" priority="373">
      <formula>D$9&lt;8/24</formula>
    </cfRule>
  </conditionalFormatting>
  <conditionalFormatting sqref="X49:AF49 AA69:AF71">
    <cfRule type="expression" dxfId="4138" priority="369">
      <formula>X49&gt;$AG49</formula>
    </cfRule>
  </conditionalFormatting>
  <conditionalFormatting sqref="T55:AC60 AD58:AF60">
    <cfRule type="expression" dxfId="4137" priority="365">
      <formula>T$9&gt;=20/24</formula>
    </cfRule>
    <cfRule type="expression" dxfId="4136" priority="366">
      <formula>AND(T$9&gt;=14/24,T$9&lt;20/24)</formula>
    </cfRule>
    <cfRule type="expression" dxfId="4135" priority="367">
      <formula>AND(T$9&gt;=8/24,T$9&lt;14/24)</formula>
    </cfRule>
    <cfRule type="expression" dxfId="4134" priority="368">
      <formula>T$9&lt;8/24</formula>
    </cfRule>
  </conditionalFormatting>
  <conditionalFormatting sqref="T55:AC60 AD58:AF60">
    <cfRule type="expression" dxfId="4133" priority="364">
      <formula>T55&gt;$AG55</formula>
    </cfRule>
  </conditionalFormatting>
  <conditionalFormatting sqref="C99:AF99 D90:AF90">
    <cfRule type="expression" dxfId="4132" priority="360">
      <formula>C$9&gt;=20/24</formula>
    </cfRule>
    <cfRule type="expression" dxfId="4131" priority="361">
      <formula>AND(C$9&gt;=14/24,C$9&lt;20/24)</formula>
    </cfRule>
    <cfRule type="expression" dxfId="4130" priority="362">
      <formula>AND(C$9&gt;=8/24,C$9&lt;14/24)</formula>
    </cfRule>
    <cfRule type="expression" dxfId="4129" priority="363">
      <formula>C$9&lt;8/24</formula>
    </cfRule>
  </conditionalFormatting>
  <conditionalFormatting sqref="T49:W49">
    <cfRule type="expression" dxfId="4128" priority="356">
      <formula>T$9&gt;=20/24</formula>
    </cfRule>
    <cfRule type="expression" dxfId="4127" priority="357">
      <formula>AND(T$9&gt;=14/24,T$9&lt;20/24)</formula>
    </cfRule>
    <cfRule type="expression" dxfId="4126" priority="358">
      <formula>AND(T$9&gt;=8/24,T$9&lt;14/24)</formula>
    </cfRule>
    <cfRule type="expression" dxfId="4125" priority="359">
      <formula>T$9&lt;8/24</formula>
    </cfRule>
  </conditionalFormatting>
  <conditionalFormatting sqref="T49:W49">
    <cfRule type="expression" dxfId="4124" priority="355">
      <formula>T49&gt;$AG49</formula>
    </cfRule>
  </conditionalFormatting>
  <conditionalFormatting sqref="E56:L57">
    <cfRule type="expression" dxfId="4123" priority="351">
      <formula>E$9&gt;=20/24</formula>
    </cfRule>
    <cfRule type="expression" dxfId="4122" priority="352">
      <formula>AND(E$9&gt;=14/24,E$9&lt;20/24)</formula>
    </cfRule>
    <cfRule type="expression" dxfId="4121" priority="353">
      <formula>AND(E$9&gt;=8/24,E$9&lt;14/24)</formula>
    </cfRule>
    <cfRule type="expression" dxfId="4120" priority="354">
      <formula>E$9&lt;8/24</formula>
    </cfRule>
  </conditionalFormatting>
  <conditionalFormatting sqref="E55:L55">
    <cfRule type="expression" dxfId="4119" priority="347">
      <formula>E$9&gt;=20/24</formula>
    </cfRule>
    <cfRule type="expression" dxfId="4118" priority="348">
      <formula>AND(E$9&gt;=14/24,E$9&lt;20/24)</formula>
    </cfRule>
    <cfRule type="expression" dxfId="4117" priority="349">
      <formula>AND(E$9&gt;=8/24,E$9&lt;14/24)</formula>
    </cfRule>
    <cfRule type="expression" dxfId="4116" priority="350">
      <formula>E$9&lt;8/24</formula>
    </cfRule>
  </conditionalFormatting>
  <conditionalFormatting sqref="E55:L57">
    <cfRule type="expression" dxfId="4115" priority="346">
      <formula>E55&gt;$AG55</formula>
    </cfRule>
  </conditionalFormatting>
  <conditionalFormatting sqref="AG72 AG89 E102:L108">
    <cfRule type="expression" dxfId="4114" priority="342">
      <formula>E$9&gt;=20/24</formula>
    </cfRule>
    <cfRule type="expression" dxfId="4113" priority="343">
      <formula>AND(E$9&gt;=14/24,E$9&lt;20/24)</formula>
    </cfRule>
    <cfRule type="expression" dxfId="4112" priority="344">
      <formula>AND(E$9&gt;=8/24,E$9&lt;14/24)</formula>
    </cfRule>
    <cfRule type="expression" dxfId="4111" priority="345">
      <formula>E$9&lt;8/24</formula>
    </cfRule>
  </conditionalFormatting>
  <conditionalFormatting sqref="AG50 AG68 AG72">
    <cfRule type="expression" dxfId="4110" priority="341">
      <formula>AG50&gt;$AG50</formula>
    </cfRule>
  </conditionalFormatting>
  <conditionalFormatting sqref="A45">
    <cfRule type="expression" dxfId="4109" priority="335">
      <formula>$AH45=0</formula>
    </cfRule>
  </conditionalFormatting>
  <conditionalFormatting sqref="X93:AF97">
    <cfRule type="expression" dxfId="4108" priority="331">
      <formula>X$9&gt;=20/24</formula>
    </cfRule>
    <cfRule type="expression" dxfId="4107" priority="332">
      <formula>AND(X$9&gt;=14/24,X$9&lt;20/24)</formula>
    </cfRule>
    <cfRule type="expression" dxfId="4106" priority="333">
      <formula>AND(X$9&gt;=8/24,X$9&lt;14/24)</formula>
    </cfRule>
    <cfRule type="expression" dxfId="4105" priority="334">
      <formula>X$9&lt;8/24</formula>
    </cfRule>
  </conditionalFormatting>
  <conditionalFormatting sqref="AL47 AL43 AL24:AL34 AL40:AL41 AL19:AL22 AL36:AL38 AL7:AL17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4104" priority="327">
      <formula>E$9&gt;=20/24</formula>
    </cfRule>
    <cfRule type="expression" dxfId="4103" priority="328">
      <formula>AND(E$9&gt;=14/24,E$9&lt;20/24)</formula>
    </cfRule>
    <cfRule type="expression" dxfId="4102" priority="329">
      <formula>AND(E$9&gt;=8/24,E$9&lt;14/24)</formula>
    </cfRule>
    <cfRule type="expression" dxfId="4101" priority="330">
      <formula>E$9&lt;8/24</formula>
    </cfRule>
  </conditionalFormatting>
  <conditionalFormatting sqref="E51:AF53">
    <cfRule type="expression" dxfId="4100" priority="326">
      <formula>E51&gt;$AG51</formula>
    </cfRule>
  </conditionalFormatting>
  <conditionalFormatting sqref="AG54">
    <cfRule type="expression" dxfId="4099" priority="322">
      <formula>AG$9&gt;=20/24</formula>
    </cfRule>
    <cfRule type="expression" dxfId="4098" priority="323">
      <formula>AND(AG$9&gt;=14/24,AG$9&lt;20/24)</formula>
    </cfRule>
    <cfRule type="expression" dxfId="4097" priority="324">
      <formula>AND(AG$9&gt;=8/24,AG$9&lt;14/24)</formula>
    </cfRule>
    <cfRule type="expression" dxfId="4096" priority="325">
      <formula>AG$9&lt;8/24</formula>
    </cfRule>
  </conditionalFormatting>
  <conditionalFormatting sqref="AG54">
    <cfRule type="expression" dxfId="4095" priority="321">
      <formula>AG54&gt;$AG54</formula>
    </cfRule>
  </conditionalFormatting>
  <conditionalFormatting sqref="C109:AF109">
    <cfRule type="expression" dxfId="4094" priority="317">
      <formula>C$9&gt;=20/24</formula>
    </cfRule>
    <cfRule type="expression" dxfId="4093" priority="318">
      <formula>AND(C$9&gt;=14/24,C$9&lt;20/24)</formula>
    </cfRule>
    <cfRule type="expression" dxfId="4092" priority="319">
      <formula>AND(C$9&gt;=8/24,C$9&lt;14/24)</formula>
    </cfRule>
    <cfRule type="expression" dxfId="4091" priority="320">
      <formula>C$9&lt;8/24</formula>
    </cfRule>
  </conditionalFormatting>
  <conditionalFormatting sqref="AL42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4090" priority="315">
      <formula>$AH42=0</formula>
    </cfRule>
  </conditionalFormatting>
  <conditionalFormatting sqref="A92">
    <cfRule type="expression" dxfId="4089" priority="313">
      <formula>$AH92=0</formula>
    </cfRule>
  </conditionalFormatting>
  <conditionalFormatting sqref="A89">
    <cfRule type="expression" dxfId="4088" priority="314">
      <formula>$AH89=0</formula>
    </cfRule>
  </conditionalFormatting>
  <conditionalFormatting sqref="D112:AF112">
    <cfRule type="expression" dxfId="4087" priority="309">
      <formula>D$9&gt;=20/24</formula>
    </cfRule>
    <cfRule type="expression" dxfId="4086" priority="310">
      <formula>AND(D$9&gt;=14/24,D$9&lt;20/24)</formula>
    </cfRule>
    <cfRule type="expression" dxfId="4085" priority="311">
      <formula>AND(D$9&gt;=8/24,D$9&lt;14/24)</formula>
    </cfRule>
    <cfRule type="expression" dxfId="4084" priority="312">
      <formula>D$9&lt;8/24</formula>
    </cfRule>
  </conditionalFormatting>
  <conditionalFormatting sqref="A112">
    <cfRule type="expression" dxfId="4083" priority="308">
      <formula>$AH112=0</formula>
    </cfRule>
  </conditionalFormatting>
  <conditionalFormatting sqref="A23">
    <cfRule type="expression" dxfId="4082" priority="306">
      <formula>$AH23=0</formula>
    </cfRule>
  </conditionalFormatting>
  <conditionalFormatting sqref="AL2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4081" priority="304">
      <formula>$AH39=0</formula>
    </cfRule>
  </conditionalFormatting>
  <conditionalFormatting sqref="AL39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4080" priority="300">
      <formula>Z$9&gt;=20/24</formula>
    </cfRule>
    <cfRule type="expression" dxfId="4079" priority="301">
      <formula>AND(Z$9&gt;=14/24,Z$9&lt;20/24)</formula>
    </cfRule>
    <cfRule type="expression" dxfId="4078" priority="302">
      <formula>AND(Z$9&gt;=8/24,Z$9&lt;14/24)</formula>
    </cfRule>
    <cfRule type="expression" dxfId="4077" priority="303">
      <formula>Z$9&lt;8/24</formula>
    </cfRule>
  </conditionalFormatting>
  <conditionalFormatting sqref="Z102:AD108">
    <cfRule type="expression" dxfId="4076" priority="296">
      <formula>Z$9&gt;=20/24</formula>
    </cfRule>
    <cfRule type="expression" dxfId="4075" priority="297">
      <formula>AND(Z$9&gt;=14/24,Z$9&lt;20/24)</formula>
    </cfRule>
    <cfRule type="expression" dxfId="4074" priority="298">
      <formula>AND(Z$9&gt;=8/24,Z$9&lt;14/24)</formula>
    </cfRule>
    <cfRule type="expression" dxfId="4073" priority="299">
      <formula>Z$9&lt;8/24</formula>
    </cfRule>
  </conditionalFormatting>
  <conditionalFormatting sqref="C111 C113:C119 U27:Z27 U19:AD24 AA25:AD30 AA36:AF45 AA32:AF34 AE19:AF30">
    <cfRule type="expression" dxfId="4072" priority="292">
      <formula>C$9&gt;=20/24</formula>
    </cfRule>
    <cfRule type="expression" dxfId="4071" priority="293">
      <formula>AND(C$9&gt;=14/24,C$9&lt;20/24)</formula>
    </cfRule>
    <cfRule type="expression" dxfId="4070" priority="294">
      <formula>AND(C$9&gt;=8/24,C$9&lt;14/24)</formula>
    </cfRule>
    <cfRule type="expression" dxfId="4069" priority="295">
      <formula>C$9&lt;8/24</formula>
    </cfRule>
  </conditionalFormatting>
  <conditionalFormatting sqref="E49:S49">
    <cfRule type="expression" dxfId="4068" priority="288">
      <formula>E$9&gt;=20/24</formula>
    </cfRule>
    <cfRule type="expression" dxfId="4067" priority="289">
      <formula>AND(E$9&gt;=14/24,E$9&lt;20/24)</formula>
    </cfRule>
    <cfRule type="expression" dxfId="4066" priority="290">
      <formula>AND(E$9&gt;=8/24,E$9&lt;14/24)</formula>
    </cfRule>
    <cfRule type="expression" dxfId="4065" priority="291">
      <formula>E$9&lt;8/24</formula>
    </cfRule>
  </conditionalFormatting>
  <conditionalFormatting sqref="E49:S49 U27:Z27 U19:AD24 AA25:AD30 AA36:AF45 AA32:AF34 AE19:AF30">
    <cfRule type="expression" dxfId="4064" priority="287">
      <formula>E19&gt;$AG19</formula>
    </cfRule>
  </conditionalFormatting>
  <conditionalFormatting sqref="C101:D101">
    <cfRule type="expression" dxfId="4063" priority="283">
      <formula>C$9&gt;=20/24</formula>
    </cfRule>
    <cfRule type="expression" dxfId="4062" priority="284">
      <formula>AND(C$9&gt;=14/24,C$9&lt;20/24)</formula>
    </cfRule>
    <cfRule type="expression" dxfId="4061" priority="285">
      <formula>AND(C$9&gt;=8/24,C$9&lt;14/24)</formula>
    </cfRule>
    <cfRule type="expression" dxfId="4060" priority="286">
      <formula>C$9&lt;8/24</formula>
    </cfRule>
  </conditionalFormatting>
  <conditionalFormatting sqref="C88 C98:W98 C85:AF87 D102:D108 E76:N77 E69:Z71 AC76 AC77:AD78 O76:AB78">
    <cfRule type="expression" dxfId="4059" priority="279">
      <formula>C$9&gt;=20/24</formula>
    </cfRule>
    <cfRule type="expression" dxfId="4058" priority="280">
      <formula>AND(C$9&gt;=14/24,C$9&lt;20/24)</formula>
    </cfRule>
    <cfRule type="expression" dxfId="4057" priority="281">
      <formula>AND(C$9&gt;=8/24,C$9&lt;14/24)</formula>
    </cfRule>
    <cfRule type="expression" dxfId="4056" priority="282">
      <formula>C$9&lt;8/24</formula>
    </cfRule>
  </conditionalFormatting>
  <conditionalFormatting sqref="E58:L58 F59:L59 E69:Z71">
    <cfRule type="expression" dxfId="4055" priority="278">
      <formula>E58&gt;$AG58</formula>
    </cfRule>
  </conditionalFormatting>
  <conditionalFormatting sqref="D56:D57 C73:D73">
    <cfRule type="expression" dxfId="4054" priority="220">
      <formula>C$9&gt;=20/24</formula>
    </cfRule>
    <cfRule type="expression" dxfId="4053" priority="221">
      <formula>AND(C$9&gt;=14/24,C$9&lt;20/24)</formula>
    </cfRule>
    <cfRule type="expression" dxfId="4052" priority="222">
      <formula>AND(C$9&gt;=8/24,C$9&lt;14/24)</formula>
    </cfRule>
    <cfRule type="expression" dxfId="4051" priority="223">
      <formula>C$9&lt;8/24</formula>
    </cfRule>
  </conditionalFormatting>
  <conditionalFormatting sqref="C89:AF89 C91:AF91 C100:AF100 C72:AF72">
    <cfRule type="expression" dxfId="4050" priority="274">
      <formula>C$9&gt;=20/24</formula>
    </cfRule>
    <cfRule type="expression" dxfId="4049" priority="275">
      <formula>AND(C$9&gt;=14/24,C$9&lt;20/24)</formula>
    </cfRule>
    <cfRule type="expression" dxfId="4048" priority="276">
      <formula>AND(C$9&gt;=8/24,C$9&lt;14/24)</formula>
    </cfRule>
    <cfRule type="expression" dxfId="4047" priority="277">
      <formula>C$9&lt;8/24</formula>
    </cfRule>
  </conditionalFormatting>
  <conditionalFormatting sqref="C72:AF72 D67:AF68">
    <cfRule type="expression" dxfId="4046" priority="273">
      <formula>C67&gt;$AG67</formula>
    </cfRule>
  </conditionalFormatting>
  <conditionalFormatting sqref="C84:AF84">
    <cfRule type="expression" dxfId="4045" priority="269">
      <formula>C$9&gt;=20/24</formula>
    </cfRule>
    <cfRule type="expression" dxfId="4044" priority="270">
      <formula>AND(C$9&gt;=14/24,C$9&lt;20/24)</formula>
    </cfRule>
    <cfRule type="expression" dxfId="4043" priority="271">
      <formula>AND(C$9&gt;=8/24,C$9&lt;14/24)</formula>
    </cfRule>
    <cfRule type="expression" dxfId="4042" priority="272">
      <formula>C$9&lt;8/24</formula>
    </cfRule>
  </conditionalFormatting>
  <conditionalFormatting sqref="C93:W97">
    <cfRule type="expression" dxfId="4041" priority="265">
      <formula>C$9&gt;=20/24</formula>
    </cfRule>
    <cfRule type="expression" dxfId="4040" priority="266">
      <formula>AND(C$9&gt;=14/24,C$9&lt;20/24)</formula>
    </cfRule>
    <cfRule type="expression" dxfId="4039" priority="267">
      <formula>AND(C$9&gt;=8/24,C$9&lt;14/24)</formula>
    </cfRule>
    <cfRule type="expression" dxfId="4038" priority="268">
      <formula>C$9&lt;8/24</formula>
    </cfRule>
  </conditionalFormatting>
  <conditionalFormatting sqref="D54:AF54">
    <cfRule type="expression" dxfId="4037" priority="261">
      <formula>D$9&gt;=20/24</formula>
    </cfRule>
    <cfRule type="expression" dxfId="4036" priority="262">
      <formula>AND(D$9&gt;=14/24,D$9&lt;20/24)</formula>
    </cfRule>
    <cfRule type="expression" dxfId="4035" priority="263">
      <formula>AND(D$9&gt;=8/24,D$9&lt;14/24)</formula>
    </cfRule>
    <cfRule type="expression" dxfId="4034" priority="264">
      <formula>D$9&lt;8/24</formula>
    </cfRule>
  </conditionalFormatting>
  <conditionalFormatting sqref="D54:AF54">
    <cfRule type="expression" dxfId="4033" priority="260">
      <formula>D54&gt;$AG54</formula>
    </cfRule>
  </conditionalFormatting>
  <conditionalFormatting sqref="C112">
    <cfRule type="expression" dxfId="4032" priority="252">
      <formula>C$9&gt;=20/24</formula>
    </cfRule>
    <cfRule type="expression" dxfId="4031" priority="253">
      <formula>AND(C$9&gt;=14/24,C$9&lt;20/24)</formula>
    </cfRule>
    <cfRule type="expression" dxfId="4030" priority="254">
      <formula>AND(C$9&gt;=8/24,C$9&lt;14/24)</formula>
    </cfRule>
    <cfRule type="expression" dxfId="4029" priority="255">
      <formula>C$9&lt;8/24</formula>
    </cfRule>
  </conditionalFormatting>
  <conditionalFormatting sqref="AA61:AF66">
    <cfRule type="expression" dxfId="4028" priority="248">
      <formula>AA$9&gt;=20/24</formula>
    </cfRule>
    <cfRule type="expression" dxfId="4027" priority="249">
      <formula>AND(AA$9&gt;=14/24,AA$9&lt;20/24)</formula>
    </cfRule>
    <cfRule type="expression" dxfId="4026" priority="250">
      <formula>AND(AA$9&gt;=8/24,AA$9&lt;14/24)</formula>
    </cfRule>
    <cfRule type="expression" dxfId="4025" priority="251">
      <formula>AA$9&lt;8/24</formula>
    </cfRule>
  </conditionalFormatting>
  <conditionalFormatting sqref="AA61:AF66">
    <cfRule type="expression" dxfId="4024" priority="247">
      <formula>AA61&gt;$AG61</formula>
    </cfRule>
  </conditionalFormatting>
  <conditionalFormatting sqref="AA47:AF47">
    <cfRule type="expression" dxfId="4023" priority="246">
      <formula>AA47&gt;$AG47</formula>
    </cfRule>
  </conditionalFormatting>
  <conditionalFormatting sqref="U13:AF13">
    <cfRule type="expression" dxfId="4022" priority="242">
      <formula>U$9&gt;=20/24</formula>
    </cfRule>
    <cfRule type="expression" dxfId="4021" priority="243">
      <formula>AND(U$9&gt;=14/24,U$9&lt;20/24)</formula>
    </cfRule>
    <cfRule type="expression" dxfId="4020" priority="244">
      <formula>AND(U$9&gt;=8/24,U$9&lt;14/24)</formula>
    </cfRule>
    <cfRule type="expression" dxfId="4019" priority="245">
      <formula>U$9&lt;8/24</formula>
    </cfRule>
  </conditionalFormatting>
  <conditionalFormatting sqref="U13:AF13">
    <cfRule type="expression" dxfId="4018" priority="241">
      <formula>U13&gt;$AG13</formula>
    </cfRule>
  </conditionalFormatting>
  <conditionalFormatting sqref="AA47:AF47">
    <cfRule type="expression" dxfId="4017" priority="237">
      <formula>AA$9&gt;=20/24</formula>
    </cfRule>
    <cfRule type="expression" dxfId="4016" priority="238">
      <formula>AND(AA$9&gt;=14/24,AA$9&lt;20/24)</formula>
    </cfRule>
    <cfRule type="expression" dxfId="4015" priority="239">
      <formula>AND(AA$9&gt;=8/24,AA$9&lt;14/24)</formula>
    </cfRule>
    <cfRule type="expression" dxfId="4014" priority="240">
      <formula>AA$9&lt;8/24</formula>
    </cfRule>
  </conditionalFormatting>
  <conditionalFormatting sqref="O79:AF83">
    <cfRule type="expression" dxfId="4013" priority="233">
      <formula>O$9&gt;=20/24</formula>
    </cfRule>
    <cfRule type="expression" dxfId="4012" priority="234">
      <formula>AND(O$9&gt;=14/24,O$9&lt;20/24)</formula>
    </cfRule>
    <cfRule type="expression" dxfId="4011" priority="235">
      <formula>AND(O$9&gt;=8/24,O$9&lt;14/24)</formula>
    </cfRule>
    <cfRule type="expression" dxfId="4010" priority="236">
      <formula>O$9&lt;8/24</formula>
    </cfRule>
  </conditionalFormatting>
  <conditionalFormatting sqref="AL80:AN80 AL86:AN86 AN81:AN82">
    <cfRule type="expression" dxfId="4009" priority="229">
      <formula>AL$9&gt;=20/24</formula>
    </cfRule>
    <cfRule type="expression" dxfId="4008" priority="230">
      <formula>AND(AL$9&gt;=14/24,AL$9&lt;20/24)</formula>
    </cfRule>
    <cfRule type="expression" dxfId="4007" priority="231">
      <formula>AND(AL$9&gt;=8/24,AL$9&lt;14/24)</formula>
    </cfRule>
    <cfRule type="expression" dxfId="4006" priority="232">
      <formula>AL$9&lt;8/24</formula>
    </cfRule>
  </conditionalFormatting>
  <conditionalFormatting sqref="AN83:AN84">
    <cfRule type="expression" dxfId="4005" priority="225">
      <formula>AN$9&gt;=20/24</formula>
    </cfRule>
    <cfRule type="expression" dxfId="4004" priority="226">
      <formula>AND(AN$9&gt;=14/24,AN$9&lt;20/24)</formula>
    </cfRule>
    <cfRule type="expression" dxfId="4003" priority="227">
      <formula>AND(AN$9&gt;=8/24,AN$9&lt;14/24)</formula>
    </cfRule>
    <cfRule type="expression" dxfId="4002" priority="228">
      <formula>AN$9&lt;8/24</formula>
    </cfRule>
  </conditionalFormatting>
  <conditionalFormatting sqref="AL81:AM85">
    <cfRule type="expression" dxfId="4001" priority="433">
      <formula>AJ$9&gt;=20/24</formula>
    </cfRule>
    <cfRule type="expression" dxfId="4000" priority="434">
      <formula>AND(AJ$9&gt;=14/24,AJ$9&lt;20/24)</formula>
    </cfRule>
    <cfRule type="expression" dxfId="3999" priority="435">
      <formula>AND(AJ$9&gt;=8/24,AJ$9&lt;14/24)</formula>
    </cfRule>
    <cfRule type="expression" dxfId="3998" priority="436">
      <formula>AJ$9&lt;8/24</formula>
    </cfRule>
  </conditionalFormatting>
  <conditionalFormatting sqref="A120">
    <cfRule type="expression" dxfId="3997" priority="224">
      <formula>$AH120=0</formula>
    </cfRule>
  </conditionalFormatting>
  <conditionalFormatting sqref="D55">
    <cfRule type="expression" dxfId="3996" priority="216">
      <formula>D$9&gt;=20/24</formula>
    </cfRule>
    <cfRule type="expression" dxfId="3995" priority="217">
      <formula>AND(D$9&gt;=14/24,D$9&lt;20/24)</formula>
    </cfRule>
    <cfRule type="expression" dxfId="3994" priority="218">
      <formula>AND(D$9&gt;=8/24,D$9&lt;14/24)</formula>
    </cfRule>
    <cfRule type="expression" dxfId="3993" priority="219">
      <formula>D$9&lt;8/24</formula>
    </cfRule>
  </conditionalFormatting>
  <conditionalFormatting sqref="D55:D57">
    <cfRule type="expression" dxfId="3992" priority="215">
      <formula>D55&gt;$AG55</formula>
    </cfRule>
  </conditionalFormatting>
  <conditionalFormatting sqref="C102:C108 C74:D75">
    <cfRule type="expression" dxfId="3991" priority="211">
      <formula>C$9&gt;=20/24</formula>
    </cfRule>
    <cfRule type="expression" dxfId="3990" priority="212">
      <formula>AND(C$9&gt;=14/24,C$9&lt;20/24)</formula>
    </cfRule>
    <cfRule type="expression" dxfId="3989" priority="213">
      <formula>AND(C$9&gt;=8/24,C$9&lt;14/24)</formula>
    </cfRule>
    <cfRule type="expression" dxfId="3988" priority="214">
      <formula>C$9&lt;8/24</formula>
    </cfRule>
  </conditionalFormatting>
  <conditionalFormatting sqref="C90">
    <cfRule type="expression" dxfId="3987" priority="206">
      <formula>C$9&gt;=20/24</formula>
    </cfRule>
    <cfRule type="expression" dxfId="3986" priority="207">
      <formula>AND(C$9&gt;=14/24,C$9&lt;20/24)</formula>
    </cfRule>
    <cfRule type="expression" dxfId="3985" priority="208">
      <formula>AND(C$9&gt;=8/24,C$9&lt;14/24)</formula>
    </cfRule>
    <cfRule type="expression" dxfId="3984" priority="209">
      <formula>C$9&lt;8/24</formula>
    </cfRule>
  </conditionalFormatting>
  <conditionalFormatting sqref="AA48:AF48">
    <cfRule type="expression" dxfId="3983" priority="202">
      <formula>AA$9&gt;=20/24</formula>
    </cfRule>
    <cfRule type="expression" dxfId="3982" priority="203">
      <formula>AND(AA$9&gt;=14/24,AA$9&lt;20/24)</formula>
    </cfRule>
    <cfRule type="expression" dxfId="3981" priority="204">
      <formula>AND(AA$9&gt;=8/24,AA$9&lt;14/24)</formula>
    </cfRule>
    <cfRule type="expression" dxfId="3980" priority="205">
      <formula>AA$9&lt;8/24</formula>
    </cfRule>
  </conditionalFormatting>
  <conditionalFormatting sqref="AA48:AF48">
    <cfRule type="expression" dxfId="3979" priority="201">
      <formula>AA48&gt;$AG48</formula>
    </cfRule>
  </conditionalFormatting>
  <conditionalFormatting sqref="F60:S60">
    <cfRule type="expression" dxfId="3978" priority="197">
      <formula>F$9&gt;=20/24</formula>
    </cfRule>
    <cfRule type="expression" dxfId="3977" priority="198">
      <formula>AND(F$9&gt;=14/24,F$9&lt;20/24)</formula>
    </cfRule>
    <cfRule type="expression" dxfId="3976" priority="199">
      <formula>AND(F$9&gt;=8/24,F$9&lt;14/24)</formula>
    </cfRule>
    <cfRule type="expression" dxfId="3975" priority="200">
      <formula>F$9&lt;8/24</formula>
    </cfRule>
  </conditionalFormatting>
  <conditionalFormatting sqref="F60:S60">
    <cfRule type="expression" dxfId="3974" priority="196">
      <formula>F60&gt;$AG60</formula>
    </cfRule>
  </conditionalFormatting>
  <conditionalFormatting sqref="B88 B98 B102:B108 B74:B76 B49:D49 B69:D71 C76:D76">
    <cfRule type="expression" dxfId="3973" priority="126">
      <formula>B$9&gt;=20/24</formula>
    </cfRule>
    <cfRule type="expression" dxfId="3972" priority="127">
      <formula>AND(B$9&gt;=14/24,B$9&lt;20/24)</formula>
    </cfRule>
    <cfRule type="expression" dxfId="3971" priority="128">
      <formula>AND(B$9&gt;=8/24,B$9&lt;14/24)</formula>
    </cfRule>
    <cfRule type="expression" dxfId="3970" priority="129">
      <formula>B$9&lt;8/24</formula>
    </cfRule>
  </conditionalFormatting>
  <conditionalFormatting sqref="B60:E60">
    <cfRule type="expression" dxfId="3969" priority="117">
      <formula>B$9&gt;=20/24</formula>
    </cfRule>
    <cfRule type="expression" dxfId="3968" priority="118">
      <formula>AND(B$9&gt;=14/24,B$9&lt;20/24)</formula>
    </cfRule>
    <cfRule type="expression" dxfId="3967" priority="119">
      <formula>AND(B$9&gt;=8/24,B$9&lt;14/24)</formula>
    </cfRule>
    <cfRule type="expression" dxfId="3966" priority="120">
      <formula>B$9&lt;8/24</formula>
    </cfRule>
  </conditionalFormatting>
  <conditionalFormatting sqref="E50:AF50">
    <cfRule type="expression" dxfId="3965" priority="191">
      <formula>E50&gt;$AG50</formula>
    </cfRule>
  </conditionalFormatting>
  <conditionalFormatting sqref="P61:Z66">
    <cfRule type="expression" dxfId="3964" priority="187">
      <formula>P$9&gt;=20/24</formula>
    </cfRule>
    <cfRule type="expression" dxfId="3963" priority="188">
      <formula>AND(P$9&gt;=14/24,P$9&lt;20/24)</formula>
    </cfRule>
    <cfRule type="expression" dxfId="3962" priority="189">
      <formula>AND(P$9&gt;=8/24,P$9&lt;14/24)</formula>
    </cfRule>
    <cfRule type="expression" dxfId="3961" priority="190">
      <formula>P$9&lt;8/24</formula>
    </cfRule>
  </conditionalFormatting>
  <conditionalFormatting sqref="P61:Z66">
    <cfRule type="expression" dxfId="3960" priority="186">
      <formula>P61&gt;$AG61</formula>
    </cfRule>
  </conditionalFormatting>
  <conditionalFormatting sqref="A11">
    <cfRule type="expression" dxfId="3959" priority="181">
      <formula>$AH11=0</formula>
    </cfRule>
  </conditionalFormatting>
  <conditionalFormatting sqref="U11:AF11">
    <cfRule type="expression" dxfId="3958" priority="177">
      <formula>U$9&gt;=20/24</formula>
    </cfRule>
    <cfRule type="expression" dxfId="3957" priority="178">
      <formula>AND(U$9&gt;=14/24,U$9&lt;20/24)</formula>
    </cfRule>
    <cfRule type="expression" dxfId="3956" priority="179">
      <formula>AND(U$9&gt;=8/24,U$9&lt;14/24)</formula>
    </cfRule>
    <cfRule type="expression" dxfId="3955" priority="180">
      <formula>U$9&lt;8/24</formula>
    </cfRule>
  </conditionalFormatting>
  <conditionalFormatting sqref="U11:AF11">
    <cfRule type="expression" dxfId="3954" priority="176">
      <formula>U11&gt;$AG11</formula>
    </cfRule>
  </conditionalFormatting>
  <conditionalFormatting sqref="A18">
    <cfRule type="expression" dxfId="3953" priority="174">
      <formula>$AH18=0</formula>
    </cfRule>
  </conditionalFormatting>
  <conditionalFormatting sqref="AL1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U18:AF18">
    <cfRule type="expression" dxfId="3952" priority="170">
      <formula>U$9&gt;=20/24</formula>
    </cfRule>
    <cfRule type="expression" dxfId="3951" priority="171">
      <formula>AND(U$9&gt;=14/24,U$9&lt;20/24)</formula>
    </cfRule>
    <cfRule type="expression" dxfId="3950" priority="172">
      <formula>AND(U$9&gt;=8/24,U$9&lt;14/24)</formula>
    </cfRule>
    <cfRule type="expression" dxfId="3949" priority="173">
      <formula>U$9&lt;8/24</formula>
    </cfRule>
  </conditionalFormatting>
  <conditionalFormatting sqref="U18:AF18">
    <cfRule type="expression" dxfId="3948" priority="169">
      <formula>U18&gt;$AG18</formula>
    </cfRule>
  </conditionalFormatting>
  <conditionalFormatting sqref="A35">
    <cfRule type="expression" dxfId="3947" priority="167">
      <formula>$AH35=0</formula>
    </cfRule>
  </conditionalFormatting>
  <conditionalFormatting sqref="AL3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3946" priority="163">
      <formula>AA$9&gt;=20/24</formula>
    </cfRule>
    <cfRule type="expression" dxfId="3945" priority="164">
      <formula>AND(AA$9&gt;=14/24,AA$9&lt;20/24)</formula>
    </cfRule>
    <cfRule type="expression" dxfId="3944" priority="165">
      <formula>AND(AA$9&gt;=8/24,AA$9&lt;14/24)</formula>
    </cfRule>
    <cfRule type="expression" dxfId="3943" priority="166">
      <formula>AA$9&lt;8/24</formula>
    </cfRule>
  </conditionalFormatting>
  <conditionalFormatting sqref="AA35:AF35">
    <cfRule type="expression" dxfId="3942" priority="162">
      <formula>AA35&gt;$AG35</formula>
    </cfRule>
  </conditionalFormatting>
  <conditionalFormatting sqref="A46">
    <cfRule type="expression" dxfId="3941" priority="160">
      <formula>$AH46=0</formula>
    </cfRule>
  </conditionalFormatting>
  <conditionalFormatting sqref="AL4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3940" priority="159">
      <formula>AA46&gt;$AG46</formula>
    </cfRule>
  </conditionalFormatting>
  <conditionalFormatting sqref="AA46:AF46">
    <cfRule type="expression" dxfId="3939" priority="155">
      <formula>AA$9&gt;=20/24</formula>
    </cfRule>
    <cfRule type="expression" dxfId="3938" priority="156">
      <formula>AND(AA$9&gt;=14/24,AA$9&lt;20/24)</formula>
    </cfRule>
    <cfRule type="expression" dxfId="3937" priority="157">
      <formula>AND(AA$9&gt;=8/24,AA$9&lt;14/24)</formula>
    </cfRule>
    <cfRule type="expression" dxfId="3936" priority="158">
      <formula>AA$9&lt;8/24</formula>
    </cfRule>
  </conditionalFormatting>
  <conditionalFormatting sqref="B120">
    <cfRule type="expression" dxfId="3935" priority="27">
      <formula>B$9&gt;=20/24</formula>
    </cfRule>
    <cfRule type="expression" dxfId="3934" priority="28">
      <formula>AND(B$9&gt;=14/24,B$9&lt;20/24)</formula>
    </cfRule>
    <cfRule type="expression" dxfId="3933" priority="29">
      <formula>AND(B$9&gt;=8/24,B$9&lt;14/24)</formula>
    </cfRule>
    <cfRule type="expression" dxfId="3932" priority="30">
      <formula>B$9&lt;8/24</formula>
    </cfRule>
  </conditionalFormatting>
  <conditionalFormatting sqref="D120:AF120">
    <cfRule type="expression" dxfId="3931" priority="151">
      <formula>D$9&gt;=20/24</formula>
    </cfRule>
    <cfRule type="expression" dxfId="3930" priority="152">
      <formula>AND(D$9&gt;=14/24,D$9&lt;20/24)</formula>
    </cfRule>
    <cfRule type="expression" dxfId="3929" priority="153">
      <formula>AND(D$9&gt;=8/24,D$9&lt;14/24)</formula>
    </cfRule>
    <cfRule type="expression" dxfId="3928" priority="154">
      <formula>D$9&lt;8/24</formula>
    </cfRule>
  </conditionalFormatting>
  <conditionalFormatting sqref="C120">
    <cfRule type="expression" dxfId="3927" priority="147">
      <formula>C$9&gt;=20/24</formula>
    </cfRule>
    <cfRule type="expression" dxfId="3926" priority="148">
      <formula>AND(C$9&gt;=14/24,C$9&lt;20/24)</formula>
    </cfRule>
    <cfRule type="expression" dxfId="3925" priority="149">
      <formula>AND(C$9&gt;=8/24,C$9&lt;14/24)</formula>
    </cfRule>
    <cfRule type="expression" dxfId="3924" priority="150">
      <formula>C$9&lt;8/24</formula>
    </cfRule>
  </conditionalFormatting>
  <conditionalFormatting sqref="B111 B113:B119">
    <cfRule type="expression" dxfId="3923" priority="143">
      <formula>B$9&gt;=20/24</formula>
    </cfRule>
    <cfRule type="expression" dxfId="3922" priority="144">
      <formula>AND(B$9&gt;=14/24,B$9&lt;20/24)</formula>
    </cfRule>
    <cfRule type="expression" dxfId="3921" priority="145">
      <formula>AND(B$9&gt;=8/24,B$9&lt;14/24)</formula>
    </cfRule>
    <cfRule type="expression" dxfId="3920" priority="146">
      <formula>B$9&lt;8/24</formula>
    </cfRule>
  </conditionalFormatting>
  <conditionalFormatting sqref="B101">
    <cfRule type="expression" dxfId="3919" priority="139">
      <formula>B$9&gt;=20/24</formula>
    </cfRule>
    <cfRule type="expression" dxfId="3918" priority="140">
      <formula>AND(B$9&gt;=14/24,B$9&lt;20/24)</formula>
    </cfRule>
    <cfRule type="expression" dxfId="3917" priority="141">
      <formula>AND(B$9&gt;=8/24,B$9&lt;14/24)</formula>
    </cfRule>
    <cfRule type="expression" dxfId="3916" priority="142">
      <formula>B$9&lt;8/24</formula>
    </cfRule>
  </conditionalFormatting>
  <conditionalFormatting sqref="B73 B56:C59 D58:D59 E59">
    <cfRule type="expression" dxfId="3915" priority="135">
      <formula>B$9&gt;=20/24</formula>
    </cfRule>
    <cfRule type="expression" dxfId="3914" priority="136">
      <formula>AND(B$9&gt;=14/24,B$9&lt;20/24)</formula>
    </cfRule>
    <cfRule type="expression" dxfId="3913" priority="137">
      <formula>AND(B$9&gt;=8/24,B$9&lt;14/24)</formula>
    </cfRule>
    <cfRule type="expression" dxfId="3912" priority="138">
      <formula>B$9&lt;8/24</formula>
    </cfRule>
  </conditionalFormatting>
  <conditionalFormatting sqref="B55:C55">
    <cfRule type="expression" dxfId="3911" priority="131">
      <formula>B$9&gt;=20/24</formula>
    </cfRule>
    <cfRule type="expression" dxfId="3910" priority="132">
      <formula>AND(B$9&gt;=14/24,B$9&lt;20/24)</formula>
    </cfRule>
    <cfRule type="expression" dxfId="3909" priority="133">
      <formula>AND(B$9&gt;=8/24,B$9&lt;14/24)</formula>
    </cfRule>
    <cfRule type="expression" dxfId="3908" priority="134">
      <formula>B$9&lt;8/24</formula>
    </cfRule>
  </conditionalFormatting>
  <conditionalFormatting sqref="B55:C59 D58:D59 E59">
    <cfRule type="expression" dxfId="3907" priority="130">
      <formula>B55&gt;$AG55</formula>
    </cfRule>
  </conditionalFormatting>
  <conditionalFormatting sqref="B49:D49 B69:D71">
    <cfRule type="expression" dxfId="3906" priority="125">
      <formula>B49&gt;$AG49</formula>
    </cfRule>
  </conditionalFormatting>
  <conditionalFormatting sqref="B99 B90">
    <cfRule type="expression" dxfId="3905" priority="121">
      <formula>B$9&gt;=20/24</formula>
    </cfRule>
    <cfRule type="expression" dxfId="3904" priority="122">
      <formula>AND(B$9&gt;=14/24,B$9&lt;20/24)</formula>
    </cfRule>
    <cfRule type="expression" dxfId="3903" priority="123">
      <formula>AND(B$9&gt;=8/24,B$9&lt;14/24)</formula>
    </cfRule>
    <cfRule type="expression" dxfId="3902" priority="124">
      <formula>B$9&lt;8/24</formula>
    </cfRule>
  </conditionalFormatting>
  <conditionalFormatting sqref="B60:E60">
    <cfRule type="expression" dxfId="3901" priority="116">
      <formula>B60&gt;$AG60</formula>
    </cfRule>
  </conditionalFormatting>
  <conditionalFormatting sqref="B93:B97">
    <cfRule type="expression" dxfId="3900" priority="112">
      <formula>B$9&gt;=20/24</formula>
    </cfRule>
    <cfRule type="expression" dxfId="3899" priority="113">
      <formula>AND(B$9&gt;=14/24,B$9&lt;20/24)</formula>
    </cfRule>
    <cfRule type="expression" dxfId="3898" priority="114">
      <formula>AND(B$9&gt;=8/24,B$9&lt;14/24)</formula>
    </cfRule>
    <cfRule type="expression" dxfId="3897" priority="115">
      <formula>B$9&lt;8/24</formula>
    </cfRule>
  </conditionalFormatting>
  <conditionalFormatting sqref="B51:D53">
    <cfRule type="expression" dxfId="3896" priority="108">
      <formula>B$9&gt;=20/24</formula>
    </cfRule>
    <cfRule type="expression" dxfId="3895" priority="109">
      <formula>AND(B$9&gt;=14/24,B$9&lt;20/24)</formula>
    </cfRule>
    <cfRule type="expression" dxfId="3894" priority="110">
      <formula>AND(B$9&gt;=8/24,B$9&lt;14/24)</formula>
    </cfRule>
    <cfRule type="expression" dxfId="3893" priority="111">
      <formula>B$9&lt;8/24</formula>
    </cfRule>
  </conditionalFormatting>
  <conditionalFormatting sqref="B51:D53">
    <cfRule type="expression" dxfId="3892" priority="107">
      <formula>B51&gt;$AG51</formula>
    </cfRule>
  </conditionalFormatting>
  <conditionalFormatting sqref="B109">
    <cfRule type="expression" dxfId="3891" priority="103">
      <formula>B$9&gt;=20/24</formula>
    </cfRule>
    <cfRule type="expression" dxfId="3890" priority="104">
      <formula>AND(B$9&gt;=14/24,B$9&lt;20/24)</formula>
    </cfRule>
    <cfRule type="expression" dxfId="3889" priority="105">
      <formula>AND(B$9&gt;=8/24,B$9&lt;14/24)</formula>
    </cfRule>
    <cfRule type="expression" dxfId="3888" priority="106">
      <formula>B$9&lt;8/24</formula>
    </cfRule>
  </conditionalFormatting>
  <conditionalFormatting sqref="B112">
    <cfRule type="expression" dxfId="3887" priority="99">
      <formula>B$9&gt;=20/24</formula>
    </cfRule>
    <cfRule type="expression" dxfId="3886" priority="100">
      <formula>AND(B$9&gt;=14/24,B$9&lt;20/24)</formula>
    </cfRule>
    <cfRule type="expression" dxfId="3885" priority="101">
      <formula>AND(B$9&gt;=8/24,B$9&lt;14/24)</formula>
    </cfRule>
    <cfRule type="expression" dxfId="3884" priority="102">
      <formula>B$9&lt;8/24</formula>
    </cfRule>
  </conditionalFormatting>
  <conditionalFormatting sqref="U28:U30 T31:U34 T19:T30 B19:S34 U25:Z26 V28:Z34 B36:Z45 AA31:AF31">
    <cfRule type="expression" dxfId="3883" priority="95">
      <formula>B$9&gt;=20/24</formula>
    </cfRule>
    <cfRule type="expression" dxfId="3882" priority="96">
      <formula>AND(B$9&gt;=14/24,B$9&lt;20/24)</formula>
    </cfRule>
    <cfRule type="expression" dxfId="3881" priority="97">
      <formula>AND(B$9&gt;=8/24,B$9&lt;14/24)</formula>
    </cfRule>
    <cfRule type="expression" dxfId="3880" priority="98">
      <formula>B$9&lt;8/24</formula>
    </cfRule>
  </conditionalFormatting>
  <conditionalFormatting sqref="U28:U30 T31:U34 T19:T30 B19:S34 U25:Z26 V28:Z34 B36:Z45 AA31:AF31">
    <cfRule type="expression" dxfId="3879" priority="94">
      <formula>B19&gt;$AG19</formula>
    </cfRule>
  </conditionalFormatting>
  <conditionalFormatting sqref="B85:B87 B77:D83 E78:N83">
    <cfRule type="expression" dxfId="3878" priority="90">
      <formula>B$9&gt;=20/24</formula>
    </cfRule>
    <cfRule type="expression" dxfId="3877" priority="91">
      <formula>AND(B$9&gt;=14/24,B$9&lt;20/24)</formula>
    </cfRule>
    <cfRule type="expression" dxfId="3876" priority="92">
      <formula>AND(B$9&gt;=8/24,B$9&lt;14/24)</formula>
    </cfRule>
    <cfRule type="expression" dxfId="3875" priority="93">
      <formula>B$9&lt;8/24</formula>
    </cfRule>
  </conditionalFormatting>
  <conditionalFormatting sqref="B89 B91 B100 B72">
    <cfRule type="expression" dxfId="3874" priority="86">
      <formula>B$9&gt;=20/24</formula>
    </cfRule>
    <cfRule type="expression" dxfId="3873" priority="87">
      <formula>AND(B$9&gt;=14/24,B$9&lt;20/24)</formula>
    </cfRule>
    <cfRule type="expression" dxfId="3872" priority="88">
      <formula>AND(B$9&gt;=8/24,B$9&lt;14/24)</formula>
    </cfRule>
    <cfRule type="expression" dxfId="3871" priority="89">
      <formula>B$9&lt;8/24</formula>
    </cfRule>
  </conditionalFormatting>
  <conditionalFormatting sqref="B72 B67:C68">
    <cfRule type="expression" dxfId="3870" priority="85">
      <formula>B67&gt;$AG67</formula>
    </cfRule>
  </conditionalFormatting>
  <conditionalFormatting sqref="B84">
    <cfRule type="expression" dxfId="3869" priority="81">
      <formula>B$9&gt;=20/24</formula>
    </cfRule>
    <cfRule type="expression" dxfId="3868" priority="82">
      <formula>AND(B$9&gt;=14/24,B$9&lt;20/24)</formula>
    </cfRule>
    <cfRule type="expression" dxfId="3867" priority="83">
      <formula>AND(B$9&gt;=8/24,B$9&lt;14/24)</formula>
    </cfRule>
    <cfRule type="expression" dxfId="3866" priority="84">
      <formula>B$9&lt;8/24</formula>
    </cfRule>
  </conditionalFormatting>
  <conditionalFormatting sqref="B54:C54">
    <cfRule type="expression" dxfId="3865" priority="77">
      <formula>B$9&gt;=20/24</formula>
    </cfRule>
    <cfRule type="expression" dxfId="3864" priority="78">
      <formula>AND(B$9&gt;=14/24,B$9&lt;20/24)</formula>
    </cfRule>
    <cfRule type="expression" dxfId="3863" priority="79">
      <formula>AND(B$9&gt;=8/24,B$9&lt;14/24)</formula>
    </cfRule>
    <cfRule type="expression" dxfId="3862" priority="80">
      <formula>B$9&lt;8/24</formula>
    </cfRule>
  </conditionalFormatting>
  <conditionalFormatting sqref="B54:C54">
    <cfRule type="expression" dxfId="3861" priority="76">
      <formula>B54&gt;$AG54</formula>
    </cfRule>
  </conditionalFormatting>
  <conditionalFormatting sqref="B61:O66">
    <cfRule type="expression" dxfId="3860" priority="68">
      <formula>B$9&gt;=20/24</formula>
    </cfRule>
    <cfRule type="expression" dxfId="3859" priority="69">
      <formula>AND(B$9&gt;=14/24,B$9&lt;20/24)</formula>
    </cfRule>
    <cfRule type="expression" dxfId="3858" priority="70">
      <formula>AND(B$9&gt;=8/24,B$9&lt;14/24)</formula>
    </cfRule>
    <cfRule type="expression" dxfId="3857" priority="71">
      <formula>B$9&lt;8/24</formula>
    </cfRule>
  </conditionalFormatting>
  <conditionalFormatting sqref="B61:O66">
    <cfRule type="expression" dxfId="3856" priority="67">
      <formula>B61&gt;$AG61</formula>
    </cfRule>
  </conditionalFormatting>
  <conditionalFormatting sqref="B47:Z47">
    <cfRule type="expression" dxfId="3855" priority="66">
      <formula>B47&gt;$AG47</formula>
    </cfRule>
  </conditionalFormatting>
  <conditionalFormatting sqref="B13:T13">
    <cfRule type="expression" dxfId="3854" priority="62">
      <formula>B$9&gt;=20/24</formula>
    </cfRule>
    <cfRule type="expression" dxfId="3853" priority="63">
      <formula>AND(B$9&gt;=14/24,B$9&lt;20/24)</formula>
    </cfRule>
    <cfRule type="expression" dxfId="3852" priority="64">
      <formula>AND(B$9&gt;=8/24,B$9&lt;14/24)</formula>
    </cfRule>
    <cfRule type="expression" dxfId="3851" priority="65">
      <formula>B$9&lt;8/24</formula>
    </cfRule>
  </conditionalFormatting>
  <conditionalFormatting sqref="B13:T13">
    <cfRule type="expression" dxfId="3850" priority="61">
      <formula>B13&gt;$AG13</formula>
    </cfRule>
  </conditionalFormatting>
  <conditionalFormatting sqref="B47:Z47">
    <cfRule type="expression" dxfId="3849" priority="57">
      <formula>B$9&gt;=20/24</formula>
    </cfRule>
    <cfRule type="expression" dxfId="3848" priority="58">
      <formula>AND(B$9&gt;=14/24,B$9&lt;20/24)</formula>
    </cfRule>
    <cfRule type="expression" dxfId="3847" priority="59">
      <formula>AND(B$9&gt;=8/24,B$9&lt;14/24)</formula>
    </cfRule>
    <cfRule type="expression" dxfId="3846" priority="60">
      <formula>B$9&lt;8/24</formula>
    </cfRule>
  </conditionalFormatting>
  <conditionalFormatting sqref="B48:Z48">
    <cfRule type="expression" dxfId="3845" priority="53">
      <formula>B$9&gt;=20/24</formula>
    </cfRule>
    <cfRule type="expression" dxfId="3844" priority="54">
      <formula>AND(B$9&gt;=14/24,B$9&lt;20/24)</formula>
    </cfRule>
    <cfRule type="expression" dxfId="3843" priority="55">
      <formula>AND(B$9&gt;=8/24,B$9&lt;14/24)</formula>
    </cfRule>
    <cfRule type="expression" dxfId="3842" priority="56">
      <formula>B$9&lt;8/24</formula>
    </cfRule>
  </conditionalFormatting>
  <conditionalFormatting sqref="B48:Z48">
    <cfRule type="expression" dxfId="3841" priority="52">
      <formula>B48&gt;$AG48</formula>
    </cfRule>
  </conditionalFormatting>
  <conditionalFormatting sqref="B50:D50">
    <cfRule type="expression" dxfId="3840" priority="51">
      <formula>B50&gt;$AG50</formula>
    </cfRule>
  </conditionalFormatting>
  <conditionalFormatting sqref="B11:T11">
    <cfRule type="expression" dxfId="3839" priority="47">
      <formula>B$9&gt;=20/24</formula>
    </cfRule>
    <cfRule type="expression" dxfId="3838" priority="48">
      <formula>AND(B$9&gt;=14/24,B$9&lt;20/24)</formula>
    </cfRule>
    <cfRule type="expression" dxfId="3837" priority="49">
      <formula>AND(B$9&gt;=8/24,B$9&lt;14/24)</formula>
    </cfRule>
    <cfRule type="expression" dxfId="3836" priority="50">
      <formula>B$9&lt;8/24</formula>
    </cfRule>
  </conditionalFormatting>
  <conditionalFormatting sqref="B11:T11">
    <cfRule type="expression" dxfId="3835" priority="46">
      <formula>B11&gt;$AG11</formula>
    </cfRule>
  </conditionalFormatting>
  <conditionalFormatting sqref="B18:T18">
    <cfRule type="expression" dxfId="3834" priority="42">
      <formula>B$9&gt;=20/24</formula>
    </cfRule>
    <cfRule type="expression" dxfId="3833" priority="43">
      <formula>AND(B$9&gt;=14/24,B$9&lt;20/24)</formula>
    </cfRule>
    <cfRule type="expression" dxfId="3832" priority="44">
      <formula>AND(B$9&gt;=8/24,B$9&lt;14/24)</formula>
    </cfRule>
    <cfRule type="expression" dxfId="3831" priority="45">
      <formula>B$9&lt;8/24</formula>
    </cfRule>
  </conditionalFormatting>
  <conditionalFormatting sqref="B18:T18">
    <cfRule type="expression" dxfId="3830" priority="41">
      <formula>B18&gt;$AG18</formula>
    </cfRule>
  </conditionalFormatting>
  <conditionalFormatting sqref="B35:Z35">
    <cfRule type="expression" dxfId="3829" priority="37">
      <formula>B$9&gt;=20/24</formula>
    </cfRule>
    <cfRule type="expression" dxfId="3828" priority="38">
      <formula>AND(B$9&gt;=14/24,B$9&lt;20/24)</formula>
    </cfRule>
    <cfRule type="expression" dxfId="3827" priority="39">
      <formula>AND(B$9&gt;=8/24,B$9&lt;14/24)</formula>
    </cfRule>
    <cfRule type="expression" dxfId="3826" priority="40">
      <formula>B$9&lt;8/24</formula>
    </cfRule>
  </conditionalFormatting>
  <conditionalFormatting sqref="B35:Z35">
    <cfRule type="expression" dxfId="3825" priority="36">
      <formula>B35&gt;$AG35</formula>
    </cfRule>
  </conditionalFormatting>
  <conditionalFormatting sqref="B46:Z46">
    <cfRule type="expression" dxfId="3824" priority="35">
      <formula>B46&gt;$AG46</formula>
    </cfRule>
  </conditionalFormatting>
  <conditionalFormatting sqref="B46:Z46">
    <cfRule type="expression" dxfId="3823" priority="31">
      <formula>B$9&gt;=20/24</formula>
    </cfRule>
    <cfRule type="expression" dxfId="3822" priority="32">
      <formula>AND(B$9&gt;=14/24,B$9&lt;20/24)</formula>
    </cfRule>
    <cfRule type="expression" dxfId="3821" priority="33">
      <formula>AND(B$9&gt;=8/24,B$9&lt;14/24)</formula>
    </cfRule>
    <cfRule type="expression" dxfId="3820" priority="34">
      <formula>B$9&lt;8/24</formula>
    </cfRule>
  </conditionalFormatting>
  <conditionalFormatting sqref="AE55:AF57">
    <cfRule type="expression" dxfId="3819" priority="23">
      <formula>AE$9&gt;=20/24</formula>
    </cfRule>
    <cfRule type="expression" dxfId="3818" priority="24">
      <formula>AND(AE$9&gt;=14/24,AE$9&lt;20/24)</formula>
    </cfRule>
    <cfRule type="expression" dxfId="3817" priority="25">
      <formula>AND(AE$9&gt;=8/24,AE$9&lt;14/24)</formula>
    </cfRule>
    <cfRule type="expression" dxfId="3816" priority="26">
      <formula>AE$9&lt;8/24</formula>
    </cfRule>
  </conditionalFormatting>
  <conditionalFormatting sqref="AE55:AF57">
    <cfRule type="expression" dxfId="3815" priority="22">
      <formula>AE55&gt;$AG55</formula>
    </cfRule>
  </conditionalFormatting>
  <conditionalFormatting sqref="AE73">
    <cfRule type="expression" dxfId="3814" priority="13">
      <formula>AE$9&gt;=20/24</formula>
    </cfRule>
    <cfRule type="expression" dxfId="3813" priority="14">
      <formula>AND(AE$9&gt;=14/24,AE$9&lt;20/24)</formula>
    </cfRule>
    <cfRule type="expression" dxfId="3812" priority="15">
      <formula>AND(AE$9&gt;=8/24,AE$9&lt;14/24)</formula>
    </cfRule>
    <cfRule type="expression" dxfId="3811" priority="16">
      <formula>AE$9&lt;8/24</formula>
    </cfRule>
  </conditionalFormatting>
  <conditionalFormatting sqref="AE74:AE75">
    <cfRule type="expression" dxfId="3810" priority="9">
      <formula>AE$9&gt;=20/24</formula>
    </cfRule>
    <cfRule type="expression" dxfId="3809" priority="10">
      <formula>AND(AE$9&gt;=14/24,AE$9&lt;20/24)</formula>
    </cfRule>
    <cfRule type="expression" dxfId="3808" priority="11">
      <formula>AND(AE$9&gt;=8/24,AE$9&lt;14/24)</formula>
    </cfRule>
    <cfRule type="expression" dxfId="3807" priority="12">
      <formula>AE$9&lt;8/24</formula>
    </cfRule>
  </conditionalFormatting>
  <conditionalFormatting sqref="AE76:AF78">
    <cfRule type="expression" dxfId="3806" priority="5">
      <formula>AE$9&gt;=20/24</formula>
    </cfRule>
    <cfRule type="expression" dxfId="3805" priority="6">
      <formula>AND(AE$9&gt;=14/24,AE$9&lt;20/24)</formula>
    </cfRule>
    <cfRule type="expression" dxfId="3804" priority="7">
      <formula>AND(AE$9&gt;=8/24,AE$9&lt;14/24)</formula>
    </cfRule>
    <cfRule type="expression" dxfId="3803" priority="8">
      <formula>AE$9&lt;8/24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6" id="{D0528449-171A-4CF1-BD1B-86CFDC7F95F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7" id="{7195CB3F-7E76-4882-9479-7498DF99C2C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8" id="{6634BA1F-1C40-4CAE-AF8E-000C346D021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9" id="{00CB388D-12DE-4D8E-98C1-2B1208E562E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2" id="{9F125870-E697-4987-AEDA-2410C0D8245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B54CA0E6-4B38-4FB9-A36E-41EB39AED6E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65BC6B13-F3A3-48AF-9E26-422CBBA3CCF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25F4422C-277E-43BD-A111-1DDA4A19FDE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4"/>
  <dimension ref="A1:CJ281"/>
  <sheetViews>
    <sheetView zoomScaleNormal="100" workbookViewId="0">
      <pane xSplit="1" ySplit="10" topLeftCell="J113" activePane="bottomRight" state="frozen"/>
      <selection pane="topRight" activeCell="B1" sqref="B1"/>
      <selection pane="bottomLeft" activeCell="A11" sqref="A11"/>
      <selection pane="bottomRight" activeCell="AF124" sqref="AF12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6" width="6.42578125" style="1" bestFit="1" customWidth="1"/>
    <col min="7" max="7" width="7.5703125" style="1" customWidth="1"/>
    <col min="8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2080/02/26</v>
      </c>
      <c r="C4" s="191"/>
      <c r="D4" s="191"/>
      <c r="E4" s="192" t="str">
        <f ca="1">"2079/"&amp;"12/"&amp;INT(MID(CELL("filename",G6),FIND("]",CELL("filename",G6))+1,200))</f>
        <v>2079/12/26</v>
      </c>
      <c r="F4" s="192"/>
      <c r="G4" s="192"/>
      <c r="H4" s="192" t="str">
        <f ca="1">TEXT(E4,"dddd")</f>
        <v>Tuesday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172</v>
      </c>
      <c r="C5" s="30">
        <f t="shared" si="0"/>
        <v>159.69999999999999</v>
      </c>
      <c r="D5" s="30">
        <f t="shared" si="0"/>
        <v>79.5</v>
      </c>
      <c r="E5" s="30">
        <f t="shared" si="0"/>
        <v>181.5</v>
      </c>
      <c r="F5" s="30">
        <f t="shared" si="0"/>
        <v>274.8</v>
      </c>
      <c r="G5" s="30">
        <f t="shared" si="0"/>
        <v>321.5</v>
      </c>
      <c r="H5" s="30">
        <f t="shared" si="0"/>
        <v>335.5</v>
      </c>
      <c r="I5" s="30">
        <f t="shared" si="0"/>
        <v>335.5</v>
      </c>
      <c r="J5" s="30">
        <f t="shared" si="0"/>
        <v>412.6</v>
      </c>
      <c r="K5" s="30">
        <f t="shared" si="0"/>
        <v>307.5</v>
      </c>
      <c r="L5" s="30">
        <f t="shared" si="0"/>
        <v>329.5</v>
      </c>
      <c r="M5" s="30">
        <f t="shared" si="0"/>
        <v>503.5</v>
      </c>
      <c r="N5" s="30">
        <f t="shared" si="0"/>
        <v>499.09999999999997</v>
      </c>
      <c r="O5" s="30">
        <f t="shared" si="0"/>
        <v>493.9</v>
      </c>
      <c r="P5" s="30">
        <f t="shared" si="0"/>
        <v>448.29999999999995</v>
      </c>
      <c r="Q5" s="30">
        <f t="shared" si="0"/>
        <v>445.9</v>
      </c>
      <c r="R5" s="30">
        <f t="shared" si="0"/>
        <v>475.5</v>
      </c>
      <c r="S5" s="30">
        <f t="shared" si="0"/>
        <v>517.5</v>
      </c>
      <c r="T5" s="30">
        <f t="shared" si="0"/>
        <v>468.1</v>
      </c>
      <c r="U5" s="30">
        <f t="shared" si="0"/>
        <v>484.20000000000005</v>
      </c>
      <c r="V5" s="30">
        <f t="shared" si="0"/>
        <v>450.6</v>
      </c>
      <c r="W5" s="30">
        <f t="shared" si="0"/>
        <v>413.2</v>
      </c>
      <c r="X5" s="30">
        <f t="shared" si="0"/>
        <v>399.40000000000003</v>
      </c>
      <c r="Y5" s="30">
        <f t="shared" si="0"/>
        <v>433.3</v>
      </c>
      <c r="Z5" s="30">
        <f t="shared" si="0"/>
        <v>132.30000000000001</v>
      </c>
      <c r="AA5" s="30">
        <f t="shared" si="0"/>
        <v>106.7</v>
      </c>
      <c r="AB5" s="30">
        <f t="shared" si="0"/>
        <v>104.2</v>
      </c>
      <c r="AC5" s="30">
        <f t="shared" si="0"/>
        <v>105.69999999999999</v>
      </c>
      <c r="AD5" s="30">
        <f t="shared" si="0"/>
        <v>103.6</v>
      </c>
      <c r="AE5" s="30">
        <f t="shared" si="0"/>
        <v>110.4</v>
      </c>
      <c r="AF5" s="30">
        <f>B84</f>
        <v>181.5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1830MW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Load=1538</v>
      </c>
      <c r="B7" s="35">
        <f t="shared" ref="B7:AF7" si="1">B91</f>
        <v>1698.3400000000001</v>
      </c>
      <c r="C7" s="35">
        <f t="shared" si="1"/>
        <v>1668.64</v>
      </c>
      <c r="D7" s="35">
        <f t="shared" si="1"/>
        <v>1673.4400000000003</v>
      </c>
      <c r="E7" s="35">
        <f t="shared" si="1"/>
        <v>1537.7400000000002</v>
      </c>
      <c r="F7" s="35">
        <f t="shared" si="1"/>
        <v>1606.7400000000002</v>
      </c>
      <c r="G7" s="35">
        <f t="shared" si="1"/>
        <v>1563.0400000000002</v>
      </c>
      <c r="H7" s="35">
        <f t="shared" si="1"/>
        <v>1539.7400000000002</v>
      </c>
      <c r="I7" s="35">
        <f t="shared" si="1"/>
        <v>1545.9400000000003</v>
      </c>
      <c r="J7" s="35">
        <f t="shared" si="1"/>
        <v>1569.7400000000002</v>
      </c>
      <c r="K7" s="35">
        <f t="shared" si="1"/>
        <v>1546.04</v>
      </c>
      <c r="L7" s="35">
        <f t="shared" si="1"/>
        <v>1626.5400000000002</v>
      </c>
      <c r="M7" s="35">
        <f t="shared" si="1"/>
        <v>1693.5400000000002</v>
      </c>
      <c r="N7" s="35">
        <f>N91</f>
        <v>1830.14</v>
      </c>
      <c r="O7" s="35">
        <f t="shared" si="1"/>
        <v>1834.14</v>
      </c>
      <c r="P7" s="35">
        <f t="shared" si="1"/>
        <v>1902.6400000000003</v>
      </c>
      <c r="Q7" s="35">
        <f t="shared" si="1"/>
        <v>1938.8400000000001</v>
      </c>
      <c r="R7" s="35">
        <f t="shared" si="1"/>
        <v>1942.2400000000002</v>
      </c>
      <c r="S7" s="35">
        <f t="shared" si="1"/>
        <v>1856.44</v>
      </c>
      <c r="T7" s="35">
        <f t="shared" si="1"/>
        <v>1828.44</v>
      </c>
      <c r="U7" s="35">
        <f t="shared" si="1"/>
        <v>1838.1399999999999</v>
      </c>
      <c r="V7" s="35">
        <f t="shared" si="1"/>
        <v>1768.2400000000002</v>
      </c>
      <c r="W7" s="35">
        <f t="shared" si="1"/>
        <v>1766.7400000000002</v>
      </c>
      <c r="X7" s="35">
        <f t="shared" si="1"/>
        <v>1729.3400000000001</v>
      </c>
      <c r="Y7" s="35">
        <f t="shared" si="1"/>
        <v>1710.3400000000001</v>
      </c>
      <c r="Z7" s="35">
        <f t="shared" si="1"/>
        <v>1782.24</v>
      </c>
      <c r="AA7" s="35">
        <f t="shared" si="1"/>
        <v>1932.44</v>
      </c>
      <c r="AB7" s="35">
        <f t="shared" si="1"/>
        <v>1925.1399999999999</v>
      </c>
      <c r="AC7" s="35">
        <f t="shared" si="1"/>
        <v>1864.84</v>
      </c>
      <c r="AD7" s="35">
        <f t="shared" si="1"/>
        <v>1786.34</v>
      </c>
      <c r="AE7" s="35">
        <f t="shared" si="1"/>
        <v>1734.2399999999998</v>
      </c>
      <c r="AF7" s="35">
        <f t="shared" si="1"/>
        <v>1737.6399999999999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21.8</v>
      </c>
      <c r="C11" s="45">
        <v>25</v>
      </c>
      <c r="D11" s="45">
        <v>25</v>
      </c>
      <c r="E11" s="45">
        <v>25</v>
      </c>
      <c r="F11" s="45">
        <v>25</v>
      </c>
      <c r="G11" s="45">
        <v>25</v>
      </c>
      <c r="H11" s="45">
        <v>25</v>
      </c>
      <c r="I11" s="45">
        <v>25</v>
      </c>
      <c r="J11" s="45">
        <v>25</v>
      </c>
      <c r="K11" s="45">
        <v>25</v>
      </c>
      <c r="L11" s="45">
        <v>25</v>
      </c>
      <c r="M11" s="45">
        <v>30</v>
      </c>
      <c r="N11" s="45">
        <v>30</v>
      </c>
      <c r="O11" s="45">
        <v>24.6</v>
      </c>
      <c r="P11" s="45">
        <v>24.6</v>
      </c>
      <c r="Q11" s="45">
        <v>28.3</v>
      </c>
      <c r="R11" s="45">
        <v>27.3</v>
      </c>
      <c r="S11" s="45">
        <v>27.3</v>
      </c>
      <c r="T11" s="45">
        <v>27.3</v>
      </c>
      <c r="U11" s="45">
        <v>27.6</v>
      </c>
      <c r="V11" s="45">
        <v>27.6</v>
      </c>
      <c r="W11" s="45">
        <v>27.6</v>
      </c>
      <c r="X11" s="45">
        <v>27.6</v>
      </c>
      <c r="Y11" s="45">
        <v>27.6</v>
      </c>
      <c r="Z11" s="45">
        <v>27.6</v>
      </c>
      <c r="AA11" s="45">
        <v>27.6</v>
      </c>
      <c r="AB11" s="45">
        <v>25.2</v>
      </c>
      <c r="AC11" s="45">
        <v>25.2</v>
      </c>
      <c r="AD11" s="45">
        <v>25.2</v>
      </c>
      <c r="AE11" s="45">
        <v>25.2</v>
      </c>
      <c r="AF11" s="45">
        <v>25.2</v>
      </c>
      <c r="AG11" s="46">
        <v>86</v>
      </c>
      <c r="AH11" s="47">
        <f t="shared" ref="AH11:AH76" si="2">MAX(B11:AF11)</f>
        <v>30</v>
      </c>
      <c r="AI11" s="48">
        <f t="shared" ref="AI11:AI76" si="3">MIN(B11:AF11)</f>
        <v>21.8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25</v>
      </c>
      <c r="C12" s="45">
        <v>25</v>
      </c>
      <c r="D12" s="45">
        <v>25</v>
      </c>
      <c r="E12" s="45">
        <v>25</v>
      </c>
      <c r="F12" s="45">
        <v>25</v>
      </c>
      <c r="G12" s="45">
        <v>25</v>
      </c>
      <c r="H12" s="45">
        <v>25</v>
      </c>
      <c r="I12" s="45">
        <v>25</v>
      </c>
      <c r="J12" s="45">
        <v>25</v>
      </c>
      <c r="K12" s="45">
        <v>25</v>
      </c>
      <c r="L12" s="45">
        <v>25</v>
      </c>
      <c r="M12" s="45">
        <v>25</v>
      </c>
      <c r="N12" s="45">
        <v>25</v>
      </c>
      <c r="O12" s="45">
        <v>25</v>
      </c>
      <c r="P12" s="45">
        <v>25</v>
      </c>
      <c r="Q12" s="45">
        <v>25</v>
      </c>
      <c r="R12" s="45">
        <v>25</v>
      </c>
      <c r="S12" s="45">
        <v>25</v>
      </c>
      <c r="T12" s="45">
        <v>25</v>
      </c>
      <c r="U12" s="45">
        <v>33</v>
      </c>
      <c r="V12" s="45">
        <v>33</v>
      </c>
      <c r="W12" s="45">
        <v>33</v>
      </c>
      <c r="X12" s="45">
        <v>33</v>
      </c>
      <c r="Y12" s="45">
        <v>33</v>
      </c>
      <c r="Z12" s="45">
        <v>33</v>
      </c>
      <c r="AA12" s="45">
        <v>33</v>
      </c>
      <c r="AB12" s="45">
        <v>33</v>
      </c>
      <c r="AC12" s="45">
        <v>33</v>
      </c>
      <c r="AD12" s="45">
        <v>33</v>
      </c>
      <c r="AE12" s="45">
        <v>33</v>
      </c>
      <c r="AF12" s="45">
        <v>33</v>
      </c>
      <c r="AG12" s="50">
        <v>54</v>
      </c>
      <c r="AH12" s="47">
        <f t="shared" si="2"/>
        <v>33</v>
      </c>
      <c r="AI12" s="48">
        <f t="shared" si="3"/>
        <v>25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28</v>
      </c>
      <c r="C13" s="45">
        <v>27.6</v>
      </c>
      <c r="D13" s="45">
        <v>26</v>
      </c>
      <c r="E13" s="45">
        <v>26</v>
      </c>
      <c r="F13" s="45">
        <v>26</v>
      </c>
      <c r="G13" s="45">
        <v>26</v>
      </c>
      <c r="H13" s="45">
        <v>26</v>
      </c>
      <c r="I13" s="45">
        <v>26</v>
      </c>
      <c r="J13" s="45">
        <v>26</v>
      </c>
      <c r="K13" s="45">
        <v>26</v>
      </c>
      <c r="L13" s="45">
        <v>26</v>
      </c>
      <c r="M13" s="45">
        <v>26</v>
      </c>
      <c r="N13" s="45">
        <v>26</v>
      </c>
      <c r="O13" s="45">
        <v>26</v>
      </c>
      <c r="P13" s="45">
        <v>26</v>
      </c>
      <c r="Q13" s="45">
        <v>26</v>
      </c>
      <c r="R13" s="45">
        <v>26</v>
      </c>
      <c r="S13" s="45">
        <v>26</v>
      </c>
      <c r="T13" s="45">
        <v>26</v>
      </c>
      <c r="U13" s="45">
        <v>26</v>
      </c>
      <c r="V13" s="45">
        <v>26</v>
      </c>
      <c r="W13" s="45">
        <v>26</v>
      </c>
      <c r="X13" s="45">
        <v>26</v>
      </c>
      <c r="Y13" s="45">
        <v>22.1</v>
      </c>
      <c r="Z13" s="45">
        <v>22.1</v>
      </c>
      <c r="AA13" s="45">
        <v>22.1</v>
      </c>
      <c r="AB13" s="45">
        <v>17</v>
      </c>
      <c r="AC13" s="45">
        <v>18.100000000000001</v>
      </c>
      <c r="AD13" s="45">
        <v>18.100000000000001</v>
      </c>
      <c r="AE13" s="45">
        <v>18.100000000000001</v>
      </c>
      <c r="AF13" s="45">
        <v>21</v>
      </c>
      <c r="AG13" s="46">
        <v>52.4</v>
      </c>
      <c r="AH13" s="47">
        <f t="shared" si="2"/>
        <v>28</v>
      </c>
      <c r="AI13" s="48">
        <f t="shared" si="3"/>
        <v>17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50.4</v>
      </c>
      <c r="C14" s="58">
        <v>50.4</v>
      </c>
      <c r="D14" s="58">
        <v>50.4</v>
      </c>
      <c r="E14" s="58">
        <v>50.4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>
        <v>50.4</v>
      </c>
      <c r="O14" s="58">
        <v>50.4</v>
      </c>
      <c r="P14" s="58">
        <v>50.4</v>
      </c>
      <c r="Q14" s="58">
        <v>50.4</v>
      </c>
      <c r="R14" s="58">
        <v>50.4</v>
      </c>
      <c r="S14" s="58">
        <v>50.4</v>
      </c>
      <c r="T14" s="58">
        <v>50.4</v>
      </c>
      <c r="U14" s="58">
        <v>50.4</v>
      </c>
      <c r="V14" s="58">
        <v>50.4</v>
      </c>
      <c r="W14" s="58">
        <v>50.4</v>
      </c>
      <c r="X14" s="58">
        <v>50.4</v>
      </c>
      <c r="Y14" s="58">
        <v>50.4</v>
      </c>
      <c r="Z14" s="58">
        <v>50.4</v>
      </c>
      <c r="AA14" s="45">
        <v>50.4</v>
      </c>
      <c r="AB14" s="45">
        <v>50.4</v>
      </c>
      <c r="AC14" s="45">
        <v>50.5</v>
      </c>
      <c r="AD14" s="45">
        <v>50.5</v>
      </c>
      <c r="AE14" s="45">
        <v>50.5</v>
      </c>
      <c r="AF14" s="45">
        <v>50.5</v>
      </c>
      <c r="AG14" s="50">
        <v>50</v>
      </c>
      <c r="AH14" s="47">
        <f t="shared" si="2"/>
        <v>50.5</v>
      </c>
      <c r="AI14" s="48">
        <f t="shared" si="3"/>
        <v>50.4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34</v>
      </c>
      <c r="C15" s="45">
        <v>34</v>
      </c>
      <c r="D15" s="45">
        <v>33.700000000000003</v>
      </c>
      <c r="E15" s="45">
        <v>33.700000000000003</v>
      </c>
      <c r="F15" s="45">
        <v>33.700000000000003</v>
      </c>
      <c r="G15" s="45">
        <v>33.700000000000003</v>
      </c>
      <c r="H15" s="45">
        <v>33.700000000000003</v>
      </c>
      <c r="I15" s="45">
        <v>33.700000000000003</v>
      </c>
      <c r="J15" s="45">
        <v>33.700000000000003</v>
      </c>
      <c r="K15" s="45">
        <v>33.700000000000003</v>
      </c>
      <c r="L15" s="45">
        <v>33.700000000000003</v>
      </c>
      <c r="M15" s="45">
        <v>33.700000000000003</v>
      </c>
      <c r="N15" s="45">
        <v>33.700000000000003</v>
      </c>
      <c r="O15" s="45">
        <v>33.700000000000003</v>
      </c>
      <c r="P15" s="45">
        <v>33.700000000000003</v>
      </c>
      <c r="Q15" s="45">
        <v>33.700000000000003</v>
      </c>
      <c r="R15" s="45">
        <v>33.700000000000003</v>
      </c>
      <c r="S15" s="45">
        <v>33.700000000000003</v>
      </c>
      <c r="T15" s="45">
        <v>33.700000000000003</v>
      </c>
      <c r="U15" s="45">
        <v>33.700000000000003</v>
      </c>
      <c r="V15" s="45">
        <v>33.700000000000003</v>
      </c>
      <c r="W15" s="45">
        <v>33.700000000000003</v>
      </c>
      <c r="X15" s="45">
        <v>33.700000000000003</v>
      </c>
      <c r="Y15" s="45">
        <v>33.200000000000003</v>
      </c>
      <c r="Z15" s="45">
        <v>33.200000000000003</v>
      </c>
      <c r="AA15" s="45">
        <v>33.200000000000003</v>
      </c>
      <c r="AB15" s="45">
        <v>35.299999999999997</v>
      </c>
      <c r="AC15" s="45">
        <v>36.200000000000003</v>
      </c>
      <c r="AD15" s="45">
        <v>36.200000000000003</v>
      </c>
      <c r="AE15" s="45">
        <v>36.200000000000003</v>
      </c>
      <c r="AF15" s="45">
        <v>39.1</v>
      </c>
      <c r="AG15" s="50">
        <v>45</v>
      </c>
      <c r="AH15" s="47">
        <f t="shared" si="2"/>
        <v>39.1</v>
      </c>
      <c r="AI15" s="48">
        <f t="shared" si="3"/>
        <v>33.200000000000003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28.6</v>
      </c>
      <c r="C16" s="45">
        <v>28.6</v>
      </c>
      <c r="D16" s="45">
        <v>28.6</v>
      </c>
      <c r="E16" s="45">
        <v>28.6</v>
      </c>
      <c r="F16" s="45">
        <v>28.6</v>
      </c>
      <c r="G16" s="45">
        <v>28.6</v>
      </c>
      <c r="H16" s="45">
        <v>28.6</v>
      </c>
      <c r="I16" s="45">
        <v>28.6</v>
      </c>
      <c r="J16" s="45">
        <v>28.6</v>
      </c>
      <c r="K16" s="45">
        <v>28.6</v>
      </c>
      <c r="L16" s="45">
        <v>28.6</v>
      </c>
      <c r="M16" s="45">
        <v>28.6</v>
      </c>
      <c r="N16" s="45">
        <v>28.6</v>
      </c>
      <c r="O16" s="45">
        <v>28.6</v>
      </c>
      <c r="P16" s="45">
        <v>28.6</v>
      </c>
      <c r="Q16" s="45">
        <v>28.6</v>
      </c>
      <c r="R16" s="45">
        <v>28.6</v>
      </c>
      <c r="S16" s="45">
        <v>28.6</v>
      </c>
      <c r="T16" s="45">
        <v>28.6</v>
      </c>
      <c r="U16" s="45">
        <v>28.6</v>
      </c>
      <c r="V16" s="45">
        <v>28.6</v>
      </c>
      <c r="W16" s="45">
        <v>28.6</v>
      </c>
      <c r="X16" s="45">
        <v>28.6</v>
      </c>
      <c r="Y16" s="45">
        <v>28.6</v>
      </c>
      <c r="Z16" s="45">
        <v>28.6</v>
      </c>
      <c r="AA16" s="45">
        <v>28.6</v>
      </c>
      <c r="AB16" s="45">
        <v>40.4</v>
      </c>
      <c r="AC16" s="45">
        <v>40.4</v>
      </c>
      <c r="AD16" s="45">
        <v>40.4</v>
      </c>
      <c r="AE16" s="45">
        <v>40.4</v>
      </c>
      <c r="AF16" s="45">
        <v>41</v>
      </c>
      <c r="AG16" s="50">
        <v>44</v>
      </c>
      <c r="AH16" s="47">
        <f>MAX(B16:AG16)</f>
        <v>44</v>
      </c>
      <c r="AI16" s="48">
        <f>MIN(B16:AG16)</f>
        <v>28.6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30</v>
      </c>
      <c r="C17" s="45">
        <v>30</v>
      </c>
      <c r="D17" s="45">
        <v>29</v>
      </c>
      <c r="E17" s="45">
        <v>29</v>
      </c>
      <c r="F17" s="45">
        <v>29</v>
      </c>
      <c r="G17" s="45">
        <v>29</v>
      </c>
      <c r="H17" s="45">
        <v>29</v>
      </c>
      <c r="I17" s="45">
        <v>29</v>
      </c>
      <c r="J17" s="45">
        <v>29</v>
      </c>
      <c r="K17" s="45">
        <v>29</v>
      </c>
      <c r="L17" s="45">
        <v>29</v>
      </c>
      <c r="M17" s="45">
        <v>29</v>
      </c>
      <c r="N17" s="45">
        <v>29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29</v>
      </c>
      <c r="V17" s="45">
        <v>29</v>
      </c>
      <c r="W17" s="45">
        <v>29</v>
      </c>
      <c r="X17" s="45">
        <v>29</v>
      </c>
      <c r="Y17" s="45">
        <v>38</v>
      </c>
      <c r="Z17" s="45">
        <v>38</v>
      </c>
      <c r="AA17" s="45">
        <v>38</v>
      </c>
      <c r="AB17" s="45">
        <v>38.1</v>
      </c>
      <c r="AC17" s="45">
        <v>38</v>
      </c>
      <c r="AD17" s="45">
        <v>38</v>
      </c>
      <c r="AE17" s="45">
        <v>38</v>
      </c>
      <c r="AF17" s="45">
        <v>36</v>
      </c>
      <c r="AG17" s="50">
        <v>42</v>
      </c>
      <c r="AH17" s="47">
        <f t="shared" si="2"/>
        <v>38.1</v>
      </c>
      <c r="AI17" s="48">
        <f t="shared" si="3"/>
        <v>29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14.4</v>
      </c>
      <c r="C19" s="45">
        <v>14.4</v>
      </c>
      <c r="D19" s="45">
        <v>14.4</v>
      </c>
      <c r="E19" s="45">
        <v>14.4</v>
      </c>
      <c r="F19" s="45">
        <v>14.4</v>
      </c>
      <c r="G19" s="45">
        <v>14.4</v>
      </c>
      <c r="H19" s="45">
        <v>14.4</v>
      </c>
      <c r="I19" s="45">
        <v>14.4</v>
      </c>
      <c r="J19" s="45">
        <v>14.4</v>
      </c>
      <c r="K19" s="45">
        <v>14.4</v>
      </c>
      <c r="L19" s="45">
        <v>14.4</v>
      </c>
      <c r="M19" s="45">
        <v>14.4</v>
      </c>
      <c r="N19" s="45">
        <v>14.4</v>
      </c>
      <c r="O19" s="45">
        <v>14.4</v>
      </c>
      <c r="P19" s="45">
        <v>14.4</v>
      </c>
      <c r="Q19" s="45">
        <v>14.4</v>
      </c>
      <c r="R19" s="45">
        <v>14.4</v>
      </c>
      <c r="S19" s="45">
        <v>14.4</v>
      </c>
      <c r="T19" s="45">
        <v>14.4</v>
      </c>
      <c r="U19" s="45">
        <v>14.4</v>
      </c>
      <c r="V19" s="45">
        <v>14.4</v>
      </c>
      <c r="W19" s="45">
        <v>14.4</v>
      </c>
      <c r="X19" s="45">
        <v>14.4</v>
      </c>
      <c r="Y19" s="45">
        <v>14.4</v>
      </c>
      <c r="Z19" s="45">
        <v>14.4</v>
      </c>
      <c r="AA19" s="45">
        <v>14.4</v>
      </c>
      <c r="AB19" s="45">
        <v>14.4</v>
      </c>
      <c r="AC19" s="45">
        <v>14.4</v>
      </c>
      <c r="AD19" s="45">
        <v>14.4</v>
      </c>
      <c r="AE19" s="45">
        <v>14.4</v>
      </c>
      <c r="AF19" s="45">
        <v>14.4</v>
      </c>
      <c r="AG19" s="50">
        <v>36</v>
      </c>
      <c r="AH19" s="47">
        <f t="shared" si="2"/>
        <v>14.4</v>
      </c>
      <c r="AI19" s="48">
        <f t="shared" si="3"/>
        <v>14.4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19</v>
      </c>
      <c r="C20" s="45">
        <v>19</v>
      </c>
      <c r="D20" s="45">
        <v>16</v>
      </c>
      <c r="E20" s="45">
        <v>16</v>
      </c>
      <c r="F20" s="45">
        <v>16</v>
      </c>
      <c r="G20" s="45">
        <v>16</v>
      </c>
      <c r="H20" s="45">
        <v>16</v>
      </c>
      <c r="I20" s="45">
        <v>16</v>
      </c>
      <c r="J20" s="45">
        <v>16</v>
      </c>
      <c r="K20" s="45">
        <v>16</v>
      </c>
      <c r="L20" s="45">
        <v>16</v>
      </c>
      <c r="M20" s="45">
        <v>16</v>
      </c>
      <c r="N20" s="45">
        <v>16</v>
      </c>
      <c r="O20" s="45">
        <v>16</v>
      </c>
      <c r="P20" s="45">
        <v>16</v>
      </c>
      <c r="Q20" s="45">
        <v>16</v>
      </c>
      <c r="R20" s="45">
        <v>16</v>
      </c>
      <c r="S20" s="45">
        <v>16</v>
      </c>
      <c r="T20" s="45">
        <v>16</v>
      </c>
      <c r="U20" s="45">
        <v>16</v>
      </c>
      <c r="V20" s="45">
        <v>16</v>
      </c>
      <c r="W20" s="45">
        <v>16</v>
      </c>
      <c r="X20" s="45">
        <v>16</v>
      </c>
      <c r="Y20" s="45">
        <v>18.100000000000001</v>
      </c>
      <c r="Z20" s="45">
        <v>18.100000000000001</v>
      </c>
      <c r="AA20" s="45">
        <v>18.100000000000001</v>
      </c>
      <c r="AB20" s="45">
        <v>21</v>
      </c>
      <c r="AC20" s="45">
        <v>21.4</v>
      </c>
      <c r="AD20" s="45">
        <v>21.4</v>
      </c>
      <c r="AE20" s="45">
        <v>21.4</v>
      </c>
      <c r="AF20" s="45">
        <v>28.2</v>
      </c>
      <c r="AG20" s="51">
        <v>30</v>
      </c>
      <c r="AH20" s="47">
        <f t="shared" si="2"/>
        <v>28.2</v>
      </c>
      <c r="AI20" s="48">
        <f t="shared" si="3"/>
        <v>16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14.6</v>
      </c>
      <c r="C21" s="45">
        <v>14.6</v>
      </c>
      <c r="D21" s="45">
        <v>14.6</v>
      </c>
      <c r="E21" s="45">
        <v>14.6</v>
      </c>
      <c r="F21" s="45">
        <v>14.6</v>
      </c>
      <c r="G21" s="45">
        <v>14.6</v>
      </c>
      <c r="H21" s="45">
        <v>14.6</v>
      </c>
      <c r="I21" s="45">
        <v>14.6</v>
      </c>
      <c r="J21" s="45">
        <v>14.6</v>
      </c>
      <c r="K21" s="45">
        <v>14.6</v>
      </c>
      <c r="L21" s="45">
        <v>14.6</v>
      </c>
      <c r="M21" s="45">
        <v>14.6</v>
      </c>
      <c r="N21" s="45">
        <v>14.6</v>
      </c>
      <c r="O21" s="45">
        <v>14.6</v>
      </c>
      <c r="P21" s="45">
        <v>14.6</v>
      </c>
      <c r="Q21" s="45">
        <v>14.6</v>
      </c>
      <c r="R21" s="45">
        <v>14.6</v>
      </c>
      <c r="S21" s="45">
        <v>14.6</v>
      </c>
      <c r="T21" s="45">
        <v>14.6</v>
      </c>
      <c r="U21" s="45">
        <v>14.6</v>
      </c>
      <c r="V21" s="45">
        <v>14.6</v>
      </c>
      <c r="W21" s="45">
        <v>14.6</v>
      </c>
      <c r="X21" s="45">
        <v>14.6</v>
      </c>
      <c r="Y21" s="45">
        <v>7.4</v>
      </c>
      <c r="Z21" s="45">
        <v>7.4</v>
      </c>
      <c r="AA21" s="45">
        <v>7.4</v>
      </c>
      <c r="AB21" s="45">
        <v>12</v>
      </c>
      <c r="AC21" s="45">
        <v>12</v>
      </c>
      <c r="AD21" s="45">
        <v>12</v>
      </c>
      <c r="AE21" s="45">
        <v>12</v>
      </c>
      <c r="AF21" s="45">
        <v>13.2</v>
      </c>
      <c r="AG21" s="50">
        <v>24.2</v>
      </c>
      <c r="AH21" s="47">
        <f t="shared" si="2"/>
        <v>14.6</v>
      </c>
      <c r="AI21" s="48">
        <f t="shared" si="3"/>
        <v>7.4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28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12</v>
      </c>
      <c r="C23" s="45">
        <v>12</v>
      </c>
      <c r="D23" s="45">
        <v>12</v>
      </c>
      <c r="E23" s="45">
        <v>12</v>
      </c>
      <c r="F23" s="45">
        <v>12</v>
      </c>
      <c r="G23" s="45">
        <v>12</v>
      </c>
      <c r="H23" s="45">
        <v>12</v>
      </c>
      <c r="I23" s="45">
        <v>12</v>
      </c>
      <c r="J23" s="45">
        <v>12</v>
      </c>
      <c r="K23" s="45">
        <v>12</v>
      </c>
      <c r="L23" s="45">
        <v>12</v>
      </c>
      <c r="M23" s="45">
        <v>12</v>
      </c>
      <c r="N23" s="45">
        <v>12</v>
      </c>
      <c r="O23" s="45">
        <v>12</v>
      </c>
      <c r="P23" s="45">
        <v>12</v>
      </c>
      <c r="Q23" s="45">
        <v>12</v>
      </c>
      <c r="R23" s="45">
        <v>12</v>
      </c>
      <c r="S23" s="45">
        <v>12</v>
      </c>
      <c r="T23" s="45">
        <v>12</v>
      </c>
      <c r="U23" s="45">
        <v>12</v>
      </c>
      <c r="V23" s="45">
        <v>12</v>
      </c>
      <c r="W23" s="45">
        <v>12</v>
      </c>
      <c r="X23" s="45">
        <v>12</v>
      </c>
      <c r="Y23" s="45">
        <v>12</v>
      </c>
      <c r="Z23" s="45">
        <v>12</v>
      </c>
      <c r="AA23" s="45">
        <v>12</v>
      </c>
      <c r="AB23" s="45">
        <v>12</v>
      </c>
      <c r="AC23" s="45">
        <v>12</v>
      </c>
      <c r="AD23" s="45">
        <v>12</v>
      </c>
      <c r="AE23" s="45">
        <v>12</v>
      </c>
      <c r="AF23" s="45">
        <v>12</v>
      </c>
      <c r="AG23" s="51">
        <v>30</v>
      </c>
      <c r="AH23" s="47">
        <f t="shared" si="2"/>
        <v>12</v>
      </c>
      <c r="AI23" s="48">
        <f t="shared" si="3"/>
        <v>12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14.2</v>
      </c>
      <c r="C24" s="45">
        <v>14.2</v>
      </c>
      <c r="D24" s="45">
        <v>14.2</v>
      </c>
      <c r="E24" s="45">
        <v>14.2</v>
      </c>
      <c r="F24" s="45">
        <v>14.2</v>
      </c>
      <c r="G24" s="45">
        <v>14.2</v>
      </c>
      <c r="H24" s="45">
        <v>14.2</v>
      </c>
      <c r="I24" s="45">
        <v>14.2</v>
      </c>
      <c r="J24" s="45">
        <v>14.2</v>
      </c>
      <c r="K24" s="45">
        <v>14.2</v>
      </c>
      <c r="L24" s="45">
        <v>14.2</v>
      </c>
      <c r="M24" s="45">
        <v>14.2</v>
      </c>
      <c r="N24" s="45">
        <v>14.2</v>
      </c>
      <c r="O24" s="45">
        <v>14.2</v>
      </c>
      <c r="P24" s="45">
        <v>14.2</v>
      </c>
      <c r="Q24" s="45">
        <v>14.2</v>
      </c>
      <c r="R24" s="45">
        <v>14.2</v>
      </c>
      <c r="S24" s="45">
        <v>14.2</v>
      </c>
      <c r="T24" s="45">
        <v>14.2</v>
      </c>
      <c r="U24" s="45">
        <v>14.2</v>
      </c>
      <c r="V24" s="45">
        <v>14.2</v>
      </c>
      <c r="W24" s="45">
        <v>14.2</v>
      </c>
      <c r="X24" s="45">
        <v>14.2</v>
      </c>
      <c r="Y24" s="45">
        <v>16.2</v>
      </c>
      <c r="Z24" s="45">
        <v>16.2</v>
      </c>
      <c r="AA24" s="45">
        <v>16.2</v>
      </c>
      <c r="AB24" s="45">
        <v>18.7</v>
      </c>
      <c r="AC24" s="45">
        <v>18.7</v>
      </c>
      <c r="AD24" s="45">
        <v>18.7</v>
      </c>
      <c r="AE24" s="45">
        <v>18.7</v>
      </c>
      <c r="AF24" s="45">
        <v>22.8</v>
      </c>
      <c r="AG24" s="50">
        <v>25</v>
      </c>
      <c r="AH24" s="47">
        <f t="shared" si="2"/>
        <v>22.8</v>
      </c>
      <c r="AI24" s="48">
        <f t="shared" si="3"/>
        <v>14.2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14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</v>
      </c>
      <c r="C26" s="45">
        <v>6</v>
      </c>
      <c r="D26" s="45">
        <v>6</v>
      </c>
      <c r="E26" s="45">
        <v>6</v>
      </c>
      <c r="F26" s="45">
        <v>6</v>
      </c>
      <c r="G26" s="45">
        <v>6</v>
      </c>
      <c r="H26" s="45">
        <v>6</v>
      </c>
      <c r="I26" s="45">
        <v>6</v>
      </c>
      <c r="J26" s="45">
        <v>6</v>
      </c>
      <c r="K26" s="45">
        <v>6</v>
      </c>
      <c r="L26" s="45">
        <v>6</v>
      </c>
      <c r="M26" s="45">
        <v>6</v>
      </c>
      <c r="N26" s="45">
        <v>6</v>
      </c>
      <c r="O26" s="45">
        <v>6</v>
      </c>
      <c r="P26" s="45">
        <v>6</v>
      </c>
      <c r="Q26" s="45">
        <v>6</v>
      </c>
      <c r="R26" s="45">
        <v>6</v>
      </c>
      <c r="S26" s="45">
        <v>6</v>
      </c>
      <c r="T26" s="45">
        <v>6</v>
      </c>
      <c r="U26" s="45">
        <v>6</v>
      </c>
      <c r="V26" s="45">
        <v>6</v>
      </c>
      <c r="W26" s="45">
        <v>6</v>
      </c>
      <c r="X26" s="45">
        <v>6</v>
      </c>
      <c r="Y26" s="45">
        <v>6</v>
      </c>
      <c r="Z26" s="45">
        <v>6</v>
      </c>
      <c r="AA26" s="45">
        <v>6</v>
      </c>
      <c r="AB26" s="45">
        <v>6</v>
      </c>
      <c r="AC26" s="45">
        <v>6</v>
      </c>
      <c r="AD26" s="45">
        <v>6</v>
      </c>
      <c r="AE26" s="45">
        <v>6</v>
      </c>
      <c r="AF26" s="45">
        <v>6</v>
      </c>
      <c r="AG26" s="50">
        <v>25</v>
      </c>
      <c r="AH26" s="47">
        <f t="shared" si="2"/>
        <v>6</v>
      </c>
      <c r="AI26" s="48">
        <f t="shared" si="3"/>
        <v>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18</v>
      </c>
      <c r="C27" s="45">
        <v>18</v>
      </c>
      <c r="D27" s="45">
        <v>18</v>
      </c>
      <c r="E27" s="45">
        <v>18</v>
      </c>
      <c r="F27" s="45">
        <v>18</v>
      </c>
      <c r="G27" s="45">
        <v>18</v>
      </c>
      <c r="H27" s="45">
        <v>18</v>
      </c>
      <c r="I27" s="45">
        <v>18</v>
      </c>
      <c r="J27" s="45">
        <v>18</v>
      </c>
      <c r="K27" s="45">
        <v>18</v>
      </c>
      <c r="L27" s="45">
        <v>18</v>
      </c>
      <c r="M27" s="45">
        <v>18</v>
      </c>
      <c r="N27" s="45">
        <v>18</v>
      </c>
      <c r="O27" s="45">
        <v>18</v>
      </c>
      <c r="P27" s="45">
        <v>18</v>
      </c>
      <c r="Q27" s="45">
        <v>18</v>
      </c>
      <c r="R27" s="45">
        <v>18</v>
      </c>
      <c r="S27" s="45">
        <v>18</v>
      </c>
      <c r="T27" s="45">
        <v>18</v>
      </c>
      <c r="U27" s="45">
        <v>18</v>
      </c>
      <c r="V27" s="45">
        <v>18</v>
      </c>
      <c r="W27" s="45">
        <v>18</v>
      </c>
      <c r="X27" s="45">
        <v>18</v>
      </c>
      <c r="Y27" s="45">
        <v>18</v>
      </c>
      <c r="Z27" s="45">
        <v>18</v>
      </c>
      <c r="AA27" s="45">
        <v>18</v>
      </c>
      <c r="AB27" s="45">
        <v>18</v>
      </c>
      <c r="AC27" s="45">
        <v>18</v>
      </c>
      <c r="AD27" s="45">
        <v>18</v>
      </c>
      <c r="AE27" s="45">
        <v>18</v>
      </c>
      <c r="AF27" s="45">
        <v>18</v>
      </c>
      <c r="AG27" s="50">
        <v>25</v>
      </c>
      <c r="AH27" s="47">
        <f t="shared" si="2"/>
        <v>18</v>
      </c>
      <c r="AI27" s="48">
        <f t="shared" si="3"/>
        <v>18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7.7</v>
      </c>
      <c r="C28" s="45">
        <v>7.7</v>
      </c>
      <c r="D28" s="45">
        <v>7.7</v>
      </c>
      <c r="E28" s="45">
        <v>7.7</v>
      </c>
      <c r="F28" s="45">
        <v>7.7</v>
      </c>
      <c r="G28" s="45">
        <v>7.7</v>
      </c>
      <c r="H28" s="45">
        <v>7.7</v>
      </c>
      <c r="I28" s="45">
        <v>7.7</v>
      </c>
      <c r="J28" s="45">
        <v>7.7</v>
      </c>
      <c r="K28" s="45">
        <v>7.7</v>
      </c>
      <c r="L28" s="45">
        <v>7.7</v>
      </c>
      <c r="M28" s="45">
        <v>7.7</v>
      </c>
      <c r="N28" s="45">
        <v>7.7</v>
      </c>
      <c r="O28" s="45">
        <v>7.7</v>
      </c>
      <c r="P28" s="45">
        <v>7.7</v>
      </c>
      <c r="Q28" s="45">
        <v>7.7</v>
      </c>
      <c r="R28" s="45">
        <v>7.7</v>
      </c>
      <c r="S28" s="45">
        <v>7.7</v>
      </c>
      <c r="T28" s="45">
        <v>7.7</v>
      </c>
      <c r="U28" s="45">
        <v>7.7</v>
      </c>
      <c r="V28" s="45">
        <v>7.7</v>
      </c>
      <c r="W28" s="45">
        <v>7.7</v>
      </c>
      <c r="X28" s="45">
        <v>7.7</v>
      </c>
      <c r="Y28" s="45">
        <v>7.7</v>
      </c>
      <c r="Z28" s="45">
        <v>7.7</v>
      </c>
      <c r="AA28" s="45">
        <v>7.7</v>
      </c>
      <c r="AB28" s="45">
        <v>7.9</v>
      </c>
      <c r="AC28" s="45">
        <v>7.8</v>
      </c>
      <c r="AD28" s="45">
        <v>7.8</v>
      </c>
      <c r="AE28" s="45">
        <v>7.8</v>
      </c>
      <c r="AF28" s="45">
        <v>8</v>
      </c>
      <c r="AG28" s="50">
        <v>23.5</v>
      </c>
      <c r="AH28" s="47">
        <f t="shared" si="2"/>
        <v>8</v>
      </c>
      <c r="AI28" s="48">
        <f t="shared" si="3"/>
        <v>7.7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3.5</v>
      </c>
      <c r="C29" s="45">
        <v>3.5</v>
      </c>
      <c r="D29" s="45">
        <v>3.5</v>
      </c>
      <c r="E29" s="45">
        <v>3.5</v>
      </c>
      <c r="F29" s="45">
        <v>3.5</v>
      </c>
      <c r="G29" s="45">
        <v>3.5</v>
      </c>
      <c r="H29" s="45">
        <v>3.5</v>
      </c>
      <c r="I29" s="45">
        <v>3.5</v>
      </c>
      <c r="J29" s="45">
        <v>3.5</v>
      </c>
      <c r="K29" s="45">
        <v>3.5</v>
      </c>
      <c r="L29" s="45">
        <v>3.5</v>
      </c>
      <c r="M29" s="45">
        <v>3.5</v>
      </c>
      <c r="N29" s="45">
        <v>3.5</v>
      </c>
      <c r="O29" s="45">
        <v>3.5</v>
      </c>
      <c r="P29" s="45">
        <v>3.5</v>
      </c>
      <c r="Q29" s="45">
        <v>3.5</v>
      </c>
      <c r="R29" s="45">
        <v>3.5</v>
      </c>
      <c r="S29" s="45">
        <v>3.5</v>
      </c>
      <c r="T29" s="45">
        <v>3.5</v>
      </c>
      <c r="U29" s="45">
        <v>3.5</v>
      </c>
      <c r="V29" s="45">
        <v>3.5</v>
      </c>
      <c r="W29" s="45">
        <v>3.5</v>
      </c>
      <c r="X29" s="45">
        <v>3.5</v>
      </c>
      <c r="Y29" s="45">
        <v>3.5</v>
      </c>
      <c r="Z29" s="45">
        <v>3.5</v>
      </c>
      <c r="AA29" s="45">
        <v>3.5</v>
      </c>
      <c r="AB29" s="45">
        <v>3.5</v>
      </c>
      <c r="AC29" s="45">
        <v>3.5</v>
      </c>
      <c r="AD29" s="45">
        <v>3.5</v>
      </c>
      <c r="AE29" s="45">
        <v>3.5</v>
      </c>
      <c r="AF29" s="45">
        <v>3.5</v>
      </c>
      <c r="AG29" s="50">
        <v>22.2</v>
      </c>
      <c r="AH29" s="47">
        <f t="shared" si="2"/>
        <v>3.5</v>
      </c>
      <c r="AI29" s="48">
        <f t="shared" si="3"/>
        <v>3.5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50">
        <v>22</v>
      </c>
      <c r="AH31" s="47">
        <f t="shared" si="2"/>
        <v>4.5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6.8</v>
      </c>
      <c r="C32" s="45">
        <v>6.9</v>
      </c>
      <c r="D32" s="45">
        <v>6.6</v>
      </c>
      <c r="E32" s="45">
        <v>6.6</v>
      </c>
      <c r="F32" s="45">
        <v>6.6</v>
      </c>
      <c r="G32" s="45">
        <v>6.6</v>
      </c>
      <c r="H32" s="45">
        <v>6.6</v>
      </c>
      <c r="I32" s="45">
        <v>6.6</v>
      </c>
      <c r="J32" s="45">
        <v>6.6</v>
      </c>
      <c r="K32" s="45">
        <v>6.6</v>
      </c>
      <c r="L32" s="45">
        <v>6.6</v>
      </c>
      <c r="M32" s="45">
        <v>6.6</v>
      </c>
      <c r="N32" s="45">
        <v>6.6</v>
      </c>
      <c r="O32" s="45">
        <v>6.6</v>
      </c>
      <c r="P32" s="45">
        <v>6.6</v>
      </c>
      <c r="Q32" s="45">
        <v>6.6</v>
      </c>
      <c r="R32" s="45">
        <v>6.6</v>
      </c>
      <c r="S32" s="45">
        <v>6.6</v>
      </c>
      <c r="T32" s="45">
        <v>6.6</v>
      </c>
      <c r="U32" s="45">
        <v>6.6</v>
      </c>
      <c r="V32" s="45">
        <v>6.6</v>
      </c>
      <c r="W32" s="45">
        <v>6.6</v>
      </c>
      <c r="X32" s="45">
        <v>6.6</v>
      </c>
      <c r="Y32" s="45">
        <v>6.6</v>
      </c>
      <c r="Z32" s="45">
        <v>6.6</v>
      </c>
      <c r="AA32" s="45">
        <v>6.6</v>
      </c>
      <c r="AB32" s="45">
        <v>9.1</v>
      </c>
      <c r="AC32" s="45">
        <v>9.4</v>
      </c>
      <c r="AD32" s="45">
        <v>9.4</v>
      </c>
      <c r="AE32" s="45">
        <v>9.4</v>
      </c>
      <c r="AF32" s="45">
        <v>7.7</v>
      </c>
      <c r="AG32" s="50">
        <v>22</v>
      </c>
      <c r="AH32" s="47">
        <f t="shared" si="2"/>
        <v>9.4</v>
      </c>
      <c r="AI32" s="48">
        <f t="shared" si="3"/>
        <v>6.6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9.1999999999999993</v>
      </c>
      <c r="C33" s="45">
        <v>9.1999999999999993</v>
      </c>
      <c r="D33" s="45">
        <v>9.1999999999999993</v>
      </c>
      <c r="E33" s="45">
        <v>9.1999999999999993</v>
      </c>
      <c r="F33" s="45">
        <v>9.1999999999999993</v>
      </c>
      <c r="G33" s="45">
        <v>9.1999999999999993</v>
      </c>
      <c r="H33" s="45">
        <v>9.1999999999999993</v>
      </c>
      <c r="I33" s="45">
        <v>9.1999999999999993</v>
      </c>
      <c r="J33" s="45">
        <v>9.1999999999999993</v>
      </c>
      <c r="K33" s="45">
        <v>9.1999999999999993</v>
      </c>
      <c r="L33" s="45">
        <v>9.1999999999999993</v>
      </c>
      <c r="M33" s="45">
        <v>9.1999999999999993</v>
      </c>
      <c r="N33" s="45">
        <v>9.1999999999999993</v>
      </c>
      <c r="O33" s="45">
        <v>9.1999999999999993</v>
      </c>
      <c r="P33" s="45">
        <v>9.1999999999999993</v>
      </c>
      <c r="Q33" s="45">
        <v>9.1999999999999993</v>
      </c>
      <c r="R33" s="45">
        <v>9.1999999999999993</v>
      </c>
      <c r="S33" s="45">
        <v>9.1999999999999993</v>
      </c>
      <c r="T33" s="45">
        <v>9.1999999999999993</v>
      </c>
      <c r="U33" s="45">
        <v>9.1999999999999993</v>
      </c>
      <c r="V33" s="45">
        <v>9.1999999999999993</v>
      </c>
      <c r="W33" s="45">
        <v>9.1999999999999993</v>
      </c>
      <c r="X33" s="45">
        <v>9.1999999999999993</v>
      </c>
      <c r="Y33" s="45">
        <v>9.1999999999999993</v>
      </c>
      <c r="Z33" s="45">
        <v>9.1999999999999993</v>
      </c>
      <c r="AA33" s="45">
        <v>9.1999999999999993</v>
      </c>
      <c r="AB33" s="45">
        <v>9.1999999999999993</v>
      </c>
      <c r="AC33" s="45">
        <v>9.1999999999999993</v>
      </c>
      <c r="AD33" s="45">
        <v>9.1999999999999993</v>
      </c>
      <c r="AE33" s="45">
        <v>9.1999999999999993</v>
      </c>
      <c r="AF33" s="45">
        <v>9.1999999999999993</v>
      </c>
      <c r="AG33" s="50">
        <v>20</v>
      </c>
      <c r="AH33" s="47">
        <f t="shared" si="2"/>
        <v>9.1999999999999993</v>
      </c>
      <c r="AI33" s="48">
        <f t="shared" si="3"/>
        <v>9.1999999999999993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8.6</v>
      </c>
      <c r="C34" s="45">
        <v>8.6</v>
      </c>
      <c r="D34" s="45">
        <v>8.6</v>
      </c>
      <c r="E34" s="45">
        <v>8.6</v>
      </c>
      <c r="F34" s="45">
        <v>8.6</v>
      </c>
      <c r="G34" s="45">
        <v>8.6</v>
      </c>
      <c r="H34" s="45">
        <v>8.6</v>
      </c>
      <c r="I34" s="45">
        <v>8.6</v>
      </c>
      <c r="J34" s="45">
        <v>8.6</v>
      </c>
      <c r="K34" s="45">
        <v>8.6</v>
      </c>
      <c r="L34" s="45">
        <v>8.6</v>
      </c>
      <c r="M34" s="45">
        <v>8.6</v>
      </c>
      <c r="N34" s="45">
        <v>8.6</v>
      </c>
      <c r="O34" s="45">
        <v>8.6</v>
      </c>
      <c r="P34" s="45">
        <v>8.6</v>
      </c>
      <c r="Q34" s="45">
        <v>8.6</v>
      </c>
      <c r="R34" s="45">
        <v>8.6</v>
      </c>
      <c r="S34" s="45">
        <v>8.6</v>
      </c>
      <c r="T34" s="45">
        <v>8.6</v>
      </c>
      <c r="U34" s="45">
        <v>8.6</v>
      </c>
      <c r="V34" s="45">
        <v>8.6</v>
      </c>
      <c r="W34" s="45">
        <v>8.6</v>
      </c>
      <c r="X34" s="45">
        <v>8.6</v>
      </c>
      <c r="Y34" s="45">
        <v>8.6</v>
      </c>
      <c r="Z34" s="45">
        <v>8.6</v>
      </c>
      <c r="AA34" s="45">
        <v>8.6</v>
      </c>
      <c r="AB34" s="45">
        <v>8.6</v>
      </c>
      <c r="AC34" s="45">
        <v>8.6</v>
      </c>
      <c r="AD34" s="45">
        <v>8.6</v>
      </c>
      <c r="AE34" s="45">
        <v>8.6</v>
      </c>
      <c r="AF34" s="45">
        <v>8.6</v>
      </c>
      <c r="AG34" s="50">
        <v>18</v>
      </c>
      <c r="AH34" s="47">
        <f t="shared" si="2"/>
        <v>8.6</v>
      </c>
      <c r="AI34" s="48">
        <f t="shared" si="3"/>
        <v>8.6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50">
        <v>13</v>
      </c>
      <c r="AH38" s="47">
        <f t="shared" si="2"/>
        <v>6</v>
      </c>
      <c r="AI38" s="48">
        <f t="shared" si="3"/>
        <v>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6.5</v>
      </c>
      <c r="C39" s="45">
        <v>6.5</v>
      </c>
      <c r="D39" s="45">
        <v>6.5</v>
      </c>
      <c r="E39" s="45">
        <v>6.5</v>
      </c>
      <c r="F39" s="45">
        <v>6.5</v>
      </c>
      <c r="G39" s="45">
        <v>6.5</v>
      </c>
      <c r="H39" s="45">
        <v>6.5</v>
      </c>
      <c r="I39" s="45">
        <v>6.5</v>
      </c>
      <c r="J39" s="45">
        <v>6.5</v>
      </c>
      <c r="K39" s="45">
        <v>6.5</v>
      </c>
      <c r="L39" s="45">
        <v>6.5</v>
      </c>
      <c r="M39" s="45">
        <v>6.5</v>
      </c>
      <c r="N39" s="45">
        <v>6.5</v>
      </c>
      <c r="O39" s="45">
        <v>6.5</v>
      </c>
      <c r="P39" s="45">
        <v>6.5</v>
      </c>
      <c r="Q39" s="45">
        <v>6.5</v>
      </c>
      <c r="R39" s="45">
        <v>6.5</v>
      </c>
      <c r="S39" s="45">
        <v>6.5</v>
      </c>
      <c r="T39" s="45">
        <v>6.5</v>
      </c>
      <c r="U39" s="45">
        <v>6.5</v>
      </c>
      <c r="V39" s="45">
        <v>6.5</v>
      </c>
      <c r="W39" s="45">
        <v>6.5</v>
      </c>
      <c r="X39" s="45">
        <v>6.5</v>
      </c>
      <c r="Y39" s="45">
        <v>6.5</v>
      </c>
      <c r="Z39" s="45">
        <v>6.5</v>
      </c>
      <c r="AA39" s="45">
        <v>6.5</v>
      </c>
      <c r="AB39" s="45">
        <v>6.5</v>
      </c>
      <c r="AC39" s="45">
        <v>6.5</v>
      </c>
      <c r="AD39" s="45">
        <v>6.5</v>
      </c>
      <c r="AE39" s="45">
        <v>6.5</v>
      </c>
      <c r="AF39" s="45">
        <v>6.5</v>
      </c>
      <c r="AG39" s="50">
        <v>12</v>
      </c>
      <c r="AH39" s="47">
        <f t="shared" si="2"/>
        <v>6.5</v>
      </c>
      <c r="AI39" s="48">
        <f t="shared" si="3"/>
        <v>6.5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>
        <v>3.6</v>
      </c>
      <c r="N45" s="45">
        <v>3.6</v>
      </c>
      <c r="O45" s="45">
        <v>3.6</v>
      </c>
      <c r="P45" s="45">
        <v>3.6</v>
      </c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3.6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5</v>
      </c>
      <c r="C46" s="45">
        <v>5</v>
      </c>
      <c r="D46" s="45">
        <v>5</v>
      </c>
      <c r="E46" s="45">
        <v>5</v>
      </c>
      <c r="F46" s="45">
        <v>5</v>
      </c>
      <c r="G46" s="45">
        <v>5</v>
      </c>
      <c r="H46" s="45">
        <v>5</v>
      </c>
      <c r="I46" s="45">
        <v>5</v>
      </c>
      <c r="J46" s="45">
        <v>5</v>
      </c>
      <c r="K46" s="45">
        <v>5</v>
      </c>
      <c r="L46" s="45">
        <v>5</v>
      </c>
      <c r="M46" s="45">
        <v>5</v>
      </c>
      <c r="N46" s="45">
        <v>5</v>
      </c>
      <c r="O46" s="45">
        <v>5</v>
      </c>
      <c r="P46" s="45">
        <v>5</v>
      </c>
      <c r="Q46" s="45">
        <v>5</v>
      </c>
      <c r="R46" s="45">
        <v>5</v>
      </c>
      <c r="S46" s="45">
        <v>5</v>
      </c>
      <c r="T46" s="45">
        <v>5</v>
      </c>
      <c r="U46" s="45">
        <v>5</v>
      </c>
      <c r="V46" s="45">
        <v>5</v>
      </c>
      <c r="W46" s="45">
        <v>5</v>
      </c>
      <c r="X46" s="45">
        <v>5</v>
      </c>
      <c r="Y46" s="45">
        <v>7</v>
      </c>
      <c r="Z46" s="45">
        <v>7</v>
      </c>
      <c r="AA46" s="45">
        <v>7</v>
      </c>
      <c r="AB46" s="45">
        <v>7</v>
      </c>
      <c r="AC46" s="45">
        <v>7</v>
      </c>
      <c r="AD46" s="45">
        <v>7</v>
      </c>
      <c r="AE46" s="45">
        <v>7</v>
      </c>
      <c r="AF46" s="45">
        <v>7</v>
      </c>
      <c r="AG46" s="54">
        <v>10</v>
      </c>
      <c r="AH46" s="47">
        <f t="shared" si="2"/>
        <v>7</v>
      </c>
      <c r="AI46" s="48">
        <f t="shared" si="3"/>
        <v>5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6.8</v>
      </c>
      <c r="C47" s="45">
        <v>6.8</v>
      </c>
      <c r="D47" s="45">
        <v>6.8</v>
      </c>
      <c r="E47" s="45">
        <v>6.8</v>
      </c>
      <c r="F47" s="45">
        <v>6.8</v>
      </c>
      <c r="G47" s="45">
        <v>6.8</v>
      </c>
      <c r="H47" s="45">
        <v>6.8</v>
      </c>
      <c r="I47" s="45">
        <v>6.8</v>
      </c>
      <c r="J47" s="45">
        <v>6.8</v>
      </c>
      <c r="K47" s="45">
        <v>6.8</v>
      </c>
      <c r="L47" s="45">
        <v>6.8</v>
      </c>
      <c r="M47" s="45">
        <v>6.8</v>
      </c>
      <c r="N47" s="45">
        <v>6.8</v>
      </c>
      <c r="O47" s="45">
        <v>6.8</v>
      </c>
      <c r="P47" s="45">
        <v>6.8</v>
      </c>
      <c r="Q47" s="45">
        <v>6.8</v>
      </c>
      <c r="R47" s="45">
        <v>6.8</v>
      </c>
      <c r="S47" s="45">
        <v>6.8</v>
      </c>
      <c r="T47" s="45">
        <v>6.8</v>
      </c>
      <c r="U47" s="45">
        <v>6.8</v>
      </c>
      <c r="V47" s="45">
        <v>6.8</v>
      </c>
      <c r="W47" s="45">
        <v>6.8</v>
      </c>
      <c r="X47" s="45">
        <v>6.8</v>
      </c>
      <c r="Y47" s="45">
        <v>6.8</v>
      </c>
      <c r="Z47" s="45">
        <v>6.8</v>
      </c>
      <c r="AA47" s="45">
        <v>6.8</v>
      </c>
      <c r="AB47" s="45">
        <v>6.8</v>
      </c>
      <c r="AC47" s="45">
        <v>6.8</v>
      </c>
      <c r="AD47" s="45">
        <v>6.8</v>
      </c>
      <c r="AE47" s="45">
        <v>6.8</v>
      </c>
      <c r="AF47" s="45">
        <v>6.8</v>
      </c>
      <c r="AG47" s="54">
        <v>10</v>
      </c>
      <c r="AH47" s="47">
        <f t="shared" si="2"/>
        <v>6.8</v>
      </c>
      <c r="AI47" s="48">
        <f t="shared" si="3"/>
        <v>6.8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230</v>
      </c>
      <c r="C48" s="56">
        <v>230</v>
      </c>
      <c r="D48" s="56">
        <v>230</v>
      </c>
      <c r="E48" s="56">
        <v>230</v>
      </c>
      <c r="F48" s="56">
        <v>230</v>
      </c>
      <c r="G48" s="56">
        <v>230</v>
      </c>
      <c r="H48" s="56">
        <v>230</v>
      </c>
      <c r="I48" s="56">
        <v>230</v>
      </c>
      <c r="J48" s="56">
        <v>230</v>
      </c>
      <c r="K48" s="56">
        <v>230</v>
      </c>
      <c r="L48" s="56">
        <v>230</v>
      </c>
      <c r="M48" s="56">
        <v>230</v>
      </c>
      <c r="N48" s="56">
        <v>230</v>
      </c>
      <c r="O48" s="56">
        <v>230</v>
      </c>
      <c r="P48" s="56">
        <v>230</v>
      </c>
      <c r="Q48" s="56">
        <v>230</v>
      </c>
      <c r="R48" s="56">
        <v>230</v>
      </c>
      <c r="S48" s="56">
        <v>230</v>
      </c>
      <c r="T48" s="56">
        <v>230</v>
      </c>
      <c r="U48" s="56">
        <v>230</v>
      </c>
      <c r="V48" s="56">
        <v>230</v>
      </c>
      <c r="W48" s="56">
        <v>230</v>
      </c>
      <c r="X48" s="56">
        <v>230</v>
      </c>
      <c r="Y48" s="56">
        <v>230</v>
      </c>
      <c r="Z48" s="56">
        <v>230</v>
      </c>
      <c r="AA48" s="56">
        <v>230</v>
      </c>
      <c r="AB48" s="56">
        <v>230</v>
      </c>
      <c r="AC48" s="56">
        <v>230</v>
      </c>
      <c r="AD48" s="56">
        <v>230</v>
      </c>
      <c r="AE48" s="56">
        <v>230</v>
      </c>
      <c r="AF48" s="56">
        <v>230</v>
      </c>
      <c r="AG48" s="54">
        <v>85</v>
      </c>
      <c r="AH48" s="47">
        <f t="shared" si="2"/>
        <v>230</v>
      </c>
      <c r="AI48" s="48">
        <f t="shared" si="3"/>
        <v>230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 t="shared" ref="B50:AE50" si="4">SUM(B11:B48)</f>
        <v>708.10000000000014</v>
      </c>
      <c r="C50" s="60">
        <f t="shared" si="4"/>
        <v>711</v>
      </c>
      <c r="D50" s="60">
        <f t="shared" si="4"/>
        <v>704.80000000000018</v>
      </c>
      <c r="E50" s="60">
        <f t="shared" si="4"/>
        <v>704.80000000000018</v>
      </c>
      <c r="F50" s="60">
        <f t="shared" si="4"/>
        <v>704.80000000000018</v>
      </c>
      <c r="G50" s="60">
        <f t="shared" si="4"/>
        <v>704.80000000000018</v>
      </c>
      <c r="H50" s="60">
        <f t="shared" si="4"/>
        <v>704.80000000000018</v>
      </c>
      <c r="I50" s="60">
        <f t="shared" si="4"/>
        <v>704.80000000000018</v>
      </c>
      <c r="J50" s="60">
        <f t="shared" si="4"/>
        <v>704.80000000000018</v>
      </c>
      <c r="K50" s="60">
        <f t="shared" si="4"/>
        <v>704.80000000000018</v>
      </c>
      <c r="L50" s="60">
        <f t="shared" si="4"/>
        <v>704.80000000000018</v>
      </c>
      <c r="M50" s="60">
        <f t="shared" si="4"/>
        <v>709.80000000000018</v>
      </c>
      <c r="N50" s="60">
        <f t="shared" si="4"/>
        <v>709.80000000000018</v>
      </c>
      <c r="O50" s="60">
        <f t="shared" si="4"/>
        <v>704.40000000000009</v>
      </c>
      <c r="P50" s="60">
        <f t="shared" si="4"/>
        <v>704.40000000000009</v>
      </c>
      <c r="Q50" s="60">
        <f t="shared" si="4"/>
        <v>708.10000000000014</v>
      </c>
      <c r="R50" s="60">
        <f t="shared" si="4"/>
        <v>707.10000000000014</v>
      </c>
      <c r="S50" s="60">
        <f t="shared" si="4"/>
        <v>707.10000000000014</v>
      </c>
      <c r="T50" s="60">
        <f t="shared" si="4"/>
        <v>707.10000000000014</v>
      </c>
      <c r="U50" s="60">
        <f t="shared" si="4"/>
        <v>715.40000000000009</v>
      </c>
      <c r="V50" s="60">
        <f t="shared" si="4"/>
        <v>715.40000000000009</v>
      </c>
      <c r="W50" s="60">
        <f t="shared" si="4"/>
        <v>715.40000000000009</v>
      </c>
      <c r="X50" s="60">
        <f t="shared" si="4"/>
        <v>715.40000000000009</v>
      </c>
      <c r="Y50" s="60">
        <f t="shared" si="4"/>
        <v>718.90000000000009</v>
      </c>
      <c r="Z50" s="60">
        <f t="shared" si="4"/>
        <v>718.90000000000009</v>
      </c>
      <c r="AA50" s="60">
        <f t="shared" si="4"/>
        <v>718.90000000000009</v>
      </c>
      <c r="AB50" s="60">
        <f t="shared" si="4"/>
        <v>738.1</v>
      </c>
      <c r="AC50" s="60">
        <f>SUM(AC11:AC48)</f>
        <v>740.7</v>
      </c>
      <c r="AD50" s="60">
        <f t="shared" si="4"/>
        <v>740.7</v>
      </c>
      <c r="AE50" s="60">
        <f t="shared" si="4"/>
        <v>740.7</v>
      </c>
      <c r="AF50" s="60">
        <f>SUM(AF11:AF48)</f>
        <v>755.69999999999993</v>
      </c>
      <c r="AG50" s="61">
        <f>SUM(AG13:AG48)</f>
        <v>922.14</v>
      </c>
      <c r="AH50" s="47">
        <f t="shared" si="2"/>
        <v>755.69999999999993</v>
      </c>
      <c r="AI50" s="48">
        <f t="shared" si="3"/>
        <v>704.40000000000009</v>
      </c>
      <c r="AK50" s="49"/>
    </row>
    <row r="51" spans="1:41" x14ac:dyDescent="0.25">
      <c r="A51" s="62" t="s">
        <v>57</v>
      </c>
      <c r="B51" s="45">
        <v>380</v>
      </c>
      <c r="C51" s="45">
        <v>355</v>
      </c>
      <c r="D51" s="45">
        <v>385</v>
      </c>
      <c r="E51" s="45">
        <v>350</v>
      </c>
      <c r="F51" s="45">
        <v>340</v>
      </c>
      <c r="G51" s="45">
        <v>240</v>
      </c>
      <c r="H51" s="45">
        <v>130</v>
      </c>
      <c r="I51" s="45">
        <v>150</v>
      </c>
      <c r="J51" s="45">
        <v>115</v>
      </c>
      <c r="K51" s="45">
        <v>30</v>
      </c>
      <c r="L51" s="45">
        <v>140</v>
      </c>
      <c r="M51" s="45">
        <v>140</v>
      </c>
      <c r="N51" s="63">
        <v>0</v>
      </c>
      <c r="O51" s="63">
        <v>85</v>
      </c>
      <c r="P51" s="63">
        <v>140</v>
      </c>
      <c r="Q51" s="63">
        <v>190</v>
      </c>
      <c r="R51" s="63">
        <v>210</v>
      </c>
      <c r="S51" s="63">
        <v>110</v>
      </c>
      <c r="T51" s="63">
        <v>40</v>
      </c>
      <c r="U51" s="63">
        <v>90</v>
      </c>
      <c r="V51" s="63">
        <v>40</v>
      </c>
      <c r="W51" s="63">
        <v>80</v>
      </c>
      <c r="X51" s="63">
        <v>80</v>
      </c>
      <c r="Y51" s="63">
        <v>120</v>
      </c>
      <c r="Z51" s="63">
        <v>140</v>
      </c>
      <c r="AA51" s="45">
        <v>430</v>
      </c>
      <c r="AB51" s="45">
        <v>420</v>
      </c>
      <c r="AC51" s="45">
        <v>400</v>
      </c>
      <c r="AD51" s="45">
        <v>350</v>
      </c>
      <c r="AE51" s="45">
        <v>350</v>
      </c>
      <c r="AF51" s="45">
        <v>390</v>
      </c>
      <c r="AG51" s="51">
        <v>456</v>
      </c>
      <c r="AH51" s="47">
        <f t="shared" si="2"/>
        <v>430</v>
      </c>
      <c r="AI51" s="48">
        <f t="shared" si="3"/>
        <v>0</v>
      </c>
      <c r="AK51" s="49"/>
    </row>
    <row r="52" spans="1:41" x14ac:dyDescent="0.25">
      <c r="A52" s="64" t="s">
        <v>58</v>
      </c>
      <c r="B52" s="65">
        <v>36.5</v>
      </c>
      <c r="C52" s="65">
        <v>36.5</v>
      </c>
      <c r="D52" s="65">
        <v>36</v>
      </c>
      <c r="E52" s="65">
        <v>36</v>
      </c>
      <c r="F52" s="65">
        <v>36</v>
      </c>
      <c r="G52" s="65">
        <v>36</v>
      </c>
      <c r="H52" s="65">
        <v>36</v>
      </c>
      <c r="I52" s="65">
        <v>36</v>
      </c>
      <c r="J52" s="65">
        <v>36</v>
      </c>
      <c r="K52" s="65">
        <v>36</v>
      </c>
      <c r="L52" s="65">
        <v>36</v>
      </c>
      <c r="M52" s="65">
        <v>36</v>
      </c>
      <c r="N52" s="65">
        <v>37</v>
      </c>
      <c r="O52" s="65">
        <v>37</v>
      </c>
      <c r="P52" s="65">
        <v>37</v>
      </c>
      <c r="Q52" s="65">
        <v>37</v>
      </c>
      <c r="R52" s="65">
        <v>37</v>
      </c>
      <c r="S52" s="65">
        <v>37</v>
      </c>
      <c r="T52" s="65">
        <v>37</v>
      </c>
      <c r="U52" s="65">
        <v>37</v>
      </c>
      <c r="V52" s="65">
        <v>37</v>
      </c>
      <c r="W52" s="65">
        <v>37</v>
      </c>
      <c r="X52" s="65">
        <v>37</v>
      </c>
      <c r="Y52" s="65">
        <v>37</v>
      </c>
      <c r="Z52" s="65">
        <v>37</v>
      </c>
      <c r="AA52" s="65">
        <v>37</v>
      </c>
      <c r="AB52" s="65">
        <v>37</v>
      </c>
      <c r="AC52" s="65">
        <v>37</v>
      </c>
      <c r="AD52" s="65">
        <v>37</v>
      </c>
      <c r="AE52" s="65">
        <v>37</v>
      </c>
      <c r="AF52" s="65">
        <v>37</v>
      </c>
      <c r="AG52" s="54">
        <v>60</v>
      </c>
      <c r="AH52" s="47">
        <f t="shared" si="2"/>
        <v>37</v>
      </c>
      <c r="AI52" s="48">
        <f t="shared" si="3"/>
        <v>36</v>
      </c>
      <c r="AK52" s="49"/>
    </row>
    <row r="53" spans="1:41" ht="15.75" thickBot="1" x14ac:dyDescent="0.3">
      <c r="A53" s="66" t="s">
        <v>59</v>
      </c>
      <c r="B53" s="67">
        <v>22</v>
      </c>
      <c r="C53" s="67">
        <v>22</v>
      </c>
      <c r="D53" s="67">
        <v>22</v>
      </c>
      <c r="E53" s="67">
        <v>22</v>
      </c>
      <c r="F53" s="67">
        <v>22</v>
      </c>
      <c r="G53" s="67">
        <v>22</v>
      </c>
      <c r="H53" s="67">
        <v>22</v>
      </c>
      <c r="I53" s="67">
        <v>22</v>
      </c>
      <c r="J53" s="67">
        <v>22</v>
      </c>
      <c r="K53" s="67">
        <v>22</v>
      </c>
      <c r="L53" s="67">
        <v>22</v>
      </c>
      <c r="M53" s="67">
        <v>22</v>
      </c>
      <c r="N53" s="67">
        <v>22.4</v>
      </c>
      <c r="O53" s="67">
        <v>22.5</v>
      </c>
      <c r="P53" s="67">
        <v>22.5</v>
      </c>
      <c r="Q53" s="67">
        <v>22.5</v>
      </c>
      <c r="R53" s="67">
        <v>22.4</v>
      </c>
      <c r="S53" s="67">
        <v>22.4</v>
      </c>
      <c r="T53" s="67">
        <v>22.4</v>
      </c>
      <c r="U53" s="67">
        <v>22.4</v>
      </c>
      <c r="V53" s="67">
        <v>22.4</v>
      </c>
      <c r="W53" s="67">
        <v>22.4</v>
      </c>
      <c r="X53" s="67">
        <v>22.4</v>
      </c>
      <c r="Y53" s="67">
        <v>22.4</v>
      </c>
      <c r="Z53" s="67">
        <v>22.4</v>
      </c>
      <c r="AA53" s="67">
        <v>22.4</v>
      </c>
      <c r="AB53" s="67">
        <v>22</v>
      </c>
      <c r="AC53" s="67">
        <v>22</v>
      </c>
      <c r="AD53" s="67">
        <v>22</v>
      </c>
      <c r="AE53" s="67">
        <v>22</v>
      </c>
      <c r="AF53" s="67">
        <v>22</v>
      </c>
      <c r="AG53" s="68">
        <v>22.1</v>
      </c>
      <c r="AH53" s="47">
        <f t="shared" si="2"/>
        <v>22.5</v>
      </c>
      <c r="AI53" s="48">
        <f t="shared" si="3"/>
        <v>22</v>
      </c>
      <c r="AK53" s="49"/>
    </row>
    <row r="54" spans="1:41" ht="15.75" thickBot="1" x14ac:dyDescent="0.3">
      <c r="A54" s="69" t="s">
        <v>60</v>
      </c>
      <c r="B54" s="60">
        <f t="shared" ref="B54:AG54" si="5">SUM(B51:B53)</f>
        <v>438.5</v>
      </c>
      <c r="C54" s="60">
        <f t="shared" si="5"/>
        <v>413.5</v>
      </c>
      <c r="D54" s="60">
        <f t="shared" si="5"/>
        <v>443</v>
      </c>
      <c r="E54" s="60">
        <f t="shared" si="5"/>
        <v>408</v>
      </c>
      <c r="F54" s="60">
        <f t="shared" si="5"/>
        <v>398</v>
      </c>
      <c r="G54" s="60">
        <f t="shared" si="5"/>
        <v>298</v>
      </c>
      <c r="H54" s="60">
        <f t="shared" si="5"/>
        <v>188</v>
      </c>
      <c r="I54" s="60">
        <f t="shared" si="5"/>
        <v>208</v>
      </c>
      <c r="J54" s="60">
        <f t="shared" si="5"/>
        <v>173</v>
      </c>
      <c r="K54" s="60">
        <f t="shared" si="5"/>
        <v>88</v>
      </c>
      <c r="L54" s="60">
        <f t="shared" si="5"/>
        <v>198</v>
      </c>
      <c r="M54" s="60">
        <f t="shared" si="5"/>
        <v>198</v>
      </c>
      <c r="N54" s="60">
        <f t="shared" si="5"/>
        <v>59.4</v>
      </c>
      <c r="O54" s="60">
        <f t="shared" si="5"/>
        <v>144.5</v>
      </c>
      <c r="P54" s="60">
        <f t="shared" si="5"/>
        <v>199.5</v>
      </c>
      <c r="Q54" s="60">
        <f t="shared" si="5"/>
        <v>249.5</v>
      </c>
      <c r="R54" s="60">
        <f t="shared" si="5"/>
        <v>269.39999999999998</v>
      </c>
      <c r="S54" s="60">
        <f t="shared" si="5"/>
        <v>169.4</v>
      </c>
      <c r="T54" s="60">
        <f t="shared" si="5"/>
        <v>99.4</v>
      </c>
      <c r="U54" s="60">
        <f t="shared" si="5"/>
        <v>149.4</v>
      </c>
      <c r="V54" s="60">
        <f t="shared" si="5"/>
        <v>99.4</v>
      </c>
      <c r="W54" s="60">
        <f t="shared" si="5"/>
        <v>139.4</v>
      </c>
      <c r="X54" s="60">
        <f t="shared" si="5"/>
        <v>139.4</v>
      </c>
      <c r="Y54" s="60">
        <f t="shared" si="5"/>
        <v>179.4</v>
      </c>
      <c r="Z54" s="60">
        <f t="shared" si="5"/>
        <v>199.4</v>
      </c>
      <c r="AA54" s="60">
        <f t="shared" si="5"/>
        <v>489.4</v>
      </c>
      <c r="AB54" s="60">
        <f t="shared" si="5"/>
        <v>479</v>
      </c>
      <c r="AC54" s="60">
        <f>SUM(AC51:AC53)</f>
        <v>459</v>
      </c>
      <c r="AD54" s="60">
        <f t="shared" si="5"/>
        <v>409</v>
      </c>
      <c r="AE54" s="60">
        <f t="shared" si="5"/>
        <v>409</v>
      </c>
      <c r="AF54" s="60">
        <f>SUM(AF51:AF53)</f>
        <v>449</v>
      </c>
      <c r="AG54" s="61">
        <f t="shared" si="5"/>
        <v>538.1</v>
      </c>
      <c r="AH54" s="47">
        <f t="shared" si="2"/>
        <v>489.4</v>
      </c>
      <c r="AI54" s="48">
        <f t="shared" si="3"/>
        <v>59.4</v>
      </c>
      <c r="AK54" s="49"/>
    </row>
    <row r="55" spans="1:41" x14ac:dyDescent="0.25">
      <c r="A55" s="44" t="s">
        <v>61</v>
      </c>
      <c r="B55" s="45">
        <v>97</v>
      </c>
      <c r="C55" s="45">
        <v>87</v>
      </c>
      <c r="D55" s="45">
        <v>91.5</v>
      </c>
      <c r="E55" s="45">
        <v>81</v>
      </c>
      <c r="F55" s="45">
        <v>81</v>
      </c>
      <c r="G55" s="45">
        <v>84</v>
      </c>
      <c r="H55" s="45">
        <v>90</v>
      </c>
      <c r="I55" s="45">
        <v>82</v>
      </c>
      <c r="J55" s="45">
        <v>97</v>
      </c>
      <c r="K55" s="45">
        <v>71</v>
      </c>
      <c r="L55" s="45">
        <v>97</v>
      </c>
      <c r="M55" s="45">
        <v>97</v>
      </c>
      <c r="N55" s="45">
        <v>80.5</v>
      </c>
      <c r="O55" s="45">
        <v>81.5</v>
      </c>
      <c r="P55" s="45">
        <v>120</v>
      </c>
      <c r="Q55" s="45">
        <v>134</v>
      </c>
      <c r="R55" s="45">
        <v>128.1</v>
      </c>
      <c r="S55" s="45">
        <v>142</v>
      </c>
      <c r="T55" s="45">
        <v>142</v>
      </c>
      <c r="U55" s="45">
        <v>142</v>
      </c>
      <c r="V55" s="45">
        <v>135</v>
      </c>
      <c r="W55" s="45">
        <v>101</v>
      </c>
      <c r="X55" s="45">
        <v>101</v>
      </c>
      <c r="Y55" s="45">
        <v>90</v>
      </c>
      <c r="Z55" s="45">
        <v>97</v>
      </c>
      <c r="AA55" s="45">
        <v>112</v>
      </c>
      <c r="AB55" s="45">
        <v>122</v>
      </c>
      <c r="AC55" s="45">
        <v>97.2</v>
      </c>
      <c r="AD55" s="45">
        <v>97.2</v>
      </c>
      <c r="AE55" s="45">
        <v>97.2</v>
      </c>
      <c r="AF55" s="45">
        <v>76.2</v>
      </c>
      <c r="AG55" s="51">
        <v>144</v>
      </c>
      <c r="AH55" s="47">
        <f t="shared" si="2"/>
        <v>142</v>
      </c>
      <c r="AI55" s="48">
        <f t="shared" si="3"/>
        <v>71</v>
      </c>
      <c r="AK55" s="49"/>
    </row>
    <row r="56" spans="1:41" x14ac:dyDescent="0.25">
      <c r="A56" s="53" t="s">
        <v>62</v>
      </c>
      <c r="B56" s="65">
        <v>50</v>
      </c>
      <c r="C56" s="65">
        <v>60</v>
      </c>
      <c r="D56" s="65">
        <v>50</v>
      </c>
      <c r="E56" s="65">
        <v>50</v>
      </c>
      <c r="F56" s="65">
        <v>50</v>
      </c>
      <c r="G56" s="65">
        <v>50</v>
      </c>
      <c r="H56" s="65">
        <v>70</v>
      </c>
      <c r="I56" s="65">
        <v>51.2</v>
      </c>
      <c r="J56" s="65">
        <v>70</v>
      </c>
      <c r="K56" s="65">
        <v>69</v>
      </c>
      <c r="L56" s="65">
        <v>69</v>
      </c>
      <c r="M56" s="65">
        <v>69</v>
      </c>
      <c r="N56" s="65">
        <v>65.8</v>
      </c>
      <c r="O56" s="65">
        <v>70.099999999999994</v>
      </c>
      <c r="P56" s="65">
        <v>70.099999999999994</v>
      </c>
      <c r="Q56" s="65">
        <v>70.099999999999994</v>
      </c>
      <c r="R56" s="65">
        <v>72</v>
      </c>
      <c r="S56" s="65">
        <v>68</v>
      </c>
      <c r="T56" s="65">
        <v>68</v>
      </c>
      <c r="U56" s="65">
        <v>70</v>
      </c>
      <c r="V56" s="65">
        <v>70</v>
      </c>
      <c r="W56" s="65">
        <v>60</v>
      </c>
      <c r="X56" s="65">
        <v>60</v>
      </c>
      <c r="Y56" s="65">
        <v>60</v>
      </c>
      <c r="Z56" s="65">
        <v>69</v>
      </c>
      <c r="AA56" s="45">
        <v>69</v>
      </c>
      <c r="AB56" s="45">
        <v>70</v>
      </c>
      <c r="AC56" s="45">
        <v>69.900000000000006</v>
      </c>
      <c r="AD56" s="45">
        <v>69.900000000000006</v>
      </c>
      <c r="AE56" s="45">
        <v>69.900000000000006</v>
      </c>
      <c r="AF56" s="45">
        <v>70.099999999999994</v>
      </c>
      <c r="AG56" s="54">
        <v>70</v>
      </c>
      <c r="AH56" s="47">
        <f t="shared" si="2"/>
        <v>72</v>
      </c>
      <c r="AI56" s="48">
        <f t="shared" si="3"/>
        <v>50</v>
      </c>
      <c r="AK56" s="49"/>
    </row>
    <row r="57" spans="1:41" x14ac:dyDescent="0.25">
      <c r="A57" s="53" t="s">
        <v>63</v>
      </c>
      <c r="B57" s="65">
        <v>44</v>
      </c>
      <c r="C57" s="65">
        <v>45.7</v>
      </c>
      <c r="D57" s="65">
        <v>45</v>
      </c>
      <c r="E57" s="65">
        <v>45</v>
      </c>
      <c r="F57" s="65">
        <v>32</v>
      </c>
      <c r="G57" s="65">
        <v>32</v>
      </c>
      <c r="H57" s="65">
        <v>46</v>
      </c>
      <c r="I57" s="65">
        <v>45</v>
      </c>
      <c r="J57" s="65">
        <v>70</v>
      </c>
      <c r="K57" s="65">
        <v>69.2</v>
      </c>
      <c r="L57" s="65">
        <v>69.2</v>
      </c>
      <c r="M57" s="65">
        <v>69.2</v>
      </c>
      <c r="N57" s="65">
        <v>69.5</v>
      </c>
      <c r="O57" s="65">
        <v>69.2</v>
      </c>
      <c r="P57" s="65">
        <v>69.2</v>
      </c>
      <c r="Q57" s="65">
        <v>69.2</v>
      </c>
      <c r="R57" s="65">
        <v>69.099999999999994</v>
      </c>
      <c r="S57" s="65">
        <v>61</v>
      </c>
      <c r="T57" s="65">
        <v>61</v>
      </c>
      <c r="U57" s="65">
        <v>61</v>
      </c>
      <c r="V57" s="65">
        <v>61</v>
      </c>
      <c r="W57" s="65">
        <v>52</v>
      </c>
      <c r="X57" s="65">
        <v>52</v>
      </c>
      <c r="Y57" s="65">
        <v>52</v>
      </c>
      <c r="Z57" s="65">
        <v>54</v>
      </c>
      <c r="AA57" s="45">
        <v>69</v>
      </c>
      <c r="AB57" s="45">
        <v>70</v>
      </c>
      <c r="AC57" s="45">
        <v>68.7</v>
      </c>
      <c r="AD57" s="45">
        <v>68.7</v>
      </c>
      <c r="AE57" s="45">
        <v>68.7</v>
      </c>
      <c r="AF57" s="45">
        <v>68.900000000000006</v>
      </c>
      <c r="AG57" s="54">
        <v>69</v>
      </c>
      <c r="AH57" s="47">
        <f t="shared" si="2"/>
        <v>70</v>
      </c>
      <c r="AI57" s="48">
        <f t="shared" si="3"/>
        <v>32</v>
      </c>
      <c r="AK57" s="49"/>
    </row>
    <row r="58" spans="1:41" x14ac:dyDescent="0.25">
      <c r="A58" s="53" t="s">
        <v>64</v>
      </c>
      <c r="B58" s="65">
        <v>60.2</v>
      </c>
      <c r="C58" s="65">
        <v>60.4</v>
      </c>
      <c r="D58" s="65">
        <v>60.4</v>
      </c>
      <c r="E58" s="65">
        <v>60.4</v>
      </c>
      <c r="F58" s="65">
        <v>60.4</v>
      </c>
      <c r="G58" s="65">
        <v>60.4</v>
      </c>
      <c r="H58" s="65">
        <v>60.4</v>
      </c>
      <c r="I58" s="65">
        <v>60.4</v>
      </c>
      <c r="J58" s="65">
        <v>60.4</v>
      </c>
      <c r="K58" s="56">
        <v>60.4</v>
      </c>
      <c r="L58" s="56">
        <v>60.4</v>
      </c>
      <c r="M58" s="56">
        <v>60.4</v>
      </c>
      <c r="N58" s="65">
        <v>60.4</v>
      </c>
      <c r="O58" s="65">
        <v>60.2</v>
      </c>
      <c r="P58" s="65">
        <v>60.2</v>
      </c>
      <c r="Q58" s="65">
        <v>60.2</v>
      </c>
      <c r="R58" s="65">
        <v>60.4</v>
      </c>
      <c r="S58" s="65">
        <v>60.2</v>
      </c>
      <c r="T58" s="65">
        <v>60.2</v>
      </c>
      <c r="U58" s="65">
        <v>60.2</v>
      </c>
      <c r="V58" s="65">
        <v>60.2</v>
      </c>
      <c r="W58" s="65">
        <v>60.2</v>
      </c>
      <c r="X58" s="65">
        <v>60.2</v>
      </c>
      <c r="Y58" s="65">
        <v>60.2</v>
      </c>
      <c r="Z58" s="65">
        <v>60.2</v>
      </c>
      <c r="AA58" s="45">
        <v>60.2</v>
      </c>
      <c r="AB58" s="45">
        <v>60.4</v>
      </c>
      <c r="AC58" s="45">
        <v>60.4</v>
      </c>
      <c r="AD58" s="45">
        <v>60.4</v>
      </c>
      <c r="AE58" s="45">
        <v>60.4</v>
      </c>
      <c r="AF58" s="45">
        <v>60.4</v>
      </c>
      <c r="AG58" s="54">
        <v>60</v>
      </c>
      <c r="AH58" s="47">
        <f t="shared" si="2"/>
        <v>60.4</v>
      </c>
      <c r="AI58" s="48">
        <f t="shared" si="3"/>
        <v>60.2</v>
      </c>
      <c r="AK58" s="49"/>
    </row>
    <row r="59" spans="1:41" x14ac:dyDescent="0.25">
      <c r="A59" s="53" t="s">
        <v>65</v>
      </c>
      <c r="B59" s="65">
        <v>10</v>
      </c>
      <c r="C59" s="65">
        <v>10</v>
      </c>
      <c r="D59" s="65">
        <v>10</v>
      </c>
      <c r="E59" s="65">
        <v>10</v>
      </c>
      <c r="F59" s="65">
        <v>10</v>
      </c>
      <c r="G59" s="65">
        <v>10</v>
      </c>
      <c r="H59" s="65">
        <v>10</v>
      </c>
      <c r="I59" s="65">
        <v>10</v>
      </c>
      <c r="J59" s="65">
        <v>10</v>
      </c>
      <c r="K59" s="56">
        <v>22</v>
      </c>
      <c r="L59" s="56">
        <v>22</v>
      </c>
      <c r="M59" s="56">
        <v>22</v>
      </c>
      <c r="N59" s="65">
        <v>22</v>
      </c>
      <c r="O59" s="65">
        <v>22</v>
      </c>
      <c r="P59" s="65">
        <v>22</v>
      </c>
      <c r="Q59" s="65">
        <v>22</v>
      </c>
      <c r="R59" s="65">
        <v>10</v>
      </c>
      <c r="S59" s="65">
        <v>15</v>
      </c>
      <c r="T59" s="65">
        <v>15</v>
      </c>
      <c r="U59" s="65">
        <v>15</v>
      </c>
      <c r="V59" s="65">
        <v>15</v>
      </c>
      <c r="W59" s="65">
        <v>15</v>
      </c>
      <c r="X59" s="65">
        <v>15</v>
      </c>
      <c r="Y59" s="65">
        <v>0</v>
      </c>
      <c r="Z59" s="65">
        <v>0</v>
      </c>
      <c r="AA59" s="45">
        <v>0</v>
      </c>
      <c r="AB59" s="45">
        <v>12</v>
      </c>
      <c r="AC59" s="45">
        <v>12</v>
      </c>
      <c r="AD59" s="45">
        <v>12</v>
      </c>
      <c r="AE59" s="45">
        <v>12</v>
      </c>
      <c r="AF59" s="45">
        <v>12</v>
      </c>
      <c r="AG59" s="54">
        <v>30</v>
      </c>
      <c r="AH59" s="47">
        <f t="shared" si="2"/>
        <v>22</v>
      </c>
      <c r="AI59" s="48">
        <f t="shared" si="3"/>
        <v>0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12.8</v>
      </c>
      <c r="O60" s="65">
        <v>14.1</v>
      </c>
      <c r="P60" s="65">
        <v>14.1</v>
      </c>
      <c r="Q60" s="65">
        <v>14.1</v>
      </c>
      <c r="R60" s="65">
        <v>14.1</v>
      </c>
      <c r="S60" s="65">
        <v>8.1</v>
      </c>
      <c r="T60" s="65">
        <v>8.1</v>
      </c>
      <c r="U60" s="65">
        <v>6.9</v>
      </c>
      <c r="V60" s="65">
        <v>2.6</v>
      </c>
      <c r="W60" s="65">
        <v>2.6</v>
      </c>
      <c r="X60" s="65">
        <v>1</v>
      </c>
      <c r="Y60" s="65">
        <v>0.3</v>
      </c>
      <c r="Z60" s="65">
        <v>0.3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14.1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15</v>
      </c>
      <c r="C61" s="65">
        <v>15</v>
      </c>
      <c r="D61" s="65">
        <v>15</v>
      </c>
      <c r="E61" s="65">
        <v>15</v>
      </c>
      <c r="F61" s="65">
        <v>15</v>
      </c>
      <c r="G61" s="65">
        <v>15</v>
      </c>
      <c r="H61" s="65">
        <v>15</v>
      </c>
      <c r="I61" s="65">
        <v>15</v>
      </c>
      <c r="J61" s="65">
        <v>15</v>
      </c>
      <c r="K61" s="65">
        <v>15</v>
      </c>
      <c r="L61" s="65">
        <v>15</v>
      </c>
      <c r="M61" s="65">
        <v>15</v>
      </c>
      <c r="N61" s="65">
        <v>15</v>
      </c>
      <c r="O61" s="65">
        <v>15</v>
      </c>
      <c r="P61" s="65">
        <v>15</v>
      </c>
      <c r="Q61" s="65">
        <v>15</v>
      </c>
      <c r="R61" s="65">
        <v>15</v>
      </c>
      <c r="S61" s="65">
        <v>15</v>
      </c>
      <c r="T61" s="65">
        <v>15</v>
      </c>
      <c r="U61" s="65">
        <v>15</v>
      </c>
      <c r="V61" s="65">
        <v>15</v>
      </c>
      <c r="W61" s="65">
        <v>15</v>
      </c>
      <c r="X61" s="65">
        <v>15</v>
      </c>
      <c r="Y61" s="65">
        <v>15</v>
      </c>
      <c r="Z61" s="65">
        <v>15</v>
      </c>
      <c r="AA61" s="65">
        <v>15</v>
      </c>
      <c r="AB61" s="65">
        <v>15</v>
      </c>
      <c r="AC61" s="65">
        <v>15</v>
      </c>
      <c r="AD61" s="65">
        <v>15</v>
      </c>
      <c r="AE61" s="65">
        <v>15</v>
      </c>
      <c r="AF61" s="65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49"/>
    </row>
    <row r="62" spans="1:41" x14ac:dyDescent="0.25">
      <c r="A62" s="53" t="s">
        <v>68</v>
      </c>
      <c r="B62" s="65">
        <v>1.4</v>
      </c>
      <c r="C62" s="65">
        <v>1.4</v>
      </c>
      <c r="D62" s="65">
        <v>1.4</v>
      </c>
      <c r="E62" s="65">
        <v>1.4</v>
      </c>
      <c r="F62" s="65">
        <v>1.4</v>
      </c>
      <c r="G62" s="65">
        <v>1.4</v>
      </c>
      <c r="H62" s="65">
        <v>1.4</v>
      </c>
      <c r="I62" s="65">
        <v>1.4</v>
      </c>
      <c r="J62" s="65">
        <v>1.4</v>
      </c>
      <c r="K62" s="65">
        <v>1.4</v>
      </c>
      <c r="L62" s="65">
        <v>1.4</v>
      </c>
      <c r="M62" s="65">
        <v>1.4</v>
      </c>
      <c r="N62" s="65">
        <v>1.4</v>
      </c>
      <c r="O62" s="65">
        <v>1.4</v>
      </c>
      <c r="P62" s="65">
        <v>1.4</v>
      </c>
      <c r="Q62" s="65">
        <v>1.4</v>
      </c>
      <c r="R62" s="65">
        <v>1.4</v>
      </c>
      <c r="S62" s="65">
        <v>1.4</v>
      </c>
      <c r="T62" s="65">
        <v>1.4</v>
      </c>
      <c r="U62" s="65">
        <v>1.4</v>
      </c>
      <c r="V62" s="65">
        <v>1.4</v>
      </c>
      <c r="W62" s="65">
        <v>1.4</v>
      </c>
      <c r="X62" s="65">
        <v>1.4</v>
      </c>
      <c r="Y62" s="65">
        <v>1.4</v>
      </c>
      <c r="Z62" s="65">
        <v>1.4</v>
      </c>
      <c r="AA62" s="65">
        <v>1.4</v>
      </c>
      <c r="AB62" s="65">
        <v>1.4</v>
      </c>
      <c r="AC62" s="65">
        <v>1.4</v>
      </c>
      <c r="AD62" s="65">
        <v>1.4</v>
      </c>
      <c r="AE62" s="65">
        <v>1.4</v>
      </c>
      <c r="AF62" s="65">
        <v>1.4</v>
      </c>
      <c r="AG62" s="54">
        <v>15</v>
      </c>
      <c r="AH62" s="47">
        <f t="shared" si="2"/>
        <v>1.4</v>
      </c>
      <c r="AI62" s="48">
        <f t="shared" si="3"/>
        <v>1.4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12.6</v>
      </c>
      <c r="C63" s="65">
        <v>12.6</v>
      </c>
      <c r="D63" s="65">
        <v>12.6</v>
      </c>
      <c r="E63" s="65">
        <v>12.6</v>
      </c>
      <c r="F63" s="65">
        <v>12.6</v>
      </c>
      <c r="G63" s="65">
        <v>12.6</v>
      </c>
      <c r="H63" s="65">
        <v>12.6</v>
      </c>
      <c r="I63" s="65">
        <v>12.6</v>
      </c>
      <c r="J63" s="65">
        <v>12.6</v>
      </c>
      <c r="K63" s="65">
        <v>12.6</v>
      </c>
      <c r="L63" s="65">
        <v>12.6</v>
      </c>
      <c r="M63" s="65">
        <v>12.6</v>
      </c>
      <c r="N63" s="65">
        <v>12.6</v>
      </c>
      <c r="O63" s="65">
        <v>12.6</v>
      </c>
      <c r="P63" s="65">
        <v>12.6</v>
      </c>
      <c r="Q63" s="65">
        <v>12.6</v>
      </c>
      <c r="R63" s="65">
        <v>12.6</v>
      </c>
      <c r="S63" s="65">
        <v>12.6</v>
      </c>
      <c r="T63" s="65">
        <v>12.6</v>
      </c>
      <c r="U63" s="65">
        <v>12.6</v>
      </c>
      <c r="V63" s="65">
        <v>12.6</v>
      </c>
      <c r="W63" s="65">
        <v>12.6</v>
      </c>
      <c r="X63" s="65">
        <v>12.6</v>
      </c>
      <c r="Y63" s="65">
        <v>12.6</v>
      </c>
      <c r="Z63" s="65">
        <v>12.6</v>
      </c>
      <c r="AA63" s="65">
        <v>12.6</v>
      </c>
      <c r="AB63" s="65">
        <v>13.3</v>
      </c>
      <c r="AC63" s="65">
        <v>13.3</v>
      </c>
      <c r="AD63" s="65">
        <v>13.3</v>
      </c>
      <c r="AE63" s="65">
        <v>13.3</v>
      </c>
      <c r="AF63" s="65">
        <v>12.5</v>
      </c>
      <c r="AG63" s="54">
        <v>14.1</v>
      </c>
      <c r="AH63" s="47">
        <f t="shared" si="2"/>
        <v>13.3</v>
      </c>
      <c r="AI63" s="48">
        <f t="shared" si="3"/>
        <v>12.5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8.1999999999999993</v>
      </c>
      <c r="C64" s="65">
        <v>8.1999999999999993</v>
      </c>
      <c r="D64" s="65">
        <v>8.1999999999999993</v>
      </c>
      <c r="E64" s="65">
        <v>8.1999999999999993</v>
      </c>
      <c r="F64" s="65">
        <v>8.1999999999999993</v>
      </c>
      <c r="G64" s="65">
        <v>8.1999999999999993</v>
      </c>
      <c r="H64" s="65">
        <v>8.1999999999999993</v>
      </c>
      <c r="I64" s="65">
        <v>8.1999999999999993</v>
      </c>
      <c r="J64" s="65">
        <v>8.1999999999999993</v>
      </c>
      <c r="K64" s="65">
        <v>8.1999999999999993</v>
      </c>
      <c r="L64" s="65">
        <v>8.1999999999999993</v>
      </c>
      <c r="M64" s="65">
        <v>8.1999999999999993</v>
      </c>
      <c r="N64" s="65">
        <v>8.1999999999999993</v>
      </c>
      <c r="O64" s="65">
        <v>8.1999999999999993</v>
      </c>
      <c r="P64" s="65">
        <v>8.1999999999999993</v>
      </c>
      <c r="Q64" s="65">
        <v>8.1999999999999993</v>
      </c>
      <c r="R64" s="65">
        <v>8.1999999999999993</v>
      </c>
      <c r="S64" s="65">
        <v>9</v>
      </c>
      <c r="T64" s="65">
        <v>9</v>
      </c>
      <c r="U64" s="65">
        <v>9</v>
      </c>
      <c r="V64" s="65">
        <v>9</v>
      </c>
      <c r="W64" s="65">
        <v>9</v>
      </c>
      <c r="X64" s="65">
        <v>9.3000000000000007</v>
      </c>
      <c r="Y64" s="65">
        <v>9.3000000000000007</v>
      </c>
      <c r="Z64" s="65">
        <v>9.3000000000000007</v>
      </c>
      <c r="AA64" s="65">
        <v>13</v>
      </c>
      <c r="AB64" s="65">
        <v>13.1</v>
      </c>
      <c r="AC64" s="65">
        <v>14.1</v>
      </c>
      <c r="AD64" s="65">
        <v>14.1</v>
      </c>
      <c r="AE64" s="65">
        <v>14.1</v>
      </c>
      <c r="AF64" s="65">
        <v>14.2</v>
      </c>
      <c r="AG64" s="54">
        <v>14</v>
      </c>
      <c r="AH64" s="47">
        <f t="shared" si="2"/>
        <v>14.2</v>
      </c>
      <c r="AI64" s="48">
        <f t="shared" si="3"/>
        <v>8.1999999999999993</v>
      </c>
      <c r="AK64" s="49"/>
    </row>
    <row r="65" spans="1:40" x14ac:dyDescent="0.25">
      <c r="A65" s="53" t="s">
        <v>71</v>
      </c>
      <c r="B65" s="65">
        <v>6.3</v>
      </c>
      <c r="C65" s="65">
        <v>6.3</v>
      </c>
      <c r="D65" s="65">
        <v>6.3</v>
      </c>
      <c r="E65" s="65">
        <v>6.3</v>
      </c>
      <c r="F65" s="65">
        <v>6.3</v>
      </c>
      <c r="G65" s="65">
        <v>6.3</v>
      </c>
      <c r="H65" s="65">
        <v>6.3</v>
      </c>
      <c r="I65" s="65">
        <v>6.3</v>
      </c>
      <c r="J65" s="65">
        <v>6.3</v>
      </c>
      <c r="K65" s="65">
        <v>6.3</v>
      </c>
      <c r="L65" s="65">
        <v>6.3</v>
      </c>
      <c r="M65" s="65">
        <v>6.3</v>
      </c>
      <c r="N65" s="65">
        <v>6.3</v>
      </c>
      <c r="O65" s="65">
        <v>6.3</v>
      </c>
      <c r="P65" s="65">
        <v>6.3</v>
      </c>
      <c r="Q65" s="65">
        <v>6.3</v>
      </c>
      <c r="R65" s="65">
        <v>6.3</v>
      </c>
      <c r="S65" s="65">
        <v>6.3</v>
      </c>
      <c r="T65" s="65">
        <v>6.3</v>
      </c>
      <c r="U65" s="65">
        <v>6.3</v>
      </c>
      <c r="V65" s="65">
        <v>6.3</v>
      </c>
      <c r="W65" s="65">
        <v>6.3</v>
      </c>
      <c r="X65" s="65">
        <v>6.3</v>
      </c>
      <c r="Y65" s="65">
        <v>6.3</v>
      </c>
      <c r="Z65" s="65">
        <v>6.3</v>
      </c>
      <c r="AA65" s="65">
        <v>6.3</v>
      </c>
      <c r="AB65" s="65">
        <v>6.3</v>
      </c>
      <c r="AC65" s="65">
        <v>6.3</v>
      </c>
      <c r="AD65" s="65">
        <v>6.3</v>
      </c>
      <c r="AE65" s="65">
        <v>6.3</v>
      </c>
      <c r="AF65" s="65">
        <v>6.3</v>
      </c>
      <c r="AG65" s="54">
        <v>10.050000000000001</v>
      </c>
      <c r="AH65" s="47">
        <f t="shared" si="2"/>
        <v>6.3</v>
      </c>
      <c r="AI65" s="48">
        <f t="shared" si="3"/>
        <v>6.3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6">SUM(B55:B67)</f>
        <v>310.24</v>
      </c>
      <c r="C68" s="60">
        <f t="shared" si="6"/>
        <v>312.14000000000004</v>
      </c>
      <c r="D68" s="60">
        <f t="shared" si="6"/>
        <v>305.94</v>
      </c>
      <c r="E68" s="60">
        <f t="shared" si="6"/>
        <v>295.44</v>
      </c>
      <c r="F68" s="60">
        <f t="shared" si="6"/>
        <v>282.44000000000005</v>
      </c>
      <c r="G68" s="60">
        <f t="shared" si="6"/>
        <v>285.44000000000005</v>
      </c>
      <c r="H68" s="60">
        <f t="shared" si="6"/>
        <v>325.44</v>
      </c>
      <c r="I68" s="60">
        <f t="shared" si="6"/>
        <v>297.64000000000004</v>
      </c>
      <c r="J68" s="60">
        <f t="shared" si="6"/>
        <v>356.44</v>
      </c>
      <c r="K68" s="60">
        <f t="shared" si="6"/>
        <v>340.64</v>
      </c>
      <c r="L68" s="60">
        <f t="shared" si="6"/>
        <v>366.64</v>
      </c>
      <c r="M68" s="60">
        <f t="shared" si="6"/>
        <v>366.64</v>
      </c>
      <c r="N68" s="60">
        <f t="shared" si="6"/>
        <v>360.04</v>
      </c>
      <c r="O68" s="60">
        <f t="shared" si="6"/>
        <v>366.14000000000004</v>
      </c>
      <c r="P68" s="60">
        <f t="shared" si="6"/>
        <v>404.64000000000004</v>
      </c>
      <c r="Q68" s="60">
        <f t="shared" si="6"/>
        <v>418.64000000000004</v>
      </c>
      <c r="R68" s="60">
        <f t="shared" si="6"/>
        <v>402.74</v>
      </c>
      <c r="S68" s="60">
        <f t="shared" si="6"/>
        <v>404.14000000000004</v>
      </c>
      <c r="T68" s="60">
        <f t="shared" si="6"/>
        <v>404.14000000000004</v>
      </c>
      <c r="U68" s="60">
        <f t="shared" si="6"/>
        <v>404.94</v>
      </c>
      <c r="V68" s="60">
        <f t="shared" si="6"/>
        <v>393.64000000000004</v>
      </c>
      <c r="W68" s="60">
        <f t="shared" si="6"/>
        <v>340.64000000000004</v>
      </c>
      <c r="X68" s="60">
        <f t="shared" si="6"/>
        <v>339.34000000000003</v>
      </c>
      <c r="Y68" s="60">
        <f t="shared" si="6"/>
        <v>312.64000000000004</v>
      </c>
      <c r="Z68" s="60">
        <f t="shared" si="6"/>
        <v>330.64000000000004</v>
      </c>
      <c r="AA68" s="60">
        <f t="shared" si="6"/>
        <v>364.04</v>
      </c>
      <c r="AB68" s="60">
        <f t="shared" si="6"/>
        <v>389.04</v>
      </c>
      <c r="AC68" s="60">
        <f>SUM(AC55:AC67)</f>
        <v>363.84000000000003</v>
      </c>
      <c r="AD68" s="60">
        <f t="shared" si="6"/>
        <v>363.84000000000003</v>
      </c>
      <c r="AE68" s="60">
        <f t="shared" si="6"/>
        <v>363.84000000000003</v>
      </c>
      <c r="AF68" s="60">
        <f>SUM(AF55:AF67)</f>
        <v>342.54</v>
      </c>
      <c r="AG68" s="61">
        <f t="shared" si="6"/>
        <v>489.91</v>
      </c>
      <c r="AH68" s="47">
        <f t="shared" si="2"/>
        <v>418.64000000000004</v>
      </c>
      <c r="AI68" s="48">
        <f t="shared" si="3"/>
        <v>282.44000000000005</v>
      </c>
      <c r="AK68" s="49"/>
    </row>
    <row r="69" spans="1:40" x14ac:dyDescent="0.25">
      <c r="A69" s="44" t="s">
        <v>75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24</v>
      </c>
      <c r="J69" s="45">
        <v>24</v>
      </c>
      <c r="K69" s="45">
        <v>30</v>
      </c>
      <c r="L69" s="45">
        <v>30</v>
      </c>
      <c r="M69" s="45">
        <v>30</v>
      </c>
      <c r="N69" s="45">
        <v>20</v>
      </c>
      <c r="O69" s="45">
        <v>0</v>
      </c>
      <c r="P69" s="45">
        <v>30</v>
      </c>
      <c r="Q69" s="45">
        <v>55</v>
      </c>
      <c r="R69" s="45">
        <v>50</v>
      </c>
      <c r="S69" s="45">
        <v>60</v>
      </c>
      <c r="T69" s="45">
        <v>60</v>
      </c>
      <c r="U69" s="45">
        <v>60</v>
      </c>
      <c r="V69" s="45">
        <v>34</v>
      </c>
      <c r="W69" s="45">
        <v>14</v>
      </c>
      <c r="X69" s="45">
        <v>14</v>
      </c>
      <c r="Y69" s="45">
        <v>0</v>
      </c>
      <c r="Z69" s="45">
        <v>0</v>
      </c>
      <c r="AA69" s="45">
        <v>30</v>
      </c>
      <c r="AB69" s="45">
        <v>20</v>
      </c>
      <c r="AC69" s="45">
        <v>10</v>
      </c>
      <c r="AD69" s="45">
        <v>10</v>
      </c>
      <c r="AE69" s="45">
        <v>10</v>
      </c>
      <c r="AF69" s="45">
        <v>0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65">
        <v>0</v>
      </c>
      <c r="I70" s="65">
        <v>6.5</v>
      </c>
      <c r="J70" s="65">
        <v>11.9</v>
      </c>
      <c r="K70" s="65">
        <v>16.2</v>
      </c>
      <c r="L70" s="65">
        <v>13.2</v>
      </c>
      <c r="M70" s="65">
        <v>13.2</v>
      </c>
      <c r="N70" s="65">
        <v>6</v>
      </c>
      <c r="O70" s="65">
        <v>0</v>
      </c>
      <c r="P70" s="65">
        <v>14.8</v>
      </c>
      <c r="Q70" s="65">
        <v>21.5</v>
      </c>
      <c r="R70" s="65">
        <v>27.2</v>
      </c>
      <c r="S70" s="65">
        <v>29.5</v>
      </c>
      <c r="T70" s="65">
        <v>29.5</v>
      </c>
      <c r="U70" s="65">
        <v>29.5</v>
      </c>
      <c r="V70" s="65">
        <v>30.5</v>
      </c>
      <c r="W70" s="65">
        <v>5</v>
      </c>
      <c r="X70" s="65">
        <v>5.9</v>
      </c>
      <c r="Y70" s="65">
        <v>0</v>
      </c>
      <c r="Z70" s="65">
        <v>0</v>
      </c>
      <c r="AA70" s="65">
        <v>13</v>
      </c>
      <c r="AB70" s="65">
        <v>9</v>
      </c>
      <c r="AC70" s="65">
        <v>5.2</v>
      </c>
      <c r="AD70" s="65">
        <v>5.2</v>
      </c>
      <c r="AE70" s="65">
        <v>5.2</v>
      </c>
      <c r="AF70" s="65">
        <v>0</v>
      </c>
      <c r="AG70" s="54">
        <v>32</v>
      </c>
      <c r="AH70" s="47">
        <f t="shared" si="2"/>
        <v>30.5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67">
        <v>0</v>
      </c>
      <c r="I71" s="67">
        <v>2.4</v>
      </c>
      <c r="J71" s="67">
        <v>4.3</v>
      </c>
      <c r="K71" s="67">
        <v>6.4</v>
      </c>
      <c r="L71" s="67">
        <v>6.4</v>
      </c>
      <c r="M71" s="67">
        <v>6.4</v>
      </c>
      <c r="N71" s="67">
        <v>1.4</v>
      </c>
      <c r="O71" s="67">
        <v>0</v>
      </c>
      <c r="P71" s="67">
        <v>5.4</v>
      </c>
      <c r="Q71" s="67">
        <v>7.8</v>
      </c>
      <c r="R71" s="67">
        <v>9.9</v>
      </c>
      <c r="S71" s="67">
        <v>10.8</v>
      </c>
      <c r="T71" s="67">
        <v>10.8</v>
      </c>
      <c r="U71" s="67">
        <v>10.8</v>
      </c>
      <c r="V71" s="67">
        <v>11.1</v>
      </c>
      <c r="W71" s="67">
        <v>1.7</v>
      </c>
      <c r="X71" s="67">
        <v>2.1</v>
      </c>
      <c r="Y71" s="67">
        <v>0</v>
      </c>
      <c r="Z71" s="67">
        <v>0</v>
      </c>
      <c r="AA71" s="67">
        <v>4.8</v>
      </c>
      <c r="AB71" s="67">
        <v>3.3</v>
      </c>
      <c r="AC71" s="67">
        <v>1.9</v>
      </c>
      <c r="AD71" s="67">
        <v>1.9</v>
      </c>
      <c r="AE71" s="67">
        <v>1.9</v>
      </c>
      <c r="AF71" s="67">
        <v>0</v>
      </c>
      <c r="AG71" s="68">
        <v>14</v>
      </c>
      <c r="AH71" s="47">
        <f t="shared" si="2"/>
        <v>11.1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49.6</v>
      </c>
      <c r="M72" s="60">
        <f t="shared" ref="M72:AE72" si="7">M69+M70+M71</f>
        <v>49.6</v>
      </c>
      <c r="N72" s="60">
        <f t="shared" si="7"/>
        <v>27.4</v>
      </c>
      <c r="O72" s="60">
        <f t="shared" si="7"/>
        <v>0</v>
      </c>
      <c r="P72" s="60">
        <f t="shared" si="7"/>
        <v>50.199999999999996</v>
      </c>
      <c r="Q72" s="60">
        <f t="shared" si="7"/>
        <v>84.3</v>
      </c>
      <c r="R72" s="60">
        <f t="shared" si="7"/>
        <v>87.100000000000009</v>
      </c>
      <c r="S72" s="60">
        <f t="shared" si="7"/>
        <v>100.3</v>
      </c>
      <c r="T72" s="60">
        <f t="shared" si="7"/>
        <v>100.3</v>
      </c>
      <c r="U72" s="60">
        <f t="shared" si="7"/>
        <v>100.3</v>
      </c>
      <c r="V72" s="60">
        <f t="shared" si="7"/>
        <v>75.599999999999994</v>
      </c>
      <c r="W72" s="60">
        <f t="shared" si="7"/>
        <v>20.7</v>
      </c>
      <c r="X72" s="60">
        <f t="shared" si="7"/>
        <v>22</v>
      </c>
      <c r="Y72" s="60">
        <f t="shared" si="7"/>
        <v>0</v>
      </c>
      <c r="Z72" s="60">
        <f t="shared" si="7"/>
        <v>0</v>
      </c>
      <c r="AA72" s="60">
        <f t="shared" si="7"/>
        <v>47.8</v>
      </c>
      <c r="AB72" s="60">
        <f t="shared" si="7"/>
        <v>32.299999999999997</v>
      </c>
      <c r="AC72" s="60">
        <f>AC69+AC70+AC71</f>
        <v>17.099999999999998</v>
      </c>
      <c r="AD72" s="60">
        <f t="shared" si="7"/>
        <v>17.099999999999998</v>
      </c>
      <c r="AE72" s="60">
        <f t="shared" si="7"/>
        <v>17.099999999999998</v>
      </c>
      <c r="AF72" s="60">
        <f>AF69+AF70+AF71</f>
        <v>0</v>
      </c>
      <c r="AG72" s="61">
        <f>SUM(AG69:AG71)</f>
        <v>106</v>
      </c>
      <c r="AH72" s="47">
        <f t="shared" si="2"/>
        <v>100.3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69</v>
      </c>
      <c r="C73" s="45">
        <v>68.5</v>
      </c>
      <c r="D73" s="45">
        <v>65.7</v>
      </c>
      <c r="E73" s="45">
        <v>58</v>
      </c>
      <c r="F73" s="45">
        <v>62</v>
      </c>
      <c r="G73" s="45">
        <v>55.3</v>
      </c>
      <c r="H73" s="45">
        <v>52</v>
      </c>
      <c r="I73" s="45">
        <v>42</v>
      </c>
      <c r="J73" s="45">
        <v>42</v>
      </c>
      <c r="K73" s="45">
        <v>64.099999999999994</v>
      </c>
      <c r="L73" s="45">
        <v>59</v>
      </c>
      <c r="M73" s="45">
        <v>71</v>
      </c>
      <c r="N73" s="45">
        <v>75</v>
      </c>
      <c r="O73" s="45">
        <v>73.3</v>
      </c>
      <c r="P73" s="45">
        <v>68</v>
      </c>
      <c r="Q73" s="45">
        <v>70.2</v>
      </c>
      <c r="R73" s="45">
        <v>62.9</v>
      </c>
      <c r="S73" s="45">
        <v>70</v>
      </c>
      <c r="T73" s="45">
        <v>70</v>
      </c>
      <c r="U73" s="45">
        <v>70</v>
      </c>
      <c r="V73" s="45">
        <v>69</v>
      </c>
      <c r="W73" s="45">
        <v>73</v>
      </c>
      <c r="X73" s="45">
        <v>71.7</v>
      </c>
      <c r="Y73" s="45">
        <v>65.3</v>
      </c>
      <c r="Z73" s="45">
        <v>62.2</v>
      </c>
      <c r="AA73" s="45">
        <v>67.3</v>
      </c>
      <c r="AB73" s="45">
        <v>58.9</v>
      </c>
      <c r="AC73" s="45">
        <v>57.2</v>
      </c>
      <c r="AD73" s="45">
        <v>58.3</v>
      </c>
      <c r="AE73" s="45">
        <v>56.2</v>
      </c>
      <c r="AF73" s="45">
        <v>55</v>
      </c>
      <c r="AG73" s="51"/>
      <c r="AH73" s="47">
        <f t="shared" si="2"/>
        <v>75</v>
      </c>
      <c r="AI73" s="48">
        <f t="shared" si="3"/>
        <v>42</v>
      </c>
      <c r="AK73" s="49"/>
    </row>
    <row r="74" spans="1:40" x14ac:dyDescent="0.25">
      <c r="A74" s="53" t="s">
        <v>80</v>
      </c>
      <c r="B74" s="65">
        <v>85</v>
      </c>
      <c r="C74" s="65">
        <v>84</v>
      </c>
      <c r="D74" s="65">
        <v>72.5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83</v>
      </c>
      <c r="T74" s="65">
        <v>83</v>
      </c>
      <c r="U74" s="65">
        <v>81</v>
      </c>
      <c r="V74" s="65">
        <v>80.599999999999994</v>
      </c>
      <c r="W74" s="65">
        <v>73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85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8</v>
      </c>
      <c r="C75" s="65">
        <v>0</v>
      </c>
      <c r="D75" s="65">
        <v>2</v>
      </c>
      <c r="E75" s="65">
        <v>2</v>
      </c>
      <c r="F75" s="65">
        <v>100</v>
      </c>
      <c r="G75" s="65">
        <v>200</v>
      </c>
      <c r="H75" s="65">
        <v>250</v>
      </c>
      <c r="I75" s="65">
        <v>265</v>
      </c>
      <c r="J75" s="65">
        <v>265</v>
      </c>
      <c r="K75" s="65">
        <v>320</v>
      </c>
      <c r="L75" s="65">
        <v>220</v>
      </c>
      <c r="M75" s="65">
        <v>230</v>
      </c>
      <c r="N75" s="65">
        <v>370</v>
      </c>
      <c r="O75" s="65">
        <v>365</v>
      </c>
      <c r="P75" s="65">
        <v>362</v>
      </c>
      <c r="Q75" s="65">
        <v>310</v>
      </c>
      <c r="R75" s="65">
        <v>293</v>
      </c>
      <c r="S75" s="65">
        <v>248</v>
      </c>
      <c r="T75" s="65">
        <v>290</v>
      </c>
      <c r="U75" s="65">
        <v>245</v>
      </c>
      <c r="V75" s="65">
        <v>269</v>
      </c>
      <c r="W75" s="65">
        <v>244</v>
      </c>
      <c r="X75" s="65">
        <v>283</v>
      </c>
      <c r="Y75" s="65">
        <v>275</v>
      </c>
      <c r="Z75" s="65">
        <v>312</v>
      </c>
      <c r="AA75" s="65">
        <v>-5</v>
      </c>
      <c r="AB75" s="65">
        <v>0</v>
      </c>
      <c r="AC75" s="65">
        <v>0</v>
      </c>
      <c r="AD75" s="65">
        <v>0</v>
      </c>
      <c r="AE75" s="65">
        <v>0</v>
      </c>
      <c r="AF75" s="65">
        <v>5</v>
      </c>
      <c r="AG75" s="75"/>
      <c r="AH75" s="47">
        <f t="shared" si="2"/>
        <v>370</v>
      </c>
      <c r="AI75" s="48">
        <f t="shared" si="3"/>
        <v>-5</v>
      </c>
      <c r="AK75" s="49"/>
    </row>
    <row r="76" spans="1:40" x14ac:dyDescent="0.25">
      <c r="A76" s="53" t="s">
        <v>82</v>
      </c>
      <c r="B76" s="65">
        <v>13</v>
      </c>
      <c r="C76" s="65">
        <v>13</v>
      </c>
      <c r="D76" s="65">
        <v>13</v>
      </c>
      <c r="E76" s="65">
        <v>13</v>
      </c>
      <c r="F76" s="65">
        <v>13</v>
      </c>
      <c r="G76" s="65">
        <v>13</v>
      </c>
      <c r="H76" s="65">
        <v>13</v>
      </c>
      <c r="I76" s="76">
        <v>22</v>
      </c>
      <c r="J76" s="76">
        <v>22</v>
      </c>
      <c r="K76" s="76">
        <v>22</v>
      </c>
      <c r="L76" s="76">
        <v>22</v>
      </c>
      <c r="M76" s="76">
        <v>22</v>
      </c>
      <c r="N76" s="76">
        <v>30</v>
      </c>
      <c r="O76" s="76">
        <v>29.9</v>
      </c>
      <c r="P76" s="76">
        <v>26.2</v>
      </c>
      <c r="Q76" s="76">
        <v>29.9</v>
      </c>
      <c r="R76" s="76">
        <v>51.8</v>
      </c>
      <c r="S76" s="76">
        <v>29.5</v>
      </c>
      <c r="T76" s="76">
        <v>29.5</v>
      </c>
      <c r="U76" s="76">
        <v>28</v>
      </c>
      <c r="V76" s="76">
        <v>24.1</v>
      </c>
      <c r="W76" s="76">
        <v>23.1</v>
      </c>
      <c r="X76" s="76">
        <v>23</v>
      </c>
      <c r="Y76" s="76">
        <v>23.6</v>
      </c>
      <c r="Z76" s="76">
        <v>23.6</v>
      </c>
      <c r="AA76" s="76">
        <v>26</v>
      </c>
      <c r="AB76" s="76">
        <v>15</v>
      </c>
      <c r="AC76" s="76">
        <v>15</v>
      </c>
      <c r="AD76" s="76">
        <v>15</v>
      </c>
      <c r="AE76" s="76">
        <v>15</v>
      </c>
      <c r="AF76" s="76">
        <v>15</v>
      </c>
      <c r="AG76" s="75"/>
      <c r="AH76" s="47">
        <f t="shared" si="2"/>
        <v>51.8</v>
      </c>
      <c r="AI76" s="48">
        <f t="shared" si="3"/>
        <v>13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22</v>
      </c>
      <c r="O77" s="45">
        <v>24.4</v>
      </c>
      <c r="P77" s="45">
        <v>31.2</v>
      </c>
      <c r="Q77" s="45">
        <v>31.7</v>
      </c>
      <c r="R77" s="45">
        <v>31.7</v>
      </c>
      <c r="S77" s="45">
        <v>38.5</v>
      </c>
      <c r="T77" s="45">
        <v>38.5</v>
      </c>
      <c r="U77" s="45">
        <v>37.6</v>
      </c>
      <c r="V77" s="45">
        <v>35</v>
      </c>
      <c r="W77" s="45">
        <v>31</v>
      </c>
      <c r="X77" s="45">
        <v>29</v>
      </c>
      <c r="Y77" s="45">
        <v>29</v>
      </c>
      <c r="Z77" s="45">
        <v>29</v>
      </c>
      <c r="AA77" s="45">
        <v>29</v>
      </c>
      <c r="AB77" s="45">
        <v>26.8</v>
      </c>
      <c r="AC77" s="45">
        <v>26</v>
      </c>
      <c r="AD77" s="45">
        <v>26.4</v>
      </c>
      <c r="AE77" s="45">
        <v>26.4</v>
      </c>
      <c r="AF77" s="45">
        <v>29.4</v>
      </c>
      <c r="AG77" s="75"/>
      <c r="AH77" s="47">
        <f t="shared" ref="AH77:AH120" si="8">MAX(B77:AF77)</f>
        <v>38.5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45">
        <v>6.5</v>
      </c>
      <c r="C78" s="45">
        <v>6.5</v>
      </c>
      <c r="D78" s="45">
        <v>6.5</v>
      </c>
      <c r="E78" s="45">
        <v>6.5</v>
      </c>
      <c r="F78" s="45">
        <v>6.5</v>
      </c>
      <c r="G78" s="45">
        <v>6.5</v>
      </c>
      <c r="H78" s="45">
        <v>6.5</v>
      </c>
      <c r="I78" s="45">
        <v>6.5</v>
      </c>
      <c r="J78" s="45">
        <v>6.5</v>
      </c>
      <c r="K78" s="45">
        <v>6.5</v>
      </c>
      <c r="L78" s="45">
        <v>6.5</v>
      </c>
      <c r="M78" s="45">
        <v>6.5</v>
      </c>
      <c r="N78" s="45">
        <v>6.5</v>
      </c>
      <c r="O78" s="45">
        <v>6.5</v>
      </c>
      <c r="P78" s="45">
        <v>6.5</v>
      </c>
      <c r="Q78" s="45">
        <v>6.5</v>
      </c>
      <c r="R78" s="45">
        <v>6.5</v>
      </c>
      <c r="S78" s="45">
        <v>6.5</v>
      </c>
      <c r="T78" s="45">
        <v>6.5</v>
      </c>
      <c r="U78" s="45">
        <v>6.5</v>
      </c>
      <c r="V78" s="45">
        <v>6.5</v>
      </c>
      <c r="W78" s="45">
        <v>6.5</v>
      </c>
      <c r="X78" s="45">
        <v>6.5</v>
      </c>
      <c r="Y78" s="45">
        <v>6.5</v>
      </c>
      <c r="Z78" s="45">
        <v>6.5</v>
      </c>
      <c r="AA78" s="77">
        <v>6.5</v>
      </c>
      <c r="AB78" s="77">
        <v>6</v>
      </c>
      <c r="AC78" s="77">
        <v>6</v>
      </c>
      <c r="AD78" s="77">
        <v>6</v>
      </c>
      <c r="AE78" s="77">
        <v>6</v>
      </c>
      <c r="AF78" s="77">
        <v>6</v>
      </c>
      <c r="AG78" s="75"/>
      <c r="AH78" s="47">
        <f t="shared" si="8"/>
        <v>6.5</v>
      </c>
      <c r="AI78" s="48">
        <f t="shared" si="9"/>
        <v>6</v>
      </c>
      <c r="AK78" s="49"/>
    </row>
    <row r="79" spans="1:40" ht="15.75" thickBot="1" x14ac:dyDescent="0.3">
      <c r="A79" s="53" t="s">
        <v>85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0</v>
      </c>
      <c r="U79" s="45">
        <v>0</v>
      </c>
      <c r="V79" s="45">
        <v>0</v>
      </c>
      <c r="W79" s="45">
        <v>0</v>
      </c>
      <c r="X79" s="45">
        <v>0</v>
      </c>
      <c r="Y79" s="45">
        <v>0</v>
      </c>
      <c r="Z79" s="45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45">
        <v>0</v>
      </c>
      <c r="S80" s="45">
        <v>0</v>
      </c>
      <c r="T80" s="45">
        <v>0</v>
      </c>
      <c r="U80" s="45">
        <v>0</v>
      </c>
      <c r="V80" s="45">
        <v>0</v>
      </c>
      <c r="W80" s="45">
        <v>0</v>
      </c>
      <c r="X80" s="45">
        <v>0</v>
      </c>
      <c r="Y80" s="45">
        <v>0</v>
      </c>
      <c r="Z80" s="45">
        <v>0</v>
      </c>
      <c r="AA80" s="77">
        <v>3.5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3.5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45">
        <v>0</v>
      </c>
      <c r="R81" s="45">
        <v>0</v>
      </c>
      <c r="S81" s="45">
        <v>0</v>
      </c>
      <c r="T81" s="45">
        <v>0</v>
      </c>
      <c r="U81" s="45">
        <v>0</v>
      </c>
      <c r="V81" s="45">
        <v>0</v>
      </c>
      <c r="W81" s="45">
        <v>0</v>
      </c>
      <c r="X81" s="45">
        <v>0</v>
      </c>
      <c r="Y81" s="45">
        <v>0</v>
      </c>
      <c r="Z81" s="45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0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 t="shared" ref="B84:AE84" si="10">SUMIF(B73:B83,"&gt;0")</f>
        <v>181.5</v>
      </c>
      <c r="C84" s="60">
        <f t="shared" si="10"/>
        <v>172</v>
      </c>
      <c r="D84" s="60">
        <f t="shared" si="10"/>
        <v>159.69999999999999</v>
      </c>
      <c r="E84" s="60">
        <f t="shared" si="10"/>
        <v>79.5</v>
      </c>
      <c r="F84" s="60">
        <f t="shared" si="10"/>
        <v>181.5</v>
      </c>
      <c r="G84" s="60">
        <f t="shared" si="10"/>
        <v>274.8</v>
      </c>
      <c r="H84" s="60">
        <f t="shared" si="10"/>
        <v>321.5</v>
      </c>
      <c r="I84" s="60">
        <f t="shared" si="10"/>
        <v>335.5</v>
      </c>
      <c r="J84" s="60">
        <f t="shared" si="10"/>
        <v>335.5</v>
      </c>
      <c r="K84" s="60">
        <f t="shared" si="10"/>
        <v>412.6</v>
      </c>
      <c r="L84" s="60">
        <f t="shared" si="10"/>
        <v>307.5</v>
      </c>
      <c r="M84" s="60">
        <f t="shared" si="10"/>
        <v>329.5</v>
      </c>
      <c r="N84" s="60">
        <f t="shared" si="10"/>
        <v>503.5</v>
      </c>
      <c r="O84" s="60">
        <f t="shared" si="10"/>
        <v>499.09999999999997</v>
      </c>
      <c r="P84" s="60">
        <f t="shared" si="10"/>
        <v>493.9</v>
      </c>
      <c r="Q84" s="60">
        <f t="shared" si="10"/>
        <v>448.29999999999995</v>
      </c>
      <c r="R84" s="60">
        <f t="shared" si="10"/>
        <v>445.9</v>
      </c>
      <c r="S84" s="60">
        <f t="shared" si="10"/>
        <v>475.5</v>
      </c>
      <c r="T84" s="60">
        <f t="shared" si="10"/>
        <v>517.5</v>
      </c>
      <c r="U84" s="60">
        <f t="shared" si="10"/>
        <v>468.1</v>
      </c>
      <c r="V84" s="60">
        <f t="shared" si="10"/>
        <v>484.20000000000005</v>
      </c>
      <c r="W84" s="60">
        <f t="shared" si="10"/>
        <v>450.6</v>
      </c>
      <c r="X84" s="60">
        <f t="shared" si="10"/>
        <v>413.2</v>
      </c>
      <c r="Y84" s="60">
        <f t="shared" si="10"/>
        <v>399.40000000000003</v>
      </c>
      <c r="Z84" s="60">
        <f t="shared" si="10"/>
        <v>433.3</v>
      </c>
      <c r="AA84" s="60">
        <f t="shared" si="10"/>
        <v>132.30000000000001</v>
      </c>
      <c r="AB84" s="60">
        <f t="shared" si="10"/>
        <v>106.7</v>
      </c>
      <c r="AC84" s="60">
        <f>SUMIF(AC73:AC83,"&gt;0")</f>
        <v>104.2</v>
      </c>
      <c r="AD84" s="60">
        <f t="shared" si="10"/>
        <v>105.69999999999999</v>
      </c>
      <c r="AE84" s="60">
        <f t="shared" si="10"/>
        <v>103.6</v>
      </c>
      <c r="AF84" s="60">
        <f>SUMIF(AF73:AF83,"&gt;0")</f>
        <v>110.4</v>
      </c>
      <c r="AG84" s="88">
        <f>SUM(AG73:AG83)</f>
        <v>0</v>
      </c>
      <c r="AH84" s="47">
        <f t="shared" si="8"/>
        <v>517.5</v>
      </c>
      <c r="AI84" s="48">
        <f t="shared" si="9"/>
        <v>79.5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 t="shared" ref="B89:AG89" si="11">B50+B54+B72+B68+B84+B88</f>
        <v>1638.3400000000001</v>
      </c>
      <c r="C89" s="95">
        <f t="shared" si="11"/>
        <v>1608.64</v>
      </c>
      <c r="D89" s="95">
        <f t="shared" si="11"/>
        <v>1613.4400000000003</v>
      </c>
      <c r="E89" s="95">
        <f t="shared" si="11"/>
        <v>1487.7400000000002</v>
      </c>
      <c r="F89" s="95">
        <f t="shared" si="11"/>
        <v>1566.7400000000002</v>
      </c>
      <c r="G89" s="95">
        <f t="shared" si="11"/>
        <v>1563.0400000000002</v>
      </c>
      <c r="H89" s="95">
        <f t="shared" si="11"/>
        <v>1539.7400000000002</v>
      </c>
      <c r="I89" s="95">
        <f t="shared" si="11"/>
        <v>1545.9400000000003</v>
      </c>
      <c r="J89" s="95">
        <f t="shared" si="11"/>
        <v>1569.7400000000002</v>
      </c>
      <c r="K89" s="95">
        <f t="shared" si="11"/>
        <v>1546.04</v>
      </c>
      <c r="L89" s="95">
        <f t="shared" si="11"/>
        <v>1626.5400000000002</v>
      </c>
      <c r="M89" s="95">
        <f t="shared" si="11"/>
        <v>1653.5400000000002</v>
      </c>
      <c r="N89" s="95">
        <f t="shared" si="11"/>
        <v>1660.14</v>
      </c>
      <c r="O89" s="95">
        <f t="shared" si="11"/>
        <v>1714.14</v>
      </c>
      <c r="P89" s="95">
        <f t="shared" si="11"/>
        <v>1852.6400000000003</v>
      </c>
      <c r="Q89" s="95">
        <f t="shared" si="11"/>
        <v>1908.8400000000001</v>
      </c>
      <c r="R89" s="95">
        <f t="shared" si="11"/>
        <v>1912.2400000000002</v>
      </c>
      <c r="S89" s="95">
        <f t="shared" si="11"/>
        <v>1856.44</v>
      </c>
      <c r="T89" s="95">
        <f t="shared" si="11"/>
        <v>1828.44</v>
      </c>
      <c r="U89" s="95">
        <f t="shared" si="11"/>
        <v>1838.1399999999999</v>
      </c>
      <c r="V89" s="95">
        <f t="shared" si="11"/>
        <v>1768.2400000000002</v>
      </c>
      <c r="W89" s="95">
        <f t="shared" si="11"/>
        <v>1666.7400000000002</v>
      </c>
      <c r="X89" s="95">
        <f t="shared" si="11"/>
        <v>1629.3400000000001</v>
      </c>
      <c r="Y89" s="95">
        <f t="shared" si="11"/>
        <v>1610.3400000000001</v>
      </c>
      <c r="Z89" s="95">
        <f t="shared" si="11"/>
        <v>1682.24</v>
      </c>
      <c r="AA89" s="95">
        <f t="shared" si="11"/>
        <v>1752.44</v>
      </c>
      <c r="AB89" s="95">
        <f t="shared" si="11"/>
        <v>1745.1399999999999</v>
      </c>
      <c r="AC89" s="95">
        <f>AC50+AC54+AC72+AC68+AC84+AC88</f>
        <v>1684.84</v>
      </c>
      <c r="AD89" s="95">
        <f t="shared" si="11"/>
        <v>1636.34</v>
      </c>
      <c r="AE89" s="95">
        <f t="shared" si="11"/>
        <v>1634.2399999999998</v>
      </c>
      <c r="AF89" s="95">
        <f>AF50+AF54+AF72+AF68+AF84+AF88</f>
        <v>1657.6399999999999</v>
      </c>
      <c r="AG89" s="61">
        <f t="shared" si="11"/>
        <v>2111.5500000000002</v>
      </c>
      <c r="AH89" s="47">
        <f t="shared" si="8"/>
        <v>1912.2400000000002</v>
      </c>
      <c r="AI89" s="48">
        <f t="shared" si="9"/>
        <v>1487.7400000000002</v>
      </c>
    </row>
    <row r="90" spans="1:40" ht="15.75" thickBot="1" x14ac:dyDescent="0.3">
      <c r="A90" s="96" t="s">
        <v>99</v>
      </c>
      <c r="B90" s="97">
        <v>60</v>
      </c>
      <c r="C90" s="97">
        <v>60</v>
      </c>
      <c r="D90" s="97">
        <v>60</v>
      </c>
      <c r="E90" s="97">
        <v>50</v>
      </c>
      <c r="F90" s="97">
        <v>40</v>
      </c>
      <c r="G90" s="97"/>
      <c r="H90" s="97"/>
      <c r="I90" s="97"/>
      <c r="J90" s="97"/>
      <c r="K90" s="97"/>
      <c r="L90" s="97"/>
      <c r="M90" s="97">
        <v>40</v>
      </c>
      <c r="N90" s="97">
        <v>170</v>
      </c>
      <c r="O90" s="97">
        <v>120</v>
      </c>
      <c r="P90" s="97">
        <v>50</v>
      </c>
      <c r="Q90" s="97">
        <v>30</v>
      </c>
      <c r="R90" s="97">
        <v>30</v>
      </c>
      <c r="S90" s="97"/>
      <c r="T90" s="97"/>
      <c r="U90" s="97"/>
      <c r="V90" s="97"/>
      <c r="W90" s="97">
        <v>100</v>
      </c>
      <c r="X90" s="97">
        <v>100</v>
      </c>
      <c r="Y90" s="97">
        <v>100</v>
      </c>
      <c r="Z90" s="97">
        <v>100</v>
      </c>
      <c r="AA90" s="97">
        <v>180</v>
      </c>
      <c r="AB90" s="97">
        <v>180</v>
      </c>
      <c r="AC90" s="97">
        <v>180</v>
      </c>
      <c r="AD90" s="97">
        <v>150</v>
      </c>
      <c r="AE90" s="97">
        <v>100</v>
      </c>
      <c r="AF90" s="97">
        <v>80</v>
      </c>
      <c r="AG90" s="88"/>
      <c r="AH90" s="47">
        <f t="shared" si="8"/>
        <v>180</v>
      </c>
      <c r="AI90" s="48">
        <f t="shared" si="9"/>
        <v>30</v>
      </c>
    </row>
    <row r="91" spans="1:40" ht="15.75" thickBot="1" x14ac:dyDescent="0.3">
      <c r="A91" s="74" t="s">
        <v>100</v>
      </c>
      <c r="B91" s="95">
        <f t="shared" ref="B91:AE91" si="12">B89+B90</f>
        <v>1698.3400000000001</v>
      </c>
      <c r="C91" s="95">
        <f t="shared" si="12"/>
        <v>1668.64</v>
      </c>
      <c r="D91" s="95">
        <f t="shared" si="12"/>
        <v>1673.4400000000003</v>
      </c>
      <c r="E91" s="95">
        <f t="shared" si="12"/>
        <v>1537.7400000000002</v>
      </c>
      <c r="F91" s="95">
        <f t="shared" si="12"/>
        <v>1606.7400000000002</v>
      </c>
      <c r="G91" s="95">
        <f t="shared" si="12"/>
        <v>1563.0400000000002</v>
      </c>
      <c r="H91" s="95">
        <f t="shared" si="12"/>
        <v>1539.7400000000002</v>
      </c>
      <c r="I91" s="95">
        <f t="shared" si="12"/>
        <v>1545.9400000000003</v>
      </c>
      <c r="J91" s="95">
        <f t="shared" si="12"/>
        <v>1569.7400000000002</v>
      </c>
      <c r="K91" s="95">
        <f t="shared" si="12"/>
        <v>1546.04</v>
      </c>
      <c r="L91" s="95">
        <f t="shared" si="12"/>
        <v>1626.5400000000002</v>
      </c>
      <c r="M91" s="95">
        <f t="shared" si="12"/>
        <v>1693.5400000000002</v>
      </c>
      <c r="N91" s="95">
        <f t="shared" si="12"/>
        <v>1830.14</v>
      </c>
      <c r="O91" s="95">
        <f t="shared" si="12"/>
        <v>1834.14</v>
      </c>
      <c r="P91" s="95">
        <f t="shared" si="12"/>
        <v>1902.6400000000003</v>
      </c>
      <c r="Q91" s="95">
        <f t="shared" si="12"/>
        <v>1938.8400000000001</v>
      </c>
      <c r="R91" s="95">
        <f t="shared" si="12"/>
        <v>1942.2400000000002</v>
      </c>
      <c r="S91" s="95">
        <f t="shared" si="12"/>
        <v>1856.44</v>
      </c>
      <c r="T91" s="95">
        <f t="shared" si="12"/>
        <v>1828.44</v>
      </c>
      <c r="U91" s="95">
        <f t="shared" si="12"/>
        <v>1838.1399999999999</v>
      </c>
      <c r="V91" s="95">
        <f t="shared" si="12"/>
        <v>1768.2400000000002</v>
      </c>
      <c r="W91" s="95">
        <f t="shared" si="12"/>
        <v>1766.7400000000002</v>
      </c>
      <c r="X91" s="95">
        <f t="shared" si="12"/>
        <v>1729.3400000000001</v>
      </c>
      <c r="Y91" s="95">
        <f t="shared" si="12"/>
        <v>1710.3400000000001</v>
      </c>
      <c r="Z91" s="95">
        <f t="shared" si="12"/>
        <v>1782.24</v>
      </c>
      <c r="AA91" s="95">
        <f t="shared" si="12"/>
        <v>1932.44</v>
      </c>
      <c r="AB91" s="95">
        <f t="shared" si="12"/>
        <v>1925.1399999999999</v>
      </c>
      <c r="AC91" s="95">
        <f t="shared" si="12"/>
        <v>1864.84</v>
      </c>
      <c r="AD91" s="95">
        <f t="shared" si="12"/>
        <v>1786.34</v>
      </c>
      <c r="AE91" s="95">
        <f t="shared" si="12"/>
        <v>1734.2399999999998</v>
      </c>
      <c r="AF91" s="95">
        <f>AF89+AF90</f>
        <v>1737.6399999999999</v>
      </c>
      <c r="AG91" s="88">
        <f>AG88+AG84+AG72+AG68+AG50+AG90</f>
        <v>1573.45</v>
      </c>
      <c r="AH91" s="47">
        <f t="shared" si="8"/>
        <v>1942.2400000000002</v>
      </c>
      <c r="AI91" s="48">
        <f t="shared" si="9"/>
        <v>1537.7400000000002</v>
      </c>
    </row>
    <row r="92" spans="1:40" ht="15.75" thickBot="1" x14ac:dyDescent="0.3">
      <c r="A92" s="74" t="s">
        <v>101</v>
      </c>
      <c r="B92" s="95">
        <f t="shared" ref="B92:AE92" si="13">B91-B99</f>
        <v>1698.3400000000001</v>
      </c>
      <c r="C92" s="95">
        <f t="shared" si="13"/>
        <v>1668.64</v>
      </c>
      <c r="D92" s="95">
        <f t="shared" si="13"/>
        <v>1673.4400000000003</v>
      </c>
      <c r="E92" s="95">
        <f t="shared" si="13"/>
        <v>1537.7400000000002</v>
      </c>
      <c r="F92" s="95">
        <f t="shared" si="13"/>
        <v>1606.7400000000002</v>
      </c>
      <c r="G92" s="95">
        <f t="shared" si="13"/>
        <v>1563.0400000000002</v>
      </c>
      <c r="H92" s="95">
        <f t="shared" si="13"/>
        <v>1539.7400000000002</v>
      </c>
      <c r="I92" s="95">
        <f t="shared" si="13"/>
        <v>1545.9400000000003</v>
      </c>
      <c r="J92" s="95">
        <f t="shared" si="13"/>
        <v>1569.7400000000002</v>
      </c>
      <c r="K92" s="95">
        <f t="shared" si="13"/>
        <v>1546.04</v>
      </c>
      <c r="L92" s="95">
        <f t="shared" si="13"/>
        <v>1626.5400000000002</v>
      </c>
      <c r="M92" s="95">
        <f t="shared" si="13"/>
        <v>1693.5400000000002</v>
      </c>
      <c r="N92" s="95">
        <f t="shared" si="13"/>
        <v>1830.14</v>
      </c>
      <c r="O92" s="95">
        <f t="shared" si="13"/>
        <v>1834.14</v>
      </c>
      <c r="P92" s="95">
        <f t="shared" si="13"/>
        <v>1902.6400000000003</v>
      </c>
      <c r="Q92" s="95">
        <f t="shared" si="13"/>
        <v>1938.8400000000001</v>
      </c>
      <c r="R92" s="95">
        <f t="shared" si="13"/>
        <v>1942.2400000000002</v>
      </c>
      <c r="S92" s="95">
        <f t="shared" si="13"/>
        <v>1856.44</v>
      </c>
      <c r="T92" s="95">
        <f t="shared" si="13"/>
        <v>1828.44</v>
      </c>
      <c r="U92" s="95">
        <f t="shared" si="13"/>
        <v>1838.1399999999999</v>
      </c>
      <c r="V92" s="95">
        <f t="shared" si="13"/>
        <v>1768.2400000000002</v>
      </c>
      <c r="W92" s="95">
        <f t="shared" si="13"/>
        <v>1766.7400000000002</v>
      </c>
      <c r="X92" s="95">
        <f t="shared" si="13"/>
        <v>1729.3400000000001</v>
      </c>
      <c r="Y92" s="95">
        <f t="shared" si="13"/>
        <v>1710.3400000000001</v>
      </c>
      <c r="Z92" s="95">
        <f t="shared" si="13"/>
        <v>1782.24</v>
      </c>
      <c r="AA92" s="95">
        <f t="shared" si="13"/>
        <v>1932.44</v>
      </c>
      <c r="AB92" s="95">
        <f t="shared" si="13"/>
        <v>1925.1399999999999</v>
      </c>
      <c r="AC92" s="95">
        <f t="shared" si="13"/>
        <v>1864.84</v>
      </c>
      <c r="AD92" s="95">
        <f t="shared" si="13"/>
        <v>1786.34</v>
      </c>
      <c r="AE92" s="95">
        <f t="shared" si="13"/>
        <v>1734.2399999999998</v>
      </c>
      <c r="AF92" s="95">
        <f>AF91-AF99</f>
        <v>1737.6399999999999</v>
      </c>
      <c r="AG92" s="88"/>
      <c r="AH92" s="47">
        <f t="shared" si="8"/>
        <v>1942.2400000000002</v>
      </c>
      <c r="AI92" s="48">
        <f t="shared" si="9"/>
        <v>1537.7400000000002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 t="shared" ref="B100:AE100" si="14">B84-B99</f>
        <v>181.5</v>
      </c>
      <c r="C100" s="60">
        <f t="shared" si="14"/>
        <v>172</v>
      </c>
      <c r="D100" s="60">
        <f t="shared" si="14"/>
        <v>159.69999999999999</v>
      </c>
      <c r="E100" s="60">
        <f t="shared" si="14"/>
        <v>79.5</v>
      </c>
      <c r="F100" s="60">
        <f t="shared" si="14"/>
        <v>181.5</v>
      </c>
      <c r="G100" s="60">
        <f t="shared" si="14"/>
        <v>274.8</v>
      </c>
      <c r="H100" s="60">
        <f t="shared" si="14"/>
        <v>321.5</v>
      </c>
      <c r="I100" s="60">
        <f t="shared" si="14"/>
        <v>335.5</v>
      </c>
      <c r="J100" s="60">
        <f t="shared" si="14"/>
        <v>335.5</v>
      </c>
      <c r="K100" s="60">
        <f t="shared" si="14"/>
        <v>412.6</v>
      </c>
      <c r="L100" s="60">
        <f t="shared" si="14"/>
        <v>307.5</v>
      </c>
      <c r="M100" s="60">
        <f t="shared" si="14"/>
        <v>329.5</v>
      </c>
      <c r="N100" s="60">
        <f t="shared" si="14"/>
        <v>503.5</v>
      </c>
      <c r="O100" s="60">
        <f t="shared" si="14"/>
        <v>499.09999999999997</v>
      </c>
      <c r="P100" s="60">
        <f t="shared" si="14"/>
        <v>493.9</v>
      </c>
      <c r="Q100" s="60">
        <f t="shared" si="14"/>
        <v>448.29999999999995</v>
      </c>
      <c r="R100" s="60">
        <f t="shared" si="14"/>
        <v>445.9</v>
      </c>
      <c r="S100" s="60">
        <f t="shared" si="14"/>
        <v>475.5</v>
      </c>
      <c r="T100" s="60">
        <f t="shared" si="14"/>
        <v>517.5</v>
      </c>
      <c r="U100" s="60">
        <f t="shared" si="14"/>
        <v>468.1</v>
      </c>
      <c r="V100" s="60">
        <f t="shared" si="14"/>
        <v>484.20000000000005</v>
      </c>
      <c r="W100" s="60">
        <f t="shared" si="14"/>
        <v>450.6</v>
      </c>
      <c r="X100" s="60">
        <f t="shared" si="14"/>
        <v>413.2</v>
      </c>
      <c r="Y100" s="60">
        <f t="shared" si="14"/>
        <v>399.40000000000003</v>
      </c>
      <c r="Z100" s="60">
        <f t="shared" si="14"/>
        <v>433.3</v>
      </c>
      <c r="AA100" s="60">
        <f t="shared" si="14"/>
        <v>132.30000000000001</v>
      </c>
      <c r="AB100" s="60">
        <f t="shared" si="14"/>
        <v>106.7</v>
      </c>
      <c r="AC100" s="60">
        <f t="shared" si="14"/>
        <v>104.2</v>
      </c>
      <c r="AD100" s="60">
        <f t="shared" si="14"/>
        <v>105.69999999999999</v>
      </c>
      <c r="AE100" s="60">
        <f t="shared" si="14"/>
        <v>103.6</v>
      </c>
      <c r="AF100" s="60">
        <f>AF84-AF99</f>
        <v>110.4</v>
      </c>
      <c r="AG100" s="88"/>
      <c r="AH100" s="47">
        <f t="shared" si="8"/>
        <v>517.5</v>
      </c>
      <c r="AI100" s="48">
        <f t="shared" si="9"/>
        <v>79.5</v>
      </c>
    </row>
    <row r="101" spans="1:37" x14ac:dyDescent="0.25">
      <c r="A101" s="100" t="s">
        <v>107</v>
      </c>
      <c r="B101" s="101">
        <v>49.975000000000001</v>
      </c>
      <c r="C101" s="101">
        <v>50.031999999999996</v>
      </c>
      <c r="D101" s="101">
        <v>49.9</v>
      </c>
      <c r="E101" s="101">
        <v>50.02</v>
      </c>
      <c r="F101" s="101">
        <v>49.99</v>
      </c>
      <c r="G101" s="101">
        <v>50</v>
      </c>
      <c r="H101" s="101">
        <v>50</v>
      </c>
      <c r="I101" s="101">
        <v>50.02</v>
      </c>
      <c r="J101" s="101">
        <v>50.04</v>
      </c>
      <c r="K101" s="101">
        <v>50.01</v>
      </c>
      <c r="L101" s="101">
        <v>49.98</v>
      </c>
      <c r="M101" s="101">
        <v>49.98</v>
      </c>
      <c r="N101" s="101">
        <v>50.026000000000003</v>
      </c>
      <c r="O101" s="101">
        <v>49.96</v>
      </c>
      <c r="P101" s="101">
        <v>49.994</v>
      </c>
      <c r="Q101" s="101">
        <v>49.987000000000002</v>
      </c>
      <c r="R101" s="101">
        <v>49.932000000000002</v>
      </c>
      <c r="S101" s="101">
        <v>50.139000000000003</v>
      </c>
      <c r="T101" s="101">
        <v>50.139000000000003</v>
      </c>
      <c r="U101" s="101">
        <v>50.097000000000001</v>
      </c>
      <c r="V101" s="101">
        <v>49.984999999999999</v>
      </c>
      <c r="W101" s="101">
        <v>49.965000000000003</v>
      </c>
      <c r="X101" s="101">
        <v>49.933999999999997</v>
      </c>
      <c r="Y101" s="101">
        <v>50.13</v>
      </c>
      <c r="Z101" s="101">
        <v>50.048000000000002</v>
      </c>
      <c r="AA101" s="101">
        <v>50.067999999999998</v>
      </c>
      <c r="AB101" s="101">
        <v>49.99</v>
      </c>
      <c r="AC101" s="101">
        <v>50.03</v>
      </c>
      <c r="AD101" s="101">
        <v>50.021000000000001</v>
      </c>
      <c r="AE101" s="101">
        <v>50.058</v>
      </c>
      <c r="AF101" s="101">
        <v>50.05</v>
      </c>
      <c r="AG101" s="102"/>
      <c r="AH101" s="47">
        <f t="shared" si="8"/>
        <v>50.139000000000003</v>
      </c>
      <c r="AI101" s="48">
        <f t="shared" si="9"/>
        <v>49.9</v>
      </c>
    </row>
    <row r="102" spans="1:37" x14ac:dyDescent="0.25">
      <c r="A102" s="103" t="s">
        <v>108</v>
      </c>
      <c r="B102" s="65">
        <v>121</v>
      </c>
      <c r="C102" s="65">
        <v>121</v>
      </c>
      <c r="D102" s="65">
        <v>120</v>
      </c>
      <c r="E102" s="65">
        <v>123</v>
      </c>
      <c r="F102" s="65">
        <v>122</v>
      </c>
      <c r="G102" s="65">
        <v>122</v>
      </c>
      <c r="H102" s="65">
        <v>123.7</v>
      </c>
      <c r="I102" s="65">
        <v>122</v>
      </c>
      <c r="J102" s="65">
        <v>122</v>
      </c>
      <c r="K102" s="65">
        <v>122.5</v>
      </c>
      <c r="L102" s="65">
        <v>122.5</v>
      </c>
      <c r="M102" s="65">
        <v>124</v>
      </c>
      <c r="N102" s="65">
        <v>122.5</v>
      </c>
      <c r="O102" s="65">
        <v>119.8</v>
      </c>
      <c r="P102" s="65">
        <v>120.8</v>
      </c>
      <c r="Q102" s="65">
        <v>120.8</v>
      </c>
      <c r="R102" s="65">
        <v>121.2</v>
      </c>
      <c r="S102" s="65">
        <v>126.4</v>
      </c>
      <c r="T102" s="65">
        <v>126.4</v>
      </c>
      <c r="U102" s="65">
        <v>123.6</v>
      </c>
      <c r="V102" s="65">
        <v>125.7</v>
      </c>
      <c r="W102" s="65">
        <v>125</v>
      </c>
      <c r="X102" s="65">
        <v>124.6</v>
      </c>
      <c r="Y102" s="65">
        <v>124.4</v>
      </c>
      <c r="Z102" s="65">
        <v>122.6</v>
      </c>
      <c r="AA102" s="65">
        <v>124.5</v>
      </c>
      <c r="AB102" s="65">
        <v>124.2</v>
      </c>
      <c r="AC102" s="65">
        <v>125.8</v>
      </c>
      <c r="AD102" s="65">
        <v>125.8</v>
      </c>
      <c r="AE102" s="65">
        <v>125.3</v>
      </c>
      <c r="AF102" s="65">
        <v>122.5</v>
      </c>
      <c r="AG102" s="104"/>
      <c r="AH102" s="47">
        <f t="shared" si="8"/>
        <v>126.4</v>
      </c>
      <c r="AI102" s="48">
        <f t="shared" si="9"/>
        <v>119.8</v>
      </c>
    </row>
    <row r="103" spans="1:37" x14ac:dyDescent="0.25">
      <c r="A103" s="103" t="s">
        <v>109</v>
      </c>
      <c r="B103" s="65">
        <v>127</v>
      </c>
      <c r="C103" s="65">
        <v>127</v>
      </c>
      <c r="D103" s="65">
        <v>127</v>
      </c>
      <c r="E103" s="65">
        <v>129</v>
      </c>
      <c r="F103" s="65">
        <v>128.6</v>
      </c>
      <c r="G103" s="65">
        <v>127.7</v>
      </c>
      <c r="H103" s="65">
        <v>128.80000000000001</v>
      </c>
      <c r="I103" s="65">
        <v>127.2</v>
      </c>
      <c r="J103" s="65">
        <v>127.2</v>
      </c>
      <c r="K103" s="65">
        <v>127.1</v>
      </c>
      <c r="L103" s="65">
        <v>127.1</v>
      </c>
      <c r="M103" s="65">
        <v>128.1</v>
      </c>
      <c r="N103" s="65">
        <v>126.2</v>
      </c>
      <c r="O103" s="65">
        <v>124.1</v>
      </c>
      <c r="P103" s="65">
        <v>124.9</v>
      </c>
      <c r="Q103" s="65">
        <v>124.9</v>
      </c>
      <c r="R103" s="65">
        <v>125.7</v>
      </c>
      <c r="S103" s="65">
        <v>128.4</v>
      </c>
      <c r="T103" s="65">
        <v>128.4</v>
      </c>
      <c r="U103" s="65">
        <v>126.6</v>
      </c>
      <c r="V103" s="65">
        <v>128.4</v>
      </c>
      <c r="W103" s="65">
        <v>127.4</v>
      </c>
      <c r="X103" s="65">
        <v>127.5</v>
      </c>
      <c r="Y103" s="65">
        <v>127.3</v>
      </c>
      <c r="Z103" s="65">
        <v>125.8</v>
      </c>
      <c r="AA103" s="65">
        <v>127.5</v>
      </c>
      <c r="AB103" s="65">
        <v>127.5</v>
      </c>
      <c r="AC103" s="65">
        <v>128.30000000000001</v>
      </c>
      <c r="AD103" s="65">
        <v>128.30000000000001</v>
      </c>
      <c r="AE103" s="65">
        <v>129.1</v>
      </c>
      <c r="AF103" s="65">
        <v>127.8</v>
      </c>
      <c r="AG103" s="104"/>
      <c r="AH103" s="47">
        <f t="shared" si="8"/>
        <v>129.1</v>
      </c>
      <c r="AI103" s="48">
        <f t="shared" si="9"/>
        <v>124.1</v>
      </c>
    </row>
    <row r="104" spans="1:37" x14ac:dyDescent="0.25">
      <c r="A104" s="103" t="s">
        <v>110</v>
      </c>
      <c r="B104" s="65">
        <v>128</v>
      </c>
      <c r="C104" s="65">
        <v>128</v>
      </c>
      <c r="D104" s="65">
        <v>128</v>
      </c>
      <c r="E104" s="65">
        <v>127.4</v>
      </c>
      <c r="F104" s="65">
        <v>126.5</v>
      </c>
      <c r="G104" s="65">
        <v>127.8</v>
      </c>
      <c r="H104" s="65">
        <v>130.5</v>
      </c>
      <c r="I104" s="65">
        <v>127.5</v>
      </c>
      <c r="J104" s="65">
        <v>127.5</v>
      </c>
      <c r="K104" s="65">
        <v>125</v>
      </c>
      <c r="L104" s="65">
        <v>125</v>
      </c>
      <c r="M104" s="65">
        <v>121.2</v>
      </c>
      <c r="N104" s="65">
        <v>123.9</v>
      </c>
      <c r="O104" s="65">
        <v>124.9</v>
      </c>
      <c r="P104" s="65">
        <v>124.1</v>
      </c>
      <c r="Q104" s="65">
        <v>124.1</v>
      </c>
      <c r="R104" s="65">
        <v>122.4</v>
      </c>
      <c r="S104" s="65">
        <v>129.69999999999999</v>
      </c>
      <c r="T104" s="65">
        <v>129.69999999999999</v>
      </c>
      <c r="U104" s="65">
        <v>131.4</v>
      </c>
      <c r="V104" s="65">
        <v>130.4</v>
      </c>
      <c r="W104" s="65">
        <v>132</v>
      </c>
      <c r="X104" s="65">
        <v>132.80000000000001</v>
      </c>
      <c r="Y104" s="65">
        <v>131.4</v>
      </c>
      <c r="Z104" s="65">
        <v>128.1</v>
      </c>
      <c r="AA104" s="65">
        <v>125.6</v>
      </c>
      <c r="AB104" s="65">
        <v>122.1</v>
      </c>
      <c r="AC104" s="65">
        <v>123.6</v>
      </c>
      <c r="AD104" s="65">
        <v>123.6</v>
      </c>
      <c r="AE104" s="65">
        <v>123.3</v>
      </c>
      <c r="AF104" s="65">
        <v>123.5</v>
      </c>
      <c r="AG104" s="104"/>
      <c r="AH104" s="47">
        <f t="shared" si="8"/>
        <v>132.80000000000001</v>
      </c>
      <c r="AI104" s="48">
        <f t="shared" si="9"/>
        <v>121.2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129</v>
      </c>
      <c r="C106" s="106">
        <v>129</v>
      </c>
      <c r="D106" s="106">
        <v>129</v>
      </c>
      <c r="E106" s="106">
        <v>133</v>
      </c>
      <c r="F106" s="106">
        <v>132</v>
      </c>
      <c r="G106" s="106">
        <v>134.5</v>
      </c>
      <c r="H106" s="106">
        <v>134.6</v>
      </c>
      <c r="I106" s="106">
        <v>134.1</v>
      </c>
      <c r="J106" s="106">
        <v>134.1</v>
      </c>
      <c r="K106" s="106">
        <v>133.1</v>
      </c>
      <c r="L106" s="106">
        <v>133.1</v>
      </c>
      <c r="M106" s="106">
        <v>129</v>
      </c>
      <c r="N106" s="106">
        <v>133.30000000000001</v>
      </c>
      <c r="O106" s="106">
        <v>130.9</v>
      </c>
      <c r="P106" s="106">
        <v>132.69999999999999</v>
      </c>
      <c r="Q106" s="106">
        <v>132.69999999999999</v>
      </c>
      <c r="R106" s="106">
        <v>130.80000000000001</v>
      </c>
      <c r="S106" s="106">
        <v>133.5</v>
      </c>
      <c r="T106" s="106">
        <v>133.5</v>
      </c>
      <c r="U106" s="106">
        <v>132.69999999999999</v>
      </c>
      <c r="V106" s="106">
        <v>135.30000000000001</v>
      </c>
      <c r="W106" s="106">
        <v>132</v>
      </c>
      <c r="X106" s="106">
        <v>130</v>
      </c>
      <c r="Y106" s="106">
        <v>131</v>
      </c>
      <c r="Z106" s="106">
        <v>130.4</v>
      </c>
      <c r="AA106" s="106">
        <v>130.69999999999999</v>
      </c>
      <c r="AB106" s="106">
        <v>130.30000000000001</v>
      </c>
      <c r="AC106" s="106">
        <v>127.3</v>
      </c>
      <c r="AD106" s="106">
        <v>127.3</v>
      </c>
      <c r="AE106" s="106">
        <v>130.30000000000001</v>
      </c>
      <c r="AF106" s="106">
        <v>129.69999999999999</v>
      </c>
      <c r="AG106" s="107"/>
      <c r="AH106" s="47">
        <f t="shared" si="8"/>
        <v>135.30000000000001</v>
      </c>
      <c r="AI106" s="48">
        <f t="shared" si="9"/>
        <v>127.3</v>
      </c>
    </row>
    <row r="107" spans="1:37" x14ac:dyDescent="0.25">
      <c r="A107" s="103" t="s">
        <v>113</v>
      </c>
      <c r="B107" s="65">
        <v>123</v>
      </c>
      <c r="C107" s="65">
        <v>123</v>
      </c>
      <c r="D107" s="65">
        <v>123</v>
      </c>
      <c r="E107" s="65">
        <v>127</v>
      </c>
      <c r="F107" s="65">
        <v>128</v>
      </c>
      <c r="G107" s="65">
        <v>130.4</v>
      </c>
      <c r="H107" s="65">
        <v>133</v>
      </c>
      <c r="I107" s="65">
        <v>129.30000000000001</v>
      </c>
      <c r="J107" s="65">
        <v>129.30000000000001</v>
      </c>
      <c r="K107" s="65">
        <v>129.4</v>
      </c>
      <c r="L107" s="65">
        <v>129.4</v>
      </c>
      <c r="M107" s="65">
        <v>121.4</v>
      </c>
      <c r="N107" s="65">
        <v>127.3</v>
      </c>
      <c r="O107" s="65">
        <v>127.3</v>
      </c>
      <c r="P107" s="65">
        <v>130.69999999999999</v>
      </c>
      <c r="Q107" s="65">
        <v>130.69999999999999</v>
      </c>
      <c r="R107" s="65">
        <v>130.5</v>
      </c>
      <c r="S107" s="65">
        <v>144</v>
      </c>
      <c r="T107" s="65">
        <v>144</v>
      </c>
      <c r="U107" s="65">
        <v>130.80000000000001</v>
      </c>
      <c r="V107" s="65">
        <v>128.5</v>
      </c>
      <c r="W107" s="65">
        <v>126.4</v>
      </c>
      <c r="X107" s="65">
        <v>124.7</v>
      </c>
      <c r="Y107" s="65">
        <v>132.19999999999999</v>
      </c>
      <c r="Z107" s="65">
        <v>132.1</v>
      </c>
      <c r="AA107" s="65">
        <v>127.1</v>
      </c>
      <c r="AB107" s="65">
        <v>131.5</v>
      </c>
      <c r="AC107" s="65">
        <v>128.80000000000001</v>
      </c>
      <c r="AD107" s="65">
        <v>128.80000000000001</v>
      </c>
      <c r="AE107" s="65">
        <v>130.9</v>
      </c>
      <c r="AF107" s="65">
        <v>128</v>
      </c>
      <c r="AG107" s="104"/>
      <c r="AH107" s="47">
        <f t="shared" si="8"/>
        <v>144</v>
      </c>
      <c r="AI107" s="48">
        <f t="shared" si="9"/>
        <v>121.4</v>
      </c>
    </row>
    <row r="108" spans="1:37" ht="15.75" thickBot="1" x14ac:dyDescent="0.3">
      <c r="A108" s="103" t="s">
        <v>114</v>
      </c>
      <c r="B108" s="92">
        <v>63.9</v>
      </c>
      <c r="C108" s="92">
        <v>63.9</v>
      </c>
      <c r="D108" s="92">
        <v>63.9</v>
      </c>
      <c r="E108" s="92">
        <v>64.3</v>
      </c>
      <c r="F108" s="92">
        <v>64.3</v>
      </c>
      <c r="G108" s="92">
        <v>64</v>
      </c>
      <c r="H108" s="92">
        <v>64.5</v>
      </c>
      <c r="I108" s="92">
        <v>63.8</v>
      </c>
      <c r="J108" s="92">
        <v>63.8</v>
      </c>
      <c r="K108" s="92">
        <v>63.6</v>
      </c>
      <c r="L108" s="92">
        <v>63.5</v>
      </c>
      <c r="M108" s="92">
        <v>63.4</v>
      </c>
      <c r="N108" s="92">
        <v>62.9</v>
      </c>
      <c r="O108" s="92">
        <v>61.6</v>
      </c>
      <c r="P108" s="92">
        <v>62.4</v>
      </c>
      <c r="Q108" s="92">
        <v>62.4</v>
      </c>
      <c r="R108" s="92">
        <v>62.9</v>
      </c>
      <c r="S108" s="92">
        <v>64.099999999999994</v>
      </c>
      <c r="T108" s="92">
        <v>64.099999999999994</v>
      </c>
      <c r="U108" s="92">
        <v>63.1</v>
      </c>
      <c r="V108" s="92">
        <v>64.2</v>
      </c>
      <c r="W108" s="92">
        <v>63.5</v>
      </c>
      <c r="X108" s="92">
        <v>63.6</v>
      </c>
      <c r="Y108" s="92">
        <v>63.3</v>
      </c>
      <c r="Z108" s="92">
        <v>62.6</v>
      </c>
      <c r="AA108" s="92">
        <v>63.3</v>
      </c>
      <c r="AB108" s="92">
        <v>63.7</v>
      </c>
      <c r="AC108" s="92">
        <v>64.2</v>
      </c>
      <c r="AD108" s="92">
        <v>64.2</v>
      </c>
      <c r="AE108" s="92">
        <v>64.599999999999994</v>
      </c>
      <c r="AF108" s="92">
        <v>64</v>
      </c>
      <c r="AG108" s="108"/>
      <c r="AH108" s="47">
        <f t="shared" si="8"/>
        <v>64.599999999999994</v>
      </c>
      <c r="AI108" s="48">
        <f t="shared" si="9"/>
        <v>61.6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 t="shared" ref="B110:O110" si="15">SUM(B20,B26,B29:B30,B58,B60:B61,B63,B65,B111:B115,B138,B144,B150,B159,B161,B173,B180,B183:B184,B191,B193,B195,B199:B201,B203:B205,B210,B216:B217,B219:B221,B229,B234)</f>
        <v>120.4</v>
      </c>
      <c r="C110" s="111">
        <f t="shared" si="15"/>
        <v>107.63999999999997</v>
      </c>
      <c r="D110" s="111">
        <f t="shared" si="15"/>
        <v>99.039999999999992</v>
      </c>
      <c r="E110" s="111">
        <f t="shared" si="15"/>
        <v>55.939999999999991</v>
      </c>
      <c r="F110" s="111">
        <f t="shared" si="15"/>
        <v>104.84</v>
      </c>
      <c r="G110" s="111">
        <f t="shared" si="15"/>
        <v>124.03999999999996</v>
      </c>
      <c r="H110" s="111">
        <f t="shared" si="15"/>
        <v>150.44</v>
      </c>
      <c r="I110" s="111">
        <f t="shared" si="15"/>
        <v>172.14</v>
      </c>
      <c r="J110" s="111">
        <f t="shared" si="15"/>
        <v>172.14</v>
      </c>
      <c r="K110" s="111">
        <f t="shared" si="15"/>
        <v>221.43999999999997</v>
      </c>
      <c r="L110" s="111">
        <f t="shared" si="15"/>
        <v>239.44</v>
      </c>
      <c r="M110" s="111">
        <f t="shared" si="15"/>
        <v>232.24</v>
      </c>
      <c r="N110" s="111">
        <f t="shared" si="15"/>
        <v>270.14000000000004</v>
      </c>
      <c r="O110" s="111">
        <f t="shared" si="15"/>
        <v>271.14</v>
      </c>
      <c r="P110" s="111">
        <v>42</v>
      </c>
      <c r="Q110" s="111">
        <f t="shared" ref="Q110:AE110" si="16">SUM(Q20,Q26,Q29:Q30,Q58,Q60:Q61,Q63,Q65,Q111:Q115,Q138,Q144,Q150,Q159,Q161,Q173,Q180,Q183:Q184,Q191,Q193,Q195,Q199:Q201,Q203:Q205,Q210,Q216:Q217,Q219:Q221,Q229,Q234)</f>
        <v>281.39999999999998</v>
      </c>
      <c r="R110" s="111">
        <f t="shared" si="16"/>
        <v>266.60000000000002</v>
      </c>
      <c r="S110" s="111">
        <f t="shared" si="16"/>
        <v>284.8</v>
      </c>
      <c r="T110" s="111">
        <f t="shared" si="16"/>
        <v>284.8</v>
      </c>
      <c r="U110" s="111">
        <f t="shared" si="16"/>
        <v>281</v>
      </c>
      <c r="V110" s="111">
        <f t="shared" si="16"/>
        <v>277.39999999999998</v>
      </c>
      <c r="W110" s="111">
        <f t="shared" si="16"/>
        <v>272.8</v>
      </c>
      <c r="X110" s="111">
        <f t="shared" si="16"/>
        <v>268</v>
      </c>
      <c r="Y110" s="111">
        <f t="shared" si="16"/>
        <v>277.5</v>
      </c>
      <c r="Z110" s="111">
        <f t="shared" si="16"/>
        <v>301.39999999999998</v>
      </c>
      <c r="AA110" s="111">
        <f t="shared" si="16"/>
        <v>319.60000000000002</v>
      </c>
      <c r="AB110" s="111">
        <f t="shared" si="16"/>
        <v>281.10000000000002</v>
      </c>
      <c r="AC110" s="111">
        <f t="shared" si="16"/>
        <v>265</v>
      </c>
      <c r="AD110" s="111">
        <f t="shared" si="16"/>
        <v>180</v>
      </c>
      <c r="AE110" s="111">
        <f t="shared" si="16"/>
        <v>173.90000000000003</v>
      </c>
      <c r="AF110" s="111">
        <f>SUM(AF20,AF26,AF29:AF30,AF58,AF60:AF61,AF63,AF65,AF111:AF115,AF138,AF144,AF150,AF159,AF161,AF173,AF180,AF183:AF184,AF191,AF193,AF195,AF199:AF201,AF203:AF205,AF210,AF216:AF217,AF219:AF221,AF229,AF234)</f>
        <v>127.99999999999999</v>
      </c>
      <c r="AG110" s="112"/>
      <c r="AH110" s="47">
        <f t="shared" si="8"/>
        <v>319.60000000000002</v>
      </c>
      <c r="AI110" s="48">
        <f t="shared" si="9"/>
        <v>42</v>
      </c>
    </row>
    <row r="111" spans="1:37" x14ac:dyDescent="0.25">
      <c r="A111" s="100" t="s">
        <v>117</v>
      </c>
      <c r="B111" s="113">
        <v>17.7</v>
      </c>
      <c r="C111" s="113">
        <v>16.5</v>
      </c>
      <c r="D111" s="113">
        <v>15.9</v>
      </c>
      <c r="E111" s="113">
        <v>6.8</v>
      </c>
      <c r="F111" s="113">
        <v>2.8</v>
      </c>
      <c r="G111" s="113">
        <v>10.4</v>
      </c>
      <c r="H111" s="113">
        <v>24.4</v>
      </c>
      <c r="I111" s="113">
        <v>10.5</v>
      </c>
      <c r="J111" s="113">
        <v>10.5</v>
      </c>
      <c r="K111" s="113">
        <v>55.8</v>
      </c>
      <c r="L111" s="113">
        <v>59</v>
      </c>
      <c r="M111" s="113">
        <v>45.6</v>
      </c>
      <c r="N111" s="113">
        <v>39.4</v>
      </c>
      <c r="O111" s="113">
        <v>39</v>
      </c>
      <c r="P111" s="113">
        <v>24.3</v>
      </c>
      <c r="Q111" s="113">
        <v>26.7</v>
      </c>
      <c r="R111" s="113">
        <v>25.7</v>
      </c>
      <c r="S111" s="113">
        <v>20.5</v>
      </c>
      <c r="T111" s="113">
        <v>20.5</v>
      </c>
      <c r="U111" s="113">
        <v>27.4</v>
      </c>
      <c r="V111" s="113">
        <v>41.7</v>
      </c>
      <c r="W111" s="113">
        <v>30</v>
      </c>
      <c r="X111" s="113">
        <v>36.799999999999997</v>
      </c>
      <c r="Y111" s="113">
        <v>32.9</v>
      </c>
      <c r="Z111" s="113">
        <v>38.200000000000003</v>
      </c>
      <c r="AA111" s="113">
        <v>40.9</v>
      </c>
      <c r="AB111" s="113">
        <v>46</v>
      </c>
      <c r="AC111" s="113">
        <v>45</v>
      </c>
      <c r="AD111" s="113">
        <v>31.9</v>
      </c>
      <c r="AE111" s="113">
        <v>31.8</v>
      </c>
      <c r="AF111" s="113">
        <v>40.200000000000003</v>
      </c>
      <c r="AG111" s="114">
        <v>75</v>
      </c>
      <c r="AH111" s="47">
        <f t="shared" si="8"/>
        <v>59</v>
      </c>
      <c r="AI111" s="48">
        <f t="shared" si="9"/>
        <v>2.8</v>
      </c>
    </row>
    <row r="112" spans="1:37" x14ac:dyDescent="0.25">
      <c r="A112" s="103" t="s">
        <v>118</v>
      </c>
      <c r="B112" s="115">
        <v>37.5</v>
      </c>
      <c r="C112" s="115">
        <v>35.5</v>
      </c>
      <c r="D112" s="115">
        <v>33.4</v>
      </c>
      <c r="E112" s="115">
        <v>18.399999999999999</v>
      </c>
      <c r="F112" s="115">
        <v>16.399999999999999</v>
      </c>
      <c r="G112" s="115">
        <v>25.7</v>
      </c>
      <c r="H112" s="115">
        <v>44.9</v>
      </c>
      <c r="I112" s="115">
        <v>22.9</v>
      </c>
      <c r="J112" s="115">
        <v>22.9</v>
      </c>
      <c r="K112" s="115">
        <v>78.2</v>
      </c>
      <c r="L112" s="115">
        <v>82</v>
      </c>
      <c r="M112" s="115">
        <v>66.8</v>
      </c>
      <c r="N112" s="115">
        <v>53.5</v>
      </c>
      <c r="O112" s="115">
        <v>54.1</v>
      </c>
      <c r="P112" s="115">
        <v>42.2</v>
      </c>
      <c r="Q112" s="115">
        <v>44.6</v>
      </c>
      <c r="R112" s="115">
        <v>45.5</v>
      </c>
      <c r="S112" s="115">
        <v>38</v>
      </c>
      <c r="T112" s="115">
        <v>38</v>
      </c>
      <c r="U112" s="115">
        <v>47.3</v>
      </c>
      <c r="V112" s="115">
        <v>58.9</v>
      </c>
      <c r="W112" s="115">
        <v>44</v>
      </c>
      <c r="X112" s="115">
        <v>53.6</v>
      </c>
      <c r="Y112" s="115">
        <v>48.5</v>
      </c>
      <c r="Z112" s="115">
        <v>55.1</v>
      </c>
      <c r="AA112" s="115">
        <v>59.1</v>
      </c>
      <c r="AB112" s="115">
        <v>67.400000000000006</v>
      </c>
      <c r="AC112" s="115">
        <v>67.8</v>
      </c>
      <c r="AD112" s="115">
        <v>57.8</v>
      </c>
      <c r="AE112" s="115">
        <v>57.8</v>
      </c>
      <c r="AF112" s="115">
        <v>67.7</v>
      </c>
      <c r="AG112" s="114">
        <v>240</v>
      </c>
      <c r="AH112" s="47">
        <f t="shared" si="8"/>
        <v>82</v>
      </c>
      <c r="AI112" s="48">
        <f t="shared" si="9"/>
        <v>16.399999999999999</v>
      </c>
    </row>
    <row r="113" spans="1:37" x14ac:dyDescent="0.25">
      <c r="A113" s="103" t="s">
        <v>119</v>
      </c>
      <c r="B113" s="115">
        <v>-119</v>
      </c>
      <c r="C113" s="115">
        <v>-123</v>
      </c>
      <c r="D113" s="115">
        <v>-123</v>
      </c>
      <c r="E113" s="115">
        <v>-116</v>
      </c>
      <c r="F113" s="115">
        <f>-51.2-55.5</f>
        <v>-106.7</v>
      </c>
      <c r="G113" s="115">
        <f>-49.7-52.7</f>
        <v>-102.4</v>
      </c>
      <c r="H113" s="115">
        <f>-56-51.9</f>
        <v>-107.9</v>
      </c>
      <c r="I113" s="115">
        <f>-46.6-38.8</f>
        <v>-85.4</v>
      </c>
      <c r="J113" s="115">
        <f>-46.6-38.8</f>
        <v>-85.4</v>
      </c>
      <c r="K113" s="115">
        <f>-59-46.6</f>
        <v>-105.6</v>
      </c>
      <c r="L113" s="115">
        <f>-56.8-45.6</f>
        <v>-102.4</v>
      </c>
      <c r="M113" s="115">
        <v>-81</v>
      </c>
      <c r="N113" s="115">
        <f>-22.1-25.8</f>
        <v>-47.900000000000006</v>
      </c>
      <c r="O113" s="115">
        <f>-27.1-29.8</f>
        <v>-56.900000000000006</v>
      </c>
      <c r="P113" s="115">
        <v>-48</v>
      </c>
      <c r="Q113" s="115">
        <v>-55</v>
      </c>
      <c r="R113" s="115">
        <f>-26-36.8</f>
        <v>-62.8</v>
      </c>
      <c r="S113" s="115">
        <v>-20</v>
      </c>
      <c r="T113" s="115">
        <v>-20</v>
      </c>
      <c r="U113" s="115">
        <v>-38</v>
      </c>
      <c r="V113" s="115">
        <v>-45</v>
      </c>
      <c r="W113" s="115">
        <v>-30</v>
      </c>
      <c r="X113" s="115">
        <v>-39</v>
      </c>
      <c r="Y113" s="115">
        <v>-34</v>
      </c>
      <c r="Z113" s="115">
        <v>-32</v>
      </c>
      <c r="AA113" s="115">
        <v>-11</v>
      </c>
      <c r="AB113" s="115">
        <f>-15-20</f>
        <v>-35</v>
      </c>
      <c r="AC113" s="115">
        <f>-30.7-34.7</f>
        <v>-65.400000000000006</v>
      </c>
      <c r="AD113" s="115">
        <v>-91.6</v>
      </c>
      <c r="AE113" s="115">
        <v>-97</v>
      </c>
      <c r="AF113" s="115">
        <f>-52.4-55.2</f>
        <v>-107.6</v>
      </c>
      <c r="AG113" s="114">
        <v>240</v>
      </c>
      <c r="AH113" s="47">
        <f t="shared" si="8"/>
        <v>-11</v>
      </c>
      <c r="AI113" s="48">
        <f t="shared" si="9"/>
        <v>-123</v>
      </c>
    </row>
    <row r="114" spans="1:37" x14ac:dyDescent="0.25">
      <c r="A114" s="103" t="s">
        <v>120</v>
      </c>
      <c r="B114" s="115">
        <v>-18</v>
      </c>
      <c r="C114" s="115">
        <v>-21</v>
      </c>
      <c r="D114" s="115">
        <v>-27.5</v>
      </c>
      <c r="E114" s="115">
        <v>-28</v>
      </c>
      <c r="F114" s="115">
        <v>-19.899999999999999</v>
      </c>
      <c r="G114" s="115">
        <v>-21.1</v>
      </c>
      <c r="H114" s="115">
        <v>-6.3</v>
      </c>
      <c r="I114" s="115">
        <v>4.9000000000000004</v>
      </c>
      <c r="J114" s="115">
        <v>4.9000000000000004</v>
      </c>
      <c r="K114" s="115">
        <v>3.2</v>
      </c>
      <c r="L114" s="115">
        <v>9.3000000000000007</v>
      </c>
      <c r="M114" s="115">
        <v>9.3000000000000007</v>
      </c>
      <c r="N114" s="115">
        <v>1.3</v>
      </c>
      <c r="O114" s="115">
        <v>-4.3</v>
      </c>
      <c r="P114" s="115">
        <v>15.2</v>
      </c>
      <c r="Q114" s="115">
        <v>30.6</v>
      </c>
      <c r="R114" s="115">
        <v>24.3</v>
      </c>
      <c r="S114" s="115">
        <v>36</v>
      </c>
      <c r="T114" s="115">
        <v>36</v>
      </c>
      <c r="U114" s="115">
        <v>32</v>
      </c>
      <c r="V114" s="115">
        <v>20</v>
      </c>
      <c r="W114" s="115">
        <v>7</v>
      </c>
      <c r="X114" s="115">
        <v>6.9</v>
      </c>
      <c r="Y114" s="115">
        <v>3.5</v>
      </c>
      <c r="Z114" s="115">
        <v>3.5</v>
      </c>
      <c r="AA114" s="115">
        <v>25.3</v>
      </c>
      <c r="AB114" s="115">
        <v>18.600000000000001</v>
      </c>
      <c r="AC114" s="115">
        <v>7.5</v>
      </c>
      <c r="AD114" s="115">
        <v>5.2</v>
      </c>
      <c r="AE114" s="115">
        <v>4</v>
      </c>
      <c r="AF114" s="115">
        <v>-8.8000000000000007</v>
      </c>
      <c r="AG114" s="114">
        <v>60</v>
      </c>
      <c r="AH114" s="47">
        <f t="shared" si="8"/>
        <v>36</v>
      </c>
      <c r="AI114" s="48">
        <f t="shared" si="9"/>
        <v>-28</v>
      </c>
    </row>
    <row r="115" spans="1:37" x14ac:dyDescent="0.25">
      <c r="A115" s="116" t="s">
        <v>121</v>
      </c>
      <c r="B115" s="117">
        <v>75</v>
      </c>
      <c r="C115" s="117">
        <v>71.3</v>
      </c>
      <c r="D115" s="117">
        <v>74.900000000000006</v>
      </c>
      <c r="E115" s="117">
        <v>49.4</v>
      </c>
      <c r="F115" s="117">
        <v>86.9</v>
      </c>
      <c r="G115" s="117">
        <v>86.1</v>
      </c>
      <c r="H115" s="117">
        <v>70</v>
      </c>
      <c r="I115" s="117">
        <v>93.9</v>
      </c>
      <c r="J115" s="117">
        <v>93.9</v>
      </c>
      <c r="K115" s="117">
        <v>64.5</v>
      </c>
      <c r="L115" s="117">
        <v>66.2</v>
      </c>
      <c r="M115" s="117">
        <v>66.2</v>
      </c>
      <c r="N115" s="117">
        <v>85.7</v>
      </c>
      <c r="O115" s="117">
        <v>100</v>
      </c>
      <c r="P115" s="117">
        <v>111.2</v>
      </c>
      <c r="Q115" s="117">
        <v>96.2</v>
      </c>
      <c r="R115" s="117">
        <v>95.4</v>
      </c>
      <c r="S115" s="117">
        <v>78</v>
      </c>
      <c r="T115" s="117">
        <v>78</v>
      </c>
      <c r="U115" s="117">
        <v>81.2</v>
      </c>
      <c r="V115" s="117">
        <v>75</v>
      </c>
      <c r="W115" s="117">
        <v>95</v>
      </c>
      <c r="X115" s="117">
        <v>84.5</v>
      </c>
      <c r="Y115" s="117">
        <v>100</v>
      </c>
      <c r="Z115" s="117">
        <v>110</v>
      </c>
      <c r="AA115" s="117">
        <v>79</v>
      </c>
      <c r="AB115" s="117">
        <v>54</v>
      </c>
      <c r="AC115" s="117">
        <v>79.599999999999994</v>
      </c>
      <c r="AD115" s="117">
        <v>46.2</v>
      </c>
      <c r="AE115" s="117">
        <v>46.8</v>
      </c>
      <c r="AF115" s="117">
        <v>0</v>
      </c>
      <c r="AG115" s="118">
        <v>120</v>
      </c>
      <c r="AH115" s="47">
        <f t="shared" si="8"/>
        <v>111.2</v>
      </c>
      <c r="AI115" s="48">
        <f t="shared" si="9"/>
        <v>0</v>
      </c>
    </row>
    <row r="116" spans="1:37" x14ac:dyDescent="0.25">
      <c r="A116" s="116" t="s">
        <v>122</v>
      </c>
      <c r="B116" s="117">
        <v>90</v>
      </c>
      <c r="C116" s="117">
        <v>90</v>
      </c>
      <c r="D116" s="117">
        <v>97.6</v>
      </c>
      <c r="E116" s="117">
        <v>101</v>
      </c>
      <c r="F116" s="117">
        <v>97.2</v>
      </c>
      <c r="G116" s="117">
        <v>102</v>
      </c>
      <c r="H116" s="117">
        <v>91.2</v>
      </c>
      <c r="I116" s="117">
        <v>105</v>
      </c>
      <c r="J116" s="117">
        <v>105</v>
      </c>
      <c r="K116" s="117">
        <v>87.4</v>
      </c>
      <c r="L116" s="117">
        <v>73</v>
      </c>
      <c r="M116" s="117">
        <v>73</v>
      </c>
      <c r="N116" s="117">
        <v>85.3</v>
      </c>
      <c r="O116" s="117">
        <v>101.2</v>
      </c>
      <c r="P116" s="117">
        <v>109.2</v>
      </c>
      <c r="Q116" s="117">
        <v>97.5</v>
      </c>
      <c r="R116" s="117">
        <v>97.2</v>
      </c>
      <c r="S116" s="117">
        <v>84</v>
      </c>
      <c r="T116" s="117">
        <v>84</v>
      </c>
      <c r="U116" s="117">
        <v>92</v>
      </c>
      <c r="V116" s="117">
        <v>83</v>
      </c>
      <c r="W116" s="117">
        <v>86</v>
      </c>
      <c r="X116" s="117">
        <v>82</v>
      </c>
      <c r="Y116" s="117">
        <v>91</v>
      </c>
      <c r="Z116" s="117">
        <v>96</v>
      </c>
      <c r="AA116" s="117">
        <v>85</v>
      </c>
      <c r="AB116" s="117">
        <v>83.6</v>
      </c>
      <c r="AC116" s="117">
        <v>61.4</v>
      </c>
      <c r="AD116" s="117">
        <v>46.3</v>
      </c>
      <c r="AE116" s="117">
        <v>51.5</v>
      </c>
      <c r="AF116" s="117">
        <v>97.2</v>
      </c>
      <c r="AG116" s="118"/>
      <c r="AH116" s="47">
        <f t="shared" si="8"/>
        <v>109.2</v>
      </c>
      <c r="AI116" s="48">
        <f t="shared" si="9"/>
        <v>46.3</v>
      </c>
    </row>
    <row r="117" spans="1:37" x14ac:dyDescent="0.25">
      <c r="A117" s="116" t="s">
        <v>123</v>
      </c>
      <c r="B117" s="117">
        <v>50.2</v>
      </c>
      <c r="C117" s="117">
        <v>55.7</v>
      </c>
      <c r="D117" s="117">
        <v>49.9</v>
      </c>
      <c r="E117" s="117">
        <v>60</v>
      </c>
      <c r="F117" s="117">
        <v>59.6</v>
      </c>
      <c r="G117" s="117">
        <v>54</v>
      </c>
      <c r="H117" s="117">
        <v>56.6</v>
      </c>
      <c r="I117" s="117">
        <v>61</v>
      </c>
      <c r="J117" s="117">
        <v>61</v>
      </c>
      <c r="K117" s="117">
        <v>27.4</v>
      </c>
      <c r="L117" s="117">
        <v>25</v>
      </c>
      <c r="M117" s="117">
        <v>25</v>
      </c>
      <c r="N117" s="117">
        <v>53.9</v>
      </c>
      <c r="O117" s="117">
        <v>54.4</v>
      </c>
      <c r="P117" s="117"/>
      <c r="Q117" s="117">
        <v>50.7</v>
      </c>
      <c r="R117" s="117">
        <v>50</v>
      </c>
      <c r="S117" s="117">
        <v>50.3</v>
      </c>
      <c r="T117" s="117">
        <v>50.3</v>
      </c>
      <c r="U117" s="117">
        <v>42.3</v>
      </c>
      <c r="V117" s="117">
        <v>40</v>
      </c>
      <c r="W117" s="117">
        <v>45</v>
      </c>
      <c r="X117" s="117">
        <v>38</v>
      </c>
      <c r="Y117" s="117">
        <v>48.2</v>
      </c>
      <c r="Z117" s="117">
        <v>45</v>
      </c>
      <c r="AA117" s="117">
        <v>46</v>
      </c>
      <c r="AB117" s="117">
        <v>41.1</v>
      </c>
      <c r="AC117" s="117">
        <v>46.7</v>
      </c>
      <c r="AD117" s="117">
        <v>54.2</v>
      </c>
      <c r="AE117" s="117">
        <v>55.7</v>
      </c>
      <c r="AF117" s="117">
        <v>53.4</v>
      </c>
      <c r="AG117" s="119"/>
      <c r="AH117" s="47">
        <f t="shared" si="8"/>
        <v>61</v>
      </c>
      <c r="AI117" s="48">
        <f t="shared" si="9"/>
        <v>25</v>
      </c>
    </row>
    <row r="118" spans="1:37" x14ac:dyDescent="0.25">
      <c r="A118" s="120" t="s">
        <v>124</v>
      </c>
      <c r="B118" s="106">
        <v>-5</v>
      </c>
      <c r="C118" s="106">
        <v>-6</v>
      </c>
      <c r="D118" s="106">
        <v>16.7</v>
      </c>
      <c r="E118" s="106">
        <v>-26</v>
      </c>
      <c r="F118" s="106">
        <v>24.4</v>
      </c>
      <c r="G118" s="106">
        <v>25.4</v>
      </c>
      <c r="H118" s="106">
        <v>15.7</v>
      </c>
      <c r="I118" s="106">
        <v>10.4</v>
      </c>
      <c r="J118" s="106">
        <v>6.4</v>
      </c>
      <c r="K118" s="106">
        <v>-2</v>
      </c>
      <c r="L118" s="106">
        <v>-14.2</v>
      </c>
      <c r="M118" s="106">
        <v>-14.2</v>
      </c>
      <c r="N118" s="106">
        <v>-11.7</v>
      </c>
      <c r="O118" s="106">
        <v>-9.6999999999999993</v>
      </c>
      <c r="P118" s="106">
        <v>-2.7</v>
      </c>
      <c r="Q118" s="106">
        <v>-3.7</v>
      </c>
      <c r="R118" s="106">
        <v>-12.5</v>
      </c>
      <c r="S118" s="106">
        <v>-12</v>
      </c>
      <c r="T118" s="106">
        <v>-12</v>
      </c>
      <c r="U118" s="106">
        <v>-3</v>
      </c>
      <c r="V118" s="106">
        <v>2</v>
      </c>
      <c r="W118" s="106">
        <v>0</v>
      </c>
      <c r="X118" s="106">
        <v>2.1</v>
      </c>
      <c r="Y118" s="106">
        <v>6.4</v>
      </c>
      <c r="Z118" s="106">
        <v>-5</v>
      </c>
      <c r="AA118" s="106">
        <v>-16</v>
      </c>
      <c r="AB118" s="106">
        <v>-14.3</v>
      </c>
      <c r="AC118" s="106">
        <v>-13.5</v>
      </c>
      <c r="AD118" s="106">
        <v>-6.1</v>
      </c>
      <c r="AE118" s="106">
        <v>-4.9000000000000004</v>
      </c>
      <c r="AF118" s="106">
        <v>5.6</v>
      </c>
      <c r="AG118" s="119"/>
      <c r="AH118" s="47">
        <f t="shared" si="8"/>
        <v>25.4</v>
      </c>
      <c r="AI118" s="48">
        <f t="shared" si="9"/>
        <v>-26</v>
      </c>
    </row>
    <row r="119" spans="1:37" x14ac:dyDescent="0.25">
      <c r="A119" s="175" t="s">
        <v>265</v>
      </c>
      <c r="B119" s="106">
        <v>79.400000000000006</v>
      </c>
      <c r="C119" s="106">
        <v>88.5</v>
      </c>
      <c r="D119" s="106">
        <v>96</v>
      </c>
      <c r="E119" s="106">
        <v>85</v>
      </c>
      <c r="F119" s="106">
        <v>73</v>
      </c>
      <c r="G119" s="106">
        <v>63.4</v>
      </c>
      <c r="H119" s="106">
        <v>71.400000000000006</v>
      </c>
      <c r="I119" s="106">
        <v>52.4</v>
      </c>
      <c r="J119" s="106">
        <v>52.4</v>
      </c>
      <c r="K119" s="106">
        <v>67.2</v>
      </c>
      <c r="L119" s="106">
        <v>66.8</v>
      </c>
      <c r="M119" s="106">
        <v>66.8</v>
      </c>
      <c r="N119" s="106">
        <v>18.2</v>
      </c>
      <c r="O119" s="106">
        <v>10.5</v>
      </c>
      <c r="P119" s="106">
        <v>30.4</v>
      </c>
      <c r="Q119" s="106">
        <v>56.1</v>
      </c>
      <c r="R119" s="106">
        <v>53.9</v>
      </c>
      <c r="S119" s="106">
        <v>24</v>
      </c>
      <c r="T119" s="106">
        <v>24</v>
      </c>
      <c r="U119" s="106">
        <v>37</v>
      </c>
      <c r="V119" s="106">
        <v>33.299999999999997</v>
      </c>
      <c r="W119" s="106">
        <v>-15</v>
      </c>
      <c r="X119" s="106">
        <v>-3</v>
      </c>
      <c r="Y119" s="106">
        <v>-15</v>
      </c>
      <c r="Z119" s="106">
        <v>-22</v>
      </c>
      <c r="AA119" s="106">
        <v>-22</v>
      </c>
      <c r="AB119" s="106">
        <v>6.3</v>
      </c>
      <c r="AC119" s="106">
        <v>21.6</v>
      </c>
      <c r="AD119" s="106">
        <v>59.1</v>
      </c>
      <c r="AE119" s="106">
        <v>64.5</v>
      </c>
      <c r="AF119" s="106">
        <v>66</v>
      </c>
      <c r="AG119" s="119"/>
      <c r="AH119" s="47">
        <f t="shared" si="8"/>
        <v>96</v>
      </c>
      <c r="AI119" s="48">
        <f t="shared" si="9"/>
        <v>-22</v>
      </c>
    </row>
    <row r="120" spans="1:37" ht="15.75" thickBot="1" x14ac:dyDescent="0.3">
      <c r="A120" s="120" t="s">
        <v>125</v>
      </c>
      <c r="B120" s="106">
        <v>69</v>
      </c>
      <c r="C120" s="106">
        <v>70</v>
      </c>
      <c r="D120" s="106">
        <v>66</v>
      </c>
      <c r="E120" s="106">
        <v>96</v>
      </c>
      <c r="F120" s="106">
        <v>101</v>
      </c>
      <c r="G120" s="106">
        <v>83.2</v>
      </c>
      <c r="H120" s="106">
        <v>80.7</v>
      </c>
      <c r="I120" s="106">
        <v>92</v>
      </c>
      <c r="J120" s="106">
        <v>92</v>
      </c>
      <c r="K120" s="106">
        <v>101.4</v>
      </c>
      <c r="L120" s="106">
        <v>113</v>
      </c>
      <c r="M120" s="106">
        <v>118</v>
      </c>
      <c r="N120" s="106">
        <v>107.7</v>
      </c>
      <c r="O120" s="106">
        <v>106.1</v>
      </c>
      <c r="P120" s="106">
        <v>100</v>
      </c>
      <c r="Q120" s="106">
        <v>105.4</v>
      </c>
      <c r="R120" s="106">
        <v>116.4</v>
      </c>
      <c r="S120" s="106">
        <v>60</v>
      </c>
      <c r="T120" s="106">
        <v>60</v>
      </c>
      <c r="U120" s="106">
        <v>52</v>
      </c>
      <c r="V120" s="106">
        <v>44</v>
      </c>
      <c r="W120" s="106">
        <v>44</v>
      </c>
      <c r="X120" s="106">
        <v>34.299999999999997</v>
      </c>
      <c r="Y120" s="106">
        <v>67</v>
      </c>
      <c r="Z120" s="106">
        <v>92</v>
      </c>
      <c r="AA120" s="106">
        <v>102</v>
      </c>
      <c r="AB120" s="106">
        <v>109.6</v>
      </c>
      <c r="AC120" s="106">
        <v>107.3</v>
      </c>
      <c r="AD120" s="106">
        <v>106.7</v>
      </c>
      <c r="AE120" s="106">
        <v>106.5</v>
      </c>
      <c r="AF120" s="106">
        <v>116.4</v>
      </c>
      <c r="AG120" s="119"/>
      <c r="AH120" s="47">
        <f t="shared" si="8"/>
        <v>118</v>
      </c>
      <c r="AI120" s="48">
        <f t="shared" si="9"/>
        <v>34.299999999999997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123.21900000000009</v>
      </c>
      <c r="N231" s="128">
        <f t="shared" ca="1" si="19"/>
        <v>119.19900000000008</v>
      </c>
      <c r="O231" s="128">
        <f t="shared" ca="1" si="19"/>
        <v>119.19900000000008</v>
      </c>
      <c r="P231" s="128">
        <f t="shared" ca="1" si="19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121.23900000000009</v>
      </c>
      <c r="M235" s="136">
        <f t="shared" ca="1" si="20"/>
        <v>125.2590000000001</v>
      </c>
      <c r="N235" s="136">
        <f t="shared" ca="1" si="20"/>
        <v>121.23900000000009</v>
      </c>
      <c r="O235" s="136">
        <f t="shared" ca="1" si="20"/>
        <v>121.23900000000009</v>
      </c>
      <c r="P235" s="136">
        <f t="shared" ca="1" si="20"/>
        <v>113.19900000000007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1830.14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26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2080/02/26)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2080/02/26)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1698.3400000000001</v>
      </c>
      <c r="U249" s="170">
        <f t="shared" si="21"/>
        <v>1668.64</v>
      </c>
      <c r="V249" s="170">
        <f t="shared" si="21"/>
        <v>1673.4400000000003</v>
      </c>
      <c r="W249" s="170">
        <f t="shared" si="21"/>
        <v>1537.7400000000002</v>
      </c>
      <c r="X249" s="170">
        <f t="shared" si="21"/>
        <v>1606.7400000000002</v>
      </c>
      <c r="Y249" s="170">
        <f t="shared" si="21"/>
        <v>1563.0400000000002</v>
      </c>
      <c r="Z249" s="170">
        <f t="shared" si="21"/>
        <v>1539.7400000000002</v>
      </c>
      <c r="AA249" s="170">
        <f t="shared" si="21"/>
        <v>1545.9400000000003</v>
      </c>
      <c r="AB249" s="170">
        <f t="shared" si="21"/>
        <v>1569.7400000000002</v>
      </c>
      <c r="AC249" s="170">
        <f t="shared" si="21"/>
        <v>1546.04</v>
      </c>
      <c r="AD249" s="170">
        <f t="shared" si="21"/>
        <v>1626.5400000000002</v>
      </c>
      <c r="AE249" s="170">
        <f t="shared" si="21"/>
        <v>1693.5400000000002</v>
      </c>
      <c r="AF249" s="170">
        <f t="shared" si="21"/>
        <v>1830.14</v>
      </c>
      <c r="AG249" s="170">
        <f t="shared" si="21"/>
        <v>1834.14</v>
      </c>
      <c r="AH249" s="170">
        <f t="shared" si="21"/>
        <v>1902.6400000000003</v>
      </c>
      <c r="AI249" s="170">
        <f t="shared" si="21"/>
        <v>1938.8400000000001</v>
      </c>
      <c r="AJ249" s="170">
        <f t="shared" si="21"/>
        <v>1942.2400000000002</v>
      </c>
      <c r="AK249" s="170">
        <f t="shared" si="21"/>
        <v>1856.44</v>
      </c>
      <c r="AL249" s="170">
        <f t="shared" si="21"/>
        <v>1828.44</v>
      </c>
      <c r="AM249" s="170">
        <f t="shared" si="21"/>
        <v>1838.1399999999999</v>
      </c>
      <c r="AN249" s="170">
        <f t="shared" si="21"/>
        <v>1768.2400000000002</v>
      </c>
      <c r="AO249" s="170">
        <f t="shared" si="21"/>
        <v>1766.7400000000002</v>
      </c>
      <c r="AP249" s="170">
        <f t="shared" si="21"/>
        <v>1729.3400000000001</v>
      </c>
      <c r="AQ249" s="170">
        <f t="shared" si="21"/>
        <v>1710.3400000000001</v>
      </c>
      <c r="AR249" s="170">
        <f t="shared" si="21"/>
        <v>1782.24</v>
      </c>
      <c r="AS249" s="170">
        <f t="shared" si="21"/>
        <v>1932.44</v>
      </c>
      <c r="AT249" s="170">
        <f t="shared" si="21"/>
        <v>1925.1399999999999</v>
      </c>
      <c r="AU249" s="170">
        <f t="shared" si="21"/>
        <v>1864.84</v>
      </c>
      <c r="AV249" s="170">
        <f t="shared" si="21"/>
        <v>1786.34</v>
      </c>
      <c r="AW249" s="170">
        <f t="shared" si="21"/>
        <v>1734.2399999999998</v>
      </c>
      <c r="AX249" s="170">
        <f t="shared" si="21"/>
        <v>1737.6399999999999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2:AF12 B14:AF17">
    <cfRule type="expression" dxfId="3794" priority="400">
      <formula>B$9&gt;=20/24</formula>
    </cfRule>
    <cfRule type="expression" dxfId="3793" priority="401">
      <formula>AND(B$9&gt;=14/24,B$9&lt;20/24)</formula>
    </cfRule>
    <cfRule type="expression" dxfId="3792" priority="402">
      <formula>AND(B$9&gt;=8/24,B$9&lt;14/24)</formula>
    </cfRule>
    <cfRule type="expression" dxfId="3791" priority="403">
      <formula>B$9&lt;8/24</formula>
    </cfRule>
  </conditionalFormatting>
  <conditionalFormatting sqref="AL4:AL6">
    <cfRule type="iconSet" priority="399">
      <iconSet iconSet="3TrafficLights2" reverse="1">
        <cfvo type="percent" val="0"/>
        <cfvo type="num" val="1"/>
        <cfvo type="num" val="1"/>
      </iconSet>
    </cfRule>
  </conditionalFormatting>
  <conditionalFormatting sqref="AG67 B12:AF12 B14:AF17">
    <cfRule type="expression" dxfId="3790" priority="398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3789" priority="397">
      <formula>$AH12=0</formula>
    </cfRule>
  </conditionalFormatting>
  <conditionalFormatting sqref="A116">
    <cfRule type="expression" dxfId="3788" priority="396">
      <formula>$AH116=0</formula>
    </cfRule>
  </conditionalFormatting>
  <conditionalFormatting sqref="AL44">
    <cfRule type="iconSet" priority="395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3787" priority="394">
      <formula>$AH47=0</formula>
    </cfRule>
  </conditionalFormatting>
  <conditionalFormatting sqref="A100">
    <cfRule type="expression" dxfId="3786" priority="393">
      <formula>$AH100=0</formula>
    </cfRule>
  </conditionalFormatting>
  <conditionalFormatting sqref="A20">
    <cfRule type="expression" dxfId="3785" priority="392">
      <formula>$AH20=0</formula>
    </cfRule>
  </conditionalFormatting>
  <conditionalFormatting sqref="A199:A204">
    <cfRule type="expression" dxfId="3784" priority="391">
      <formula>$AH199=0</formula>
    </cfRule>
  </conditionalFormatting>
  <conditionalFormatting sqref="A193:A198">
    <cfRule type="expression" dxfId="3783" priority="390">
      <formula>$AH193=0</formula>
    </cfRule>
  </conditionalFormatting>
  <conditionalFormatting sqref="A60">
    <cfRule type="expression" dxfId="3782" priority="389">
      <formula>$AH60=0</formula>
    </cfRule>
  </conditionalFormatting>
  <conditionalFormatting sqref="A96">
    <cfRule type="expression" dxfId="3781" priority="388">
      <formula>$AH96=0</formula>
    </cfRule>
  </conditionalFormatting>
  <conditionalFormatting sqref="E101:Y101 AD101:AF101">
    <cfRule type="expression" dxfId="3780" priority="384">
      <formula>E$9&gt;=20/24</formula>
    </cfRule>
    <cfRule type="expression" dxfId="3779" priority="385">
      <formula>AND(E$9&gt;=14/24,E$9&lt;20/24)</formula>
    </cfRule>
    <cfRule type="expression" dxfId="3778" priority="386">
      <formula>AND(E$9&gt;=8/24,E$9&lt;14/24)</formula>
    </cfRule>
    <cfRule type="expression" dxfId="3777" priority="387">
      <formula>E$9&lt;8/24</formula>
    </cfRule>
  </conditionalFormatting>
  <conditionalFormatting sqref="AL45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776" priority="406">
      <formula>C$9&gt;=20/24</formula>
    </cfRule>
    <cfRule type="expression" dxfId="3775" priority="407">
      <formula>AND(C$9&gt;=14/24,C$9&lt;20/24)</formula>
    </cfRule>
    <cfRule type="expression" dxfId="3774" priority="408">
      <formula>AND(C$9&gt;=8/24,C$9&lt;14/24)</formula>
    </cfRule>
    <cfRule type="expression" dxfId="3773" priority="409">
      <formula>C$9&lt;8/24</formula>
    </cfRule>
  </conditionalFormatting>
  <conditionalFormatting sqref="A236">
    <cfRule type="expression" dxfId="3772" priority="410">
      <formula>$AH236=0</formula>
    </cfRule>
  </conditionalFormatting>
  <conditionalFormatting sqref="AG248">
    <cfRule type="expression" dxfId="3771" priority="411">
      <formula>B$9&gt;=20/24</formula>
    </cfRule>
    <cfRule type="expression" dxfId="3770" priority="412">
      <formula>AND(B$9&gt;=14/24,B$9&lt;20/24)</formula>
    </cfRule>
    <cfRule type="expression" dxfId="3769" priority="413">
      <formula>AND(B$9&gt;=8/24,B$9&lt;14/24)</formula>
    </cfRule>
    <cfRule type="expression" dxfId="3768" priority="414">
      <formula>B$9&lt;8/24</formula>
    </cfRule>
  </conditionalFormatting>
  <conditionalFormatting sqref="S8">
    <cfRule type="expression" dxfId="3767" priority="379">
      <formula>U$9&gt;=20/24</formula>
    </cfRule>
    <cfRule type="expression" dxfId="3766" priority="380">
      <formula>AND(U$9&gt;=14/24,U$9&lt;20/24)</formula>
    </cfRule>
    <cfRule type="expression" dxfId="3765" priority="381">
      <formula>AND(U$9&gt;=8/24,U$9&lt;14/24)</formula>
    </cfRule>
    <cfRule type="expression" dxfId="3764" priority="382">
      <formula>U$9&lt;8/24</formula>
    </cfRule>
  </conditionalFormatting>
  <conditionalFormatting sqref="AB8">
    <cfRule type="expression" dxfId="3763" priority="375">
      <formula>AD$9&gt;=20/24</formula>
    </cfRule>
    <cfRule type="expression" dxfId="3762" priority="376">
      <formula>AND(AD$9&gt;=14/24,AD$9&lt;20/24)</formula>
    </cfRule>
    <cfRule type="expression" dxfId="3761" priority="377">
      <formula>AND(AD$9&gt;=8/24,AD$9&lt;14/24)</formula>
    </cfRule>
    <cfRule type="expression" dxfId="3760" priority="378">
      <formula>AD$9&lt;8/24</formula>
    </cfRule>
  </conditionalFormatting>
  <conditionalFormatting sqref="AH248:AX248">
    <cfRule type="expression" dxfId="3759" priority="415">
      <formula>AG$9&gt;=20/24</formula>
    </cfRule>
    <cfRule type="expression" dxfId="3758" priority="416">
      <formula>AND(AG$9&gt;=14/24,AG$9&lt;20/24)</formula>
    </cfRule>
    <cfRule type="expression" dxfId="3757" priority="417">
      <formula>AND(AG$9&gt;=8/24,AG$9&lt;14/24)</formula>
    </cfRule>
    <cfRule type="expression" dxfId="3756" priority="418">
      <formula>AG$9&lt;8/24</formula>
    </cfRule>
  </conditionalFormatting>
  <conditionalFormatting sqref="T248">
    <cfRule type="expression" dxfId="3755" priority="419">
      <formula>AX$9&gt;=20/24</formula>
    </cfRule>
    <cfRule type="expression" dxfId="3754" priority="420">
      <formula>AND(AX$9&gt;=14/24,AX$9&lt;20/24)</formula>
    </cfRule>
    <cfRule type="expression" dxfId="3753" priority="421">
      <formula>AND(AX$9&gt;=8/24,AX$9&lt;14/24)</formula>
    </cfRule>
    <cfRule type="expression" dxfId="3752" priority="422">
      <formula>AX$9&lt;8/24</formula>
    </cfRule>
  </conditionalFormatting>
  <conditionalFormatting sqref="A117:A119">
    <cfRule type="expression" dxfId="3751" priority="374">
      <formula>$AH117=0</formula>
    </cfRule>
  </conditionalFormatting>
  <conditionalFormatting sqref="N56:R59 E73:AD73">
    <cfRule type="expression" dxfId="3750" priority="370">
      <formula>E$9&gt;=20/24</formula>
    </cfRule>
    <cfRule type="expression" dxfId="3749" priority="371">
      <formula>AND(E$9&gt;=14/24,E$9&lt;20/24)</formula>
    </cfRule>
    <cfRule type="expression" dxfId="3748" priority="372">
      <formula>AND(E$9&gt;=8/24,E$9&lt;14/24)</formula>
    </cfRule>
    <cfRule type="expression" dxfId="3747" priority="373">
      <formula>E$9&lt;8/24</formula>
    </cfRule>
  </conditionalFormatting>
  <conditionalFormatting sqref="N55:Z55">
    <cfRule type="expression" dxfId="3746" priority="366">
      <formula>N$9&gt;=20/24</formula>
    </cfRule>
    <cfRule type="expression" dxfId="3745" priority="367">
      <formula>AND(N$9&gt;=14/24,N$9&lt;20/24)</formula>
    </cfRule>
    <cfRule type="expression" dxfId="3744" priority="368">
      <formula>AND(N$9&gt;=8/24,N$9&lt;14/24)</formula>
    </cfRule>
    <cfRule type="expression" dxfId="3743" priority="369">
      <formula>N$9&lt;8/24</formula>
    </cfRule>
  </conditionalFormatting>
  <conditionalFormatting sqref="N55:R59">
    <cfRule type="expression" dxfId="3742" priority="365">
      <formula>N55&gt;$AG55</formula>
    </cfRule>
  </conditionalFormatting>
  <conditionalFormatting sqref="E74:G74 N102:Y108 X98:AF98 AE102:AF108 D88:AF88 X49:AF49 AA69:AF71 H74:AF75">
    <cfRule type="expression" dxfId="3741" priority="361">
      <formula>D$9&gt;=20/24</formula>
    </cfRule>
    <cfRule type="expression" dxfId="3740" priority="362">
      <formula>AND(D$9&gt;=14/24,D$9&lt;20/24)</formula>
    </cfRule>
    <cfRule type="expression" dxfId="3739" priority="363">
      <formula>AND(D$9&gt;=8/24,D$9&lt;14/24)</formula>
    </cfRule>
    <cfRule type="expression" dxfId="3738" priority="364">
      <formula>D$9&lt;8/24</formula>
    </cfRule>
  </conditionalFormatting>
  <conditionalFormatting sqref="X49:AF49 AA69:AF71">
    <cfRule type="expression" dxfId="3737" priority="360">
      <formula>X49&gt;$AG49</formula>
    </cfRule>
  </conditionalFormatting>
  <conditionalFormatting sqref="AA55:AF60">
    <cfRule type="expression" dxfId="3736" priority="356">
      <formula>AA$9&gt;=20/24</formula>
    </cfRule>
    <cfRule type="expression" dxfId="3735" priority="357">
      <formula>AND(AA$9&gt;=14/24,AA$9&lt;20/24)</formula>
    </cfRule>
    <cfRule type="expression" dxfId="3734" priority="358">
      <formula>AND(AA$9&gt;=8/24,AA$9&lt;14/24)</formula>
    </cfRule>
    <cfRule type="expression" dxfId="3733" priority="359">
      <formula>AA$9&lt;8/24</formula>
    </cfRule>
  </conditionalFormatting>
  <conditionalFormatting sqref="AA55:AF60">
    <cfRule type="expression" dxfId="3732" priority="355">
      <formula>AA55&gt;$AG55</formula>
    </cfRule>
  </conditionalFormatting>
  <conditionalFormatting sqref="C99:AF99 E90:AF90">
    <cfRule type="expression" dxfId="3731" priority="351">
      <formula>C$9&gt;=20/24</formula>
    </cfRule>
    <cfRule type="expression" dxfId="3730" priority="352">
      <formula>AND(C$9&gt;=14/24,C$9&lt;20/24)</formula>
    </cfRule>
    <cfRule type="expression" dxfId="3729" priority="353">
      <formula>AND(C$9&gt;=8/24,C$9&lt;14/24)</formula>
    </cfRule>
    <cfRule type="expression" dxfId="3728" priority="354">
      <formula>C$9&lt;8/24</formula>
    </cfRule>
  </conditionalFormatting>
  <conditionalFormatting sqref="T49:W49">
    <cfRule type="expression" dxfId="3727" priority="347">
      <formula>T$9&gt;=20/24</formula>
    </cfRule>
    <cfRule type="expression" dxfId="3726" priority="348">
      <formula>AND(T$9&gt;=14/24,T$9&lt;20/24)</formula>
    </cfRule>
    <cfRule type="expression" dxfId="3725" priority="349">
      <formula>AND(T$9&gt;=8/24,T$9&lt;14/24)</formula>
    </cfRule>
    <cfRule type="expression" dxfId="3724" priority="350">
      <formula>T$9&lt;8/24</formula>
    </cfRule>
  </conditionalFormatting>
  <conditionalFormatting sqref="T49:W49">
    <cfRule type="expression" dxfId="3723" priority="346">
      <formula>T49&gt;$AG49</formula>
    </cfRule>
  </conditionalFormatting>
  <conditionalFormatting sqref="I56:M57">
    <cfRule type="expression" dxfId="3722" priority="342">
      <formula>I$9&gt;=20/24</formula>
    </cfRule>
    <cfRule type="expression" dxfId="3721" priority="343">
      <formula>AND(I$9&gt;=14/24,I$9&lt;20/24)</formula>
    </cfRule>
    <cfRule type="expression" dxfId="3720" priority="344">
      <formula>AND(I$9&gt;=8/24,I$9&lt;14/24)</formula>
    </cfRule>
    <cfRule type="expression" dxfId="3719" priority="345">
      <formula>I$9&lt;8/24</formula>
    </cfRule>
  </conditionalFormatting>
  <conditionalFormatting sqref="E55:M55">
    <cfRule type="expression" dxfId="3718" priority="338">
      <formula>E$9&gt;=20/24</formula>
    </cfRule>
    <cfRule type="expression" dxfId="3717" priority="339">
      <formula>AND(E$9&gt;=14/24,E$9&lt;20/24)</formula>
    </cfRule>
    <cfRule type="expression" dxfId="3716" priority="340">
      <formula>AND(E$9&gt;=8/24,E$9&lt;14/24)</formula>
    </cfRule>
    <cfRule type="expression" dxfId="3715" priority="341">
      <formula>E$9&lt;8/24</formula>
    </cfRule>
  </conditionalFormatting>
  <conditionalFormatting sqref="E55:L55 I56:L57 M55:M57">
    <cfRule type="expression" dxfId="3714" priority="337">
      <formula>E55&gt;$AG55</formula>
    </cfRule>
  </conditionalFormatting>
  <conditionalFormatting sqref="AG72 AG89 E102:M108">
    <cfRule type="expression" dxfId="3713" priority="333">
      <formula>E$9&gt;=20/24</formula>
    </cfRule>
    <cfRule type="expression" dxfId="3712" priority="334">
      <formula>AND(E$9&gt;=14/24,E$9&lt;20/24)</formula>
    </cfRule>
    <cfRule type="expression" dxfId="3711" priority="335">
      <formula>AND(E$9&gt;=8/24,E$9&lt;14/24)</formula>
    </cfRule>
    <cfRule type="expression" dxfId="3710" priority="336">
      <formula>E$9&lt;8/24</formula>
    </cfRule>
  </conditionalFormatting>
  <conditionalFormatting sqref="AG50 AG68 AG72">
    <cfRule type="expression" dxfId="3709" priority="332">
      <formula>AG50&gt;$AG50</formula>
    </cfRule>
  </conditionalFormatting>
  <conditionalFormatting sqref="A45">
    <cfRule type="expression" dxfId="3708" priority="331">
      <formula>$AH45=0</formula>
    </cfRule>
  </conditionalFormatting>
  <conditionalFormatting sqref="X93:AF97">
    <cfRule type="expression" dxfId="3707" priority="327">
      <formula>X$9&gt;=20/24</formula>
    </cfRule>
    <cfRule type="expression" dxfId="3706" priority="328">
      <formula>AND(X$9&gt;=14/24,X$9&lt;20/24)</formula>
    </cfRule>
    <cfRule type="expression" dxfId="3705" priority="329">
      <formula>AND(X$9&gt;=8/24,X$9&lt;14/24)</formula>
    </cfRule>
    <cfRule type="expression" dxfId="3704" priority="330">
      <formula>X$9&lt;8/24</formula>
    </cfRule>
  </conditionalFormatting>
  <conditionalFormatting sqref="AL47 AL43 AL24:AL34 AL40:AL41 AL19:AL22 AL36:AL38 AL7:AL17">
    <cfRule type="iconSet" priority="423">
      <iconSet iconSet="3TrafficLights2" reverse="1">
        <cfvo type="percent" val="0"/>
        <cfvo type="num" val="1"/>
        <cfvo type="num" val="1"/>
      </iconSet>
    </cfRule>
  </conditionalFormatting>
  <conditionalFormatting sqref="G51:M51 N51:AF53">
    <cfRule type="expression" dxfId="3703" priority="323">
      <formula>G$9&gt;=20/24</formula>
    </cfRule>
    <cfRule type="expression" dxfId="3702" priority="324">
      <formula>AND(G$9&gt;=14/24,G$9&lt;20/24)</formula>
    </cfRule>
    <cfRule type="expression" dxfId="3701" priority="325">
      <formula>AND(G$9&gt;=8/24,G$9&lt;14/24)</formula>
    </cfRule>
    <cfRule type="expression" dxfId="3700" priority="326">
      <formula>G$9&lt;8/24</formula>
    </cfRule>
  </conditionalFormatting>
  <conditionalFormatting sqref="G51:M51 N51:AF53">
    <cfRule type="expression" dxfId="3699" priority="322">
      <formula>G51&gt;$AG51</formula>
    </cfRule>
  </conditionalFormatting>
  <conditionalFormatting sqref="AG54">
    <cfRule type="expression" dxfId="3698" priority="318">
      <formula>AG$9&gt;=20/24</formula>
    </cfRule>
    <cfRule type="expression" dxfId="3697" priority="319">
      <formula>AND(AG$9&gt;=14/24,AG$9&lt;20/24)</formula>
    </cfRule>
    <cfRule type="expression" dxfId="3696" priority="320">
      <formula>AND(AG$9&gt;=8/24,AG$9&lt;14/24)</formula>
    </cfRule>
    <cfRule type="expression" dxfId="3695" priority="321">
      <formula>AG$9&lt;8/24</formula>
    </cfRule>
  </conditionalFormatting>
  <conditionalFormatting sqref="AG54">
    <cfRule type="expression" dxfId="3694" priority="317">
      <formula>AG54&gt;$AG54</formula>
    </cfRule>
  </conditionalFormatting>
  <conditionalFormatting sqref="C109:AF109">
    <cfRule type="expression" dxfId="3693" priority="313">
      <formula>C$9&gt;=20/24</formula>
    </cfRule>
    <cfRule type="expression" dxfId="3692" priority="314">
      <formula>AND(C$9&gt;=14/24,C$9&lt;20/24)</formula>
    </cfRule>
    <cfRule type="expression" dxfId="3691" priority="315">
      <formula>AND(C$9&gt;=8/24,C$9&lt;14/24)</formula>
    </cfRule>
    <cfRule type="expression" dxfId="3690" priority="316">
      <formula>C$9&lt;8/24</formula>
    </cfRule>
  </conditionalFormatting>
  <conditionalFormatting sqref="AL42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3689" priority="311">
      <formula>$AH42=0</formula>
    </cfRule>
  </conditionalFormatting>
  <conditionalFormatting sqref="A92">
    <cfRule type="expression" dxfId="3688" priority="309">
      <formula>$AH92=0</formula>
    </cfRule>
  </conditionalFormatting>
  <conditionalFormatting sqref="A89">
    <cfRule type="expression" dxfId="3687" priority="310">
      <formula>$AH89=0</formula>
    </cfRule>
  </conditionalFormatting>
  <conditionalFormatting sqref="D112:AF112">
    <cfRule type="expression" dxfId="3686" priority="305">
      <formula>D$9&gt;=20/24</formula>
    </cfRule>
    <cfRule type="expression" dxfId="3685" priority="306">
      <formula>AND(D$9&gt;=14/24,D$9&lt;20/24)</formula>
    </cfRule>
    <cfRule type="expression" dxfId="3684" priority="307">
      <formula>AND(D$9&gt;=8/24,D$9&lt;14/24)</formula>
    </cfRule>
    <cfRule type="expression" dxfId="3683" priority="308">
      <formula>D$9&lt;8/24</formula>
    </cfRule>
  </conditionalFormatting>
  <conditionalFormatting sqref="A112">
    <cfRule type="expression" dxfId="3682" priority="304">
      <formula>$AH112=0</formula>
    </cfRule>
  </conditionalFormatting>
  <conditionalFormatting sqref="A23">
    <cfRule type="expression" dxfId="3681" priority="302">
      <formula>$AH23=0</formula>
    </cfRule>
  </conditionalFormatting>
  <conditionalFormatting sqref="AL23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3680" priority="300">
      <formula>$AH39=0</formula>
    </cfRule>
  </conditionalFormatting>
  <conditionalFormatting sqref="AL39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3679" priority="296">
      <formula>Z$9&gt;=20/24</formula>
    </cfRule>
    <cfRule type="expression" dxfId="3678" priority="297">
      <formula>AND(Z$9&gt;=14/24,Z$9&lt;20/24)</formula>
    </cfRule>
    <cfRule type="expression" dxfId="3677" priority="298">
      <formula>AND(Z$9&gt;=8/24,Z$9&lt;14/24)</formula>
    </cfRule>
    <cfRule type="expression" dxfId="3676" priority="299">
      <formula>Z$9&lt;8/24</formula>
    </cfRule>
  </conditionalFormatting>
  <conditionalFormatting sqref="Z102:AD108">
    <cfRule type="expression" dxfId="3675" priority="292">
      <formula>Z$9&gt;=20/24</formula>
    </cfRule>
    <cfRule type="expression" dxfId="3674" priority="293">
      <formula>AND(Z$9&gt;=14/24,Z$9&lt;20/24)</formula>
    </cfRule>
    <cfRule type="expression" dxfId="3673" priority="294">
      <formula>AND(Z$9&gt;=8/24,Z$9&lt;14/24)</formula>
    </cfRule>
    <cfRule type="expression" dxfId="3672" priority="295">
      <formula>Z$9&lt;8/24</formula>
    </cfRule>
  </conditionalFormatting>
  <conditionalFormatting sqref="C111 C113:C119 Y19:Z24 AA36:AF45 AA32:AF34 AA19:AF30">
    <cfRule type="expression" dxfId="3671" priority="288">
      <formula>C$9&gt;=20/24</formula>
    </cfRule>
    <cfRule type="expression" dxfId="3670" priority="289">
      <formula>AND(C$9&gt;=14/24,C$9&lt;20/24)</formula>
    </cfRule>
    <cfRule type="expression" dxfId="3669" priority="290">
      <formula>AND(C$9&gt;=8/24,C$9&lt;14/24)</formula>
    </cfRule>
    <cfRule type="expression" dxfId="3668" priority="291">
      <formula>C$9&lt;8/24</formula>
    </cfRule>
  </conditionalFormatting>
  <conditionalFormatting sqref="E49:S49">
    <cfRule type="expression" dxfId="3667" priority="284">
      <formula>E$9&gt;=20/24</formula>
    </cfRule>
    <cfRule type="expression" dxfId="3666" priority="285">
      <formula>AND(E$9&gt;=14/24,E$9&lt;20/24)</formula>
    </cfRule>
    <cfRule type="expression" dxfId="3665" priority="286">
      <formula>AND(E$9&gt;=8/24,E$9&lt;14/24)</formula>
    </cfRule>
    <cfRule type="expression" dxfId="3664" priority="287">
      <formula>E$9&lt;8/24</formula>
    </cfRule>
  </conditionalFormatting>
  <conditionalFormatting sqref="E49:S49 Y19:Z24 AA36:AF45 AA32:AF34 AA19:AF30">
    <cfRule type="expression" dxfId="3663" priority="283">
      <formula>E19&gt;$AG19</formula>
    </cfRule>
  </conditionalFormatting>
  <conditionalFormatting sqref="C101:D101">
    <cfRule type="expression" dxfId="3662" priority="279">
      <formula>C$9&gt;=20/24</formula>
    </cfRule>
    <cfRule type="expression" dxfId="3661" priority="280">
      <formula>AND(C$9&gt;=14/24,C$9&lt;20/24)</formula>
    </cfRule>
    <cfRule type="expression" dxfId="3660" priority="281">
      <formula>AND(C$9&gt;=8/24,C$9&lt;14/24)</formula>
    </cfRule>
    <cfRule type="expression" dxfId="3659" priority="282">
      <formula>C$9&lt;8/24</formula>
    </cfRule>
  </conditionalFormatting>
  <conditionalFormatting sqref="C88 C98:W98 D102:D103 H77:K77 I76:K76 H69:Z71 L76:Z77 C85:AF87 AA76:AF78">
    <cfRule type="expression" dxfId="3658" priority="275">
      <formula>C$9&gt;=20/24</formula>
    </cfRule>
    <cfRule type="expression" dxfId="3657" priority="276">
      <formula>AND(C$9&gt;=14/24,C$9&lt;20/24)</formula>
    </cfRule>
    <cfRule type="expression" dxfId="3656" priority="277">
      <formula>AND(C$9&gt;=8/24,C$9&lt;14/24)</formula>
    </cfRule>
    <cfRule type="expression" dxfId="3655" priority="278">
      <formula>C$9&lt;8/24</formula>
    </cfRule>
  </conditionalFormatting>
  <conditionalFormatting sqref="K58:M59 H69:Z71">
    <cfRule type="expression" dxfId="3654" priority="274">
      <formula>H58&gt;$AG58</formula>
    </cfRule>
  </conditionalFormatting>
  <conditionalFormatting sqref="C73:D73 D56:H57">
    <cfRule type="expression" dxfId="3653" priority="216">
      <formula>C$9&gt;=20/24</formula>
    </cfRule>
    <cfRule type="expression" dxfId="3652" priority="217">
      <formula>AND(C$9&gt;=14/24,C$9&lt;20/24)</formula>
    </cfRule>
    <cfRule type="expression" dxfId="3651" priority="218">
      <formula>AND(C$9&gt;=8/24,C$9&lt;14/24)</formula>
    </cfRule>
    <cfRule type="expression" dxfId="3650" priority="219">
      <formula>C$9&lt;8/24</formula>
    </cfRule>
  </conditionalFormatting>
  <conditionalFormatting sqref="C91:AF91 C100:AF100 C89:AF89 C72:AF72">
    <cfRule type="expression" dxfId="3649" priority="270">
      <formula>C$9&gt;=20/24</formula>
    </cfRule>
    <cfRule type="expression" dxfId="3648" priority="271">
      <formula>AND(C$9&gt;=14/24,C$9&lt;20/24)</formula>
    </cfRule>
    <cfRule type="expression" dxfId="3647" priority="272">
      <formula>AND(C$9&gt;=8/24,C$9&lt;14/24)</formula>
    </cfRule>
    <cfRule type="expression" dxfId="3646" priority="273">
      <formula>C$9&lt;8/24</formula>
    </cfRule>
  </conditionalFormatting>
  <conditionalFormatting sqref="C72:AF72 D67:AF68">
    <cfRule type="expression" dxfId="3645" priority="269">
      <formula>C67&gt;$AG67</formula>
    </cfRule>
  </conditionalFormatting>
  <conditionalFormatting sqref="C84:AF84">
    <cfRule type="expression" dxfId="3644" priority="265">
      <formula>C$9&gt;=20/24</formula>
    </cfRule>
    <cfRule type="expression" dxfId="3643" priority="266">
      <formula>AND(C$9&gt;=14/24,C$9&lt;20/24)</formula>
    </cfRule>
    <cfRule type="expression" dxfId="3642" priority="267">
      <formula>AND(C$9&gt;=8/24,C$9&lt;14/24)</formula>
    </cfRule>
    <cfRule type="expression" dxfId="3641" priority="268">
      <formula>C$9&lt;8/24</formula>
    </cfRule>
  </conditionalFormatting>
  <conditionalFormatting sqref="C93:W97">
    <cfRule type="expression" dxfId="3640" priority="261">
      <formula>C$9&gt;=20/24</formula>
    </cfRule>
    <cfRule type="expression" dxfId="3639" priority="262">
      <formula>AND(C$9&gt;=14/24,C$9&lt;20/24)</formula>
    </cfRule>
    <cfRule type="expression" dxfId="3638" priority="263">
      <formula>AND(C$9&gt;=8/24,C$9&lt;14/24)</formula>
    </cfRule>
    <cfRule type="expression" dxfId="3637" priority="264">
      <formula>C$9&lt;8/24</formula>
    </cfRule>
  </conditionalFormatting>
  <conditionalFormatting sqref="D54:AF54">
    <cfRule type="expression" dxfId="3636" priority="257">
      <formula>D$9&gt;=20/24</formula>
    </cfRule>
    <cfRule type="expression" dxfId="3635" priority="258">
      <formula>AND(D$9&gt;=14/24,D$9&lt;20/24)</formula>
    </cfRule>
    <cfRule type="expression" dxfId="3634" priority="259">
      <formula>AND(D$9&gt;=8/24,D$9&lt;14/24)</formula>
    </cfRule>
    <cfRule type="expression" dxfId="3633" priority="260">
      <formula>D$9&lt;8/24</formula>
    </cfRule>
  </conditionalFormatting>
  <conditionalFormatting sqref="D54:AF54">
    <cfRule type="expression" dxfId="3632" priority="256">
      <formula>D54&gt;$AG54</formula>
    </cfRule>
  </conditionalFormatting>
  <conditionalFormatting sqref="C112">
    <cfRule type="expression" dxfId="3631" priority="248">
      <formula>C$9&gt;=20/24</formula>
    </cfRule>
    <cfRule type="expression" dxfId="3630" priority="249">
      <formula>AND(C$9&gt;=14/24,C$9&lt;20/24)</formula>
    </cfRule>
    <cfRule type="expression" dxfId="3629" priority="250">
      <formula>AND(C$9&gt;=8/24,C$9&lt;14/24)</formula>
    </cfRule>
    <cfRule type="expression" dxfId="3628" priority="251">
      <formula>C$9&lt;8/24</formula>
    </cfRule>
  </conditionalFormatting>
  <conditionalFormatting sqref="AA61:AF66">
    <cfRule type="expression" dxfId="3627" priority="244">
      <formula>AA$9&gt;=20/24</formula>
    </cfRule>
    <cfRule type="expression" dxfId="3626" priority="245">
      <formula>AND(AA$9&gt;=14/24,AA$9&lt;20/24)</formula>
    </cfRule>
    <cfRule type="expression" dxfId="3625" priority="246">
      <formula>AND(AA$9&gt;=8/24,AA$9&lt;14/24)</formula>
    </cfRule>
    <cfRule type="expression" dxfId="3624" priority="247">
      <formula>AA$9&lt;8/24</formula>
    </cfRule>
  </conditionalFormatting>
  <conditionalFormatting sqref="AA61:AF66">
    <cfRule type="expression" dxfId="3623" priority="243">
      <formula>AA61&gt;$AG61</formula>
    </cfRule>
  </conditionalFormatting>
  <conditionalFormatting sqref="AA47:AF47">
    <cfRule type="expression" dxfId="3622" priority="242">
      <formula>AA47&gt;$AG47</formula>
    </cfRule>
  </conditionalFormatting>
  <conditionalFormatting sqref="Y13:AF13">
    <cfRule type="expression" dxfId="3621" priority="238">
      <formula>Y$9&gt;=20/24</formula>
    </cfRule>
    <cfRule type="expression" dxfId="3620" priority="239">
      <formula>AND(Y$9&gt;=14/24,Y$9&lt;20/24)</formula>
    </cfRule>
    <cfRule type="expression" dxfId="3619" priority="240">
      <formula>AND(Y$9&gt;=8/24,Y$9&lt;14/24)</formula>
    </cfRule>
    <cfRule type="expression" dxfId="3618" priority="241">
      <formula>Y$9&lt;8/24</formula>
    </cfRule>
  </conditionalFormatting>
  <conditionalFormatting sqref="Y13:AF13">
    <cfRule type="expression" dxfId="3617" priority="237">
      <formula>Y13&gt;$AG13</formula>
    </cfRule>
  </conditionalFormatting>
  <conditionalFormatting sqref="AA47:AF47">
    <cfRule type="expression" dxfId="3616" priority="233">
      <formula>AA$9&gt;=20/24</formula>
    </cfRule>
    <cfRule type="expression" dxfId="3615" priority="234">
      <formula>AND(AA$9&gt;=14/24,AA$9&lt;20/24)</formula>
    </cfRule>
    <cfRule type="expression" dxfId="3614" priority="235">
      <formula>AND(AA$9&gt;=8/24,AA$9&lt;14/24)</formula>
    </cfRule>
    <cfRule type="expression" dxfId="3613" priority="236">
      <formula>AA$9&lt;8/24</formula>
    </cfRule>
  </conditionalFormatting>
  <conditionalFormatting sqref="AA79:AF83">
    <cfRule type="expression" dxfId="3612" priority="229">
      <formula>AA$9&gt;=20/24</formula>
    </cfRule>
    <cfRule type="expression" dxfId="3611" priority="230">
      <formula>AND(AA$9&gt;=14/24,AA$9&lt;20/24)</formula>
    </cfRule>
    <cfRule type="expression" dxfId="3610" priority="231">
      <formula>AND(AA$9&gt;=8/24,AA$9&lt;14/24)</formula>
    </cfRule>
    <cfRule type="expression" dxfId="3609" priority="232">
      <formula>AA$9&lt;8/24</formula>
    </cfRule>
  </conditionalFormatting>
  <conditionalFormatting sqref="AL80:AN80 AL86:AN86 AN81:AN82">
    <cfRule type="expression" dxfId="3608" priority="225">
      <formula>AL$9&gt;=20/24</formula>
    </cfRule>
    <cfRule type="expression" dxfId="3607" priority="226">
      <formula>AND(AL$9&gt;=14/24,AL$9&lt;20/24)</formula>
    </cfRule>
    <cfRule type="expression" dxfId="3606" priority="227">
      <formula>AND(AL$9&gt;=8/24,AL$9&lt;14/24)</formula>
    </cfRule>
    <cfRule type="expression" dxfId="3605" priority="228">
      <formula>AL$9&lt;8/24</formula>
    </cfRule>
  </conditionalFormatting>
  <conditionalFormatting sqref="AN83:AN84">
    <cfRule type="expression" dxfId="3604" priority="221">
      <formula>AN$9&gt;=20/24</formula>
    </cfRule>
    <cfRule type="expression" dxfId="3603" priority="222">
      <formula>AND(AN$9&gt;=14/24,AN$9&lt;20/24)</formula>
    </cfRule>
    <cfRule type="expression" dxfId="3602" priority="223">
      <formula>AND(AN$9&gt;=8/24,AN$9&lt;14/24)</formula>
    </cfRule>
    <cfRule type="expression" dxfId="3601" priority="224">
      <formula>AN$9&lt;8/24</formula>
    </cfRule>
  </conditionalFormatting>
  <conditionalFormatting sqref="AL81:AM85">
    <cfRule type="expression" dxfId="3600" priority="424">
      <formula>AJ$9&gt;=20/24</formula>
    </cfRule>
    <cfRule type="expression" dxfId="3599" priority="425">
      <formula>AND(AJ$9&gt;=14/24,AJ$9&lt;20/24)</formula>
    </cfRule>
    <cfRule type="expression" dxfId="3598" priority="426">
      <formula>AND(AJ$9&gt;=8/24,AJ$9&lt;14/24)</formula>
    </cfRule>
    <cfRule type="expression" dxfId="3597" priority="427">
      <formula>AJ$9&lt;8/24</formula>
    </cfRule>
  </conditionalFormatting>
  <conditionalFormatting sqref="A120">
    <cfRule type="expression" dxfId="3596" priority="220">
      <formula>$AH120=0</formula>
    </cfRule>
  </conditionalFormatting>
  <conditionalFormatting sqref="D55">
    <cfRule type="expression" dxfId="3595" priority="212">
      <formula>D$9&gt;=20/24</formula>
    </cfRule>
    <cfRule type="expression" dxfId="3594" priority="213">
      <formula>AND(D$9&gt;=14/24,D$9&lt;20/24)</formula>
    </cfRule>
    <cfRule type="expression" dxfId="3593" priority="214">
      <formula>AND(D$9&gt;=8/24,D$9&lt;14/24)</formula>
    </cfRule>
    <cfRule type="expression" dxfId="3592" priority="215">
      <formula>D$9&lt;8/24</formula>
    </cfRule>
  </conditionalFormatting>
  <conditionalFormatting sqref="D55:D57 E56:H57">
    <cfRule type="expression" dxfId="3591" priority="211">
      <formula>D55&gt;$AG55</formula>
    </cfRule>
  </conditionalFormatting>
  <conditionalFormatting sqref="C74:D75 E75:G75">
    <cfRule type="expression" dxfId="3590" priority="207">
      <formula>C$9&gt;=20/24</formula>
    </cfRule>
    <cfRule type="expression" dxfId="3589" priority="208">
      <formula>AND(C$9&gt;=14/24,C$9&lt;20/24)</formula>
    </cfRule>
    <cfRule type="expression" dxfId="3588" priority="209">
      <formula>AND(C$9&gt;=8/24,C$9&lt;14/24)</formula>
    </cfRule>
    <cfRule type="expression" dxfId="3587" priority="210">
      <formula>C$9&lt;8/24</formula>
    </cfRule>
  </conditionalFormatting>
  <conditionalFormatting sqref="AA48:AF48">
    <cfRule type="expression" dxfId="3586" priority="199">
      <formula>AA$9&gt;=20/24</formula>
    </cfRule>
    <cfRule type="expression" dxfId="3585" priority="200">
      <formula>AND(AA$9&gt;=14/24,AA$9&lt;20/24)</formula>
    </cfRule>
    <cfRule type="expression" dxfId="3584" priority="201">
      <formula>AND(AA$9&gt;=8/24,AA$9&lt;14/24)</formula>
    </cfRule>
    <cfRule type="expression" dxfId="3583" priority="202">
      <formula>AA$9&lt;8/24</formula>
    </cfRule>
  </conditionalFormatting>
  <conditionalFormatting sqref="AA48:AF48">
    <cfRule type="expression" dxfId="3582" priority="198">
      <formula>AA48&gt;$AG48</formula>
    </cfRule>
  </conditionalFormatting>
  <conditionalFormatting sqref="K60:Z60">
    <cfRule type="expression" dxfId="3581" priority="194">
      <formula>K$9&gt;=20/24</formula>
    </cfRule>
    <cfRule type="expression" dxfId="3580" priority="195">
      <formula>AND(K$9&gt;=14/24,K$9&lt;20/24)</formula>
    </cfRule>
    <cfRule type="expression" dxfId="3579" priority="196">
      <formula>AND(K$9&gt;=8/24,K$9&lt;14/24)</formula>
    </cfRule>
    <cfRule type="expression" dxfId="3578" priority="197">
      <formula>K$9&lt;8/24</formula>
    </cfRule>
  </conditionalFormatting>
  <conditionalFormatting sqref="K60:Z60">
    <cfRule type="expression" dxfId="3577" priority="193">
      <formula>K60&gt;$AG60</formula>
    </cfRule>
  </conditionalFormatting>
  <conditionalFormatting sqref="B88 B98 B74:B76 B49:D49 B102:C108 D104:D108 B69:G71 C76:H76">
    <cfRule type="expression" dxfId="3576" priority="131">
      <formula>B$9&gt;=20/24</formula>
    </cfRule>
    <cfRule type="expression" dxfId="3575" priority="132">
      <formula>AND(B$9&gt;=14/24,B$9&lt;20/24)</formula>
    </cfRule>
    <cfRule type="expression" dxfId="3574" priority="133">
      <formula>AND(B$9&gt;=8/24,B$9&lt;14/24)</formula>
    </cfRule>
    <cfRule type="expression" dxfId="3573" priority="134">
      <formula>B$9&lt;8/24</formula>
    </cfRule>
  </conditionalFormatting>
  <conditionalFormatting sqref="B60:J60">
    <cfRule type="expression" dxfId="3572" priority="122">
      <formula>B$9&gt;=20/24</formula>
    </cfRule>
    <cfRule type="expression" dxfId="3571" priority="123">
      <formula>AND(B$9&gt;=14/24,B$9&lt;20/24)</formula>
    </cfRule>
    <cfRule type="expression" dxfId="3570" priority="124">
      <formula>AND(B$9&gt;=8/24,B$9&lt;14/24)</formula>
    </cfRule>
    <cfRule type="expression" dxfId="3569" priority="125">
      <formula>B$9&lt;8/24</formula>
    </cfRule>
  </conditionalFormatting>
  <conditionalFormatting sqref="E50:AF50">
    <cfRule type="expression" dxfId="3568" priority="192">
      <formula>E50&gt;$AG50</formula>
    </cfRule>
  </conditionalFormatting>
  <conditionalFormatting sqref="A11">
    <cfRule type="expression" dxfId="3567" priority="186">
      <formula>$AH11=0</formula>
    </cfRule>
  </conditionalFormatting>
  <conditionalFormatting sqref="U11:AF11">
    <cfRule type="expression" dxfId="3566" priority="182">
      <formula>U$9&gt;=20/24</formula>
    </cfRule>
    <cfRule type="expression" dxfId="3565" priority="183">
      <formula>AND(U$9&gt;=14/24,U$9&lt;20/24)</formula>
    </cfRule>
    <cfRule type="expression" dxfId="3564" priority="184">
      <formula>AND(U$9&gt;=8/24,U$9&lt;14/24)</formula>
    </cfRule>
    <cfRule type="expression" dxfId="3563" priority="185">
      <formula>U$9&lt;8/24</formula>
    </cfRule>
  </conditionalFormatting>
  <conditionalFormatting sqref="U11:AF11">
    <cfRule type="expression" dxfId="3562" priority="181">
      <formula>U11&gt;$AG11</formula>
    </cfRule>
  </conditionalFormatting>
  <conditionalFormatting sqref="A18">
    <cfRule type="expression" dxfId="3561" priority="179">
      <formula>$AH18=0</formula>
    </cfRule>
  </conditionalFormatting>
  <conditionalFormatting sqref="AL18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Y18:AF18">
    <cfRule type="expression" dxfId="3560" priority="175">
      <formula>Y$9&gt;=20/24</formula>
    </cfRule>
    <cfRule type="expression" dxfId="3559" priority="176">
      <formula>AND(Y$9&gt;=14/24,Y$9&lt;20/24)</formula>
    </cfRule>
    <cfRule type="expression" dxfId="3558" priority="177">
      <formula>AND(Y$9&gt;=8/24,Y$9&lt;14/24)</formula>
    </cfRule>
    <cfRule type="expression" dxfId="3557" priority="178">
      <formula>Y$9&lt;8/24</formula>
    </cfRule>
  </conditionalFormatting>
  <conditionalFormatting sqref="Y18:AF18">
    <cfRule type="expression" dxfId="3556" priority="174">
      <formula>Y18&gt;$AG18</formula>
    </cfRule>
  </conditionalFormatting>
  <conditionalFormatting sqref="A35">
    <cfRule type="expression" dxfId="3555" priority="172">
      <formula>$AH35=0</formula>
    </cfRule>
  </conditionalFormatting>
  <conditionalFormatting sqref="AL35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3554" priority="168">
      <formula>AA$9&gt;=20/24</formula>
    </cfRule>
    <cfRule type="expression" dxfId="3553" priority="169">
      <formula>AND(AA$9&gt;=14/24,AA$9&lt;20/24)</formula>
    </cfRule>
    <cfRule type="expression" dxfId="3552" priority="170">
      <formula>AND(AA$9&gt;=8/24,AA$9&lt;14/24)</formula>
    </cfRule>
    <cfRule type="expression" dxfId="3551" priority="171">
      <formula>AA$9&lt;8/24</formula>
    </cfRule>
  </conditionalFormatting>
  <conditionalFormatting sqref="AA35:AF35">
    <cfRule type="expression" dxfId="3550" priority="167">
      <formula>AA35&gt;$AG35</formula>
    </cfRule>
  </conditionalFormatting>
  <conditionalFormatting sqref="A46">
    <cfRule type="expression" dxfId="3549" priority="165">
      <formula>$AH46=0</formula>
    </cfRule>
  </conditionalFormatting>
  <conditionalFormatting sqref="AL46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3548" priority="164">
      <formula>AA46&gt;$AG46</formula>
    </cfRule>
  </conditionalFormatting>
  <conditionalFormatting sqref="AA46:AF46">
    <cfRule type="expression" dxfId="3547" priority="160">
      <formula>AA$9&gt;=20/24</formula>
    </cfRule>
    <cfRule type="expression" dxfId="3546" priority="161">
      <formula>AND(AA$9&gt;=14/24,AA$9&lt;20/24)</formula>
    </cfRule>
    <cfRule type="expression" dxfId="3545" priority="162">
      <formula>AND(AA$9&gt;=8/24,AA$9&lt;14/24)</formula>
    </cfRule>
    <cfRule type="expression" dxfId="3544" priority="163">
      <formula>AA$9&lt;8/24</formula>
    </cfRule>
  </conditionalFormatting>
  <conditionalFormatting sqref="B120">
    <cfRule type="expression" dxfId="3543" priority="32">
      <formula>B$9&gt;=20/24</formula>
    </cfRule>
    <cfRule type="expression" dxfId="3542" priority="33">
      <formula>AND(B$9&gt;=14/24,B$9&lt;20/24)</formula>
    </cfRule>
    <cfRule type="expression" dxfId="3541" priority="34">
      <formula>AND(B$9&gt;=8/24,B$9&lt;14/24)</formula>
    </cfRule>
    <cfRule type="expression" dxfId="3540" priority="35">
      <formula>B$9&lt;8/24</formula>
    </cfRule>
  </conditionalFormatting>
  <conditionalFormatting sqref="D120:AF120">
    <cfRule type="expression" dxfId="3539" priority="156">
      <formula>D$9&gt;=20/24</formula>
    </cfRule>
    <cfRule type="expression" dxfId="3538" priority="157">
      <formula>AND(D$9&gt;=14/24,D$9&lt;20/24)</formula>
    </cfRule>
    <cfRule type="expression" dxfId="3537" priority="158">
      <formula>AND(D$9&gt;=8/24,D$9&lt;14/24)</formula>
    </cfRule>
    <cfRule type="expression" dxfId="3536" priority="159">
      <formula>D$9&lt;8/24</formula>
    </cfRule>
  </conditionalFormatting>
  <conditionalFormatting sqref="C120">
    <cfRule type="expression" dxfId="3535" priority="152">
      <formula>C$9&gt;=20/24</formula>
    </cfRule>
    <cfRule type="expression" dxfId="3534" priority="153">
      <formula>AND(C$9&gt;=14/24,C$9&lt;20/24)</formula>
    </cfRule>
    <cfRule type="expression" dxfId="3533" priority="154">
      <formula>AND(C$9&gt;=8/24,C$9&lt;14/24)</formula>
    </cfRule>
    <cfRule type="expression" dxfId="3532" priority="155">
      <formula>C$9&lt;8/24</formula>
    </cfRule>
  </conditionalFormatting>
  <conditionalFormatting sqref="B111 B113:B119">
    <cfRule type="expression" dxfId="3531" priority="148">
      <formula>B$9&gt;=20/24</formula>
    </cfRule>
    <cfRule type="expression" dxfId="3530" priority="149">
      <formula>AND(B$9&gt;=14/24,B$9&lt;20/24)</formula>
    </cfRule>
    <cfRule type="expression" dxfId="3529" priority="150">
      <formula>AND(B$9&gt;=8/24,B$9&lt;14/24)</formula>
    </cfRule>
    <cfRule type="expression" dxfId="3528" priority="151">
      <formula>B$9&lt;8/24</formula>
    </cfRule>
  </conditionalFormatting>
  <conditionalFormatting sqref="B101">
    <cfRule type="expression" dxfId="3527" priority="144">
      <formula>B$9&gt;=20/24</formula>
    </cfRule>
    <cfRule type="expression" dxfId="3526" priority="145">
      <formula>AND(B$9&gt;=14/24,B$9&lt;20/24)</formula>
    </cfRule>
    <cfRule type="expression" dxfId="3525" priority="146">
      <formula>AND(B$9&gt;=8/24,B$9&lt;14/24)</formula>
    </cfRule>
    <cfRule type="expression" dxfId="3524" priority="147">
      <formula>B$9&lt;8/24</formula>
    </cfRule>
  </conditionalFormatting>
  <conditionalFormatting sqref="B73 B56:C59 D58:J59">
    <cfRule type="expression" dxfId="3523" priority="140">
      <formula>B$9&gt;=20/24</formula>
    </cfRule>
    <cfRule type="expression" dxfId="3522" priority="141">
      <formula>AND(B$9&gt;=14/24,B$9&lt;20/24)</formula>
    </cfRule>
    <cfRule type="expression" dxfId="3521" priority="142">
      <formula>AND(B$9&gt;=8/24,B$9&lt;14/24)</formula>
    </cfRule>
    <cfRule type="expression" dxfId="3520" priority="143">
      <formula>B$9&lt;8/24</formula>
    </cfRule>
  </conditionalFormatting>
  <conditionalFormatting sqref="B55:C55">
    <cfRule type="expression" dxfId="3519" priority="136">
      <formula>B$9&gt;=20/24</formula>
    </cfRule>
    <cfRule type="expression" dxfId="3518" priority="137">
      <formula>AND(B$9&gt;=14/24,B$9&lt;20/24)</formula>
    </cfRule>
    <cfRule type="expression" dxfId="3517" priority="138">
      <formula>AND(B$9&gt;=8/24,B$9&lt;14/24)</formula>
    </cfRule>
    <cfRule type="expression" dxfId="3516" priority="139">
      <formula>B$9&lt;8/24</formula>
    </cfRule>
  </conditionalFormatting>
  <conditionalFormatting sqref="B55:C59 D58:J59">
    <cfRule type="expression" dxfId="3515" priority="135">
      <formula>B55&gt;$AG55</formula>
    </cfRule>
  </conditionalFormatting>
  <conditionalFormatting sqref="B49:D49 B69:G71">
    <cfRule type="expression" dxfId="3514" priority="130">
      <formula>B49&gt;$AG49</formula>
    </cfRule>
  </conditionalFormatting>
  <conditionalFormatting sqref="B99 B90:D90">
    <cfRule type="expression" dxfId="3513" priority="126">
      <formula>B$9&gt;=20/24</formula>
    </cfRule>
    <cfRule type="expression" dxfId="3512" priority="127">
      <formula>AND(B$9&gt;=14/24,B$9&lt;20/24)</formula>
    </cfRule>
    <cfRule type="expression" dxfId="3511" priority="128">
      <formula>AND(B$9&gt;=8/24,B$9&lt;14/24)</formula>
    </cfRule>
    <cfRule type="expression" dxfId="3510" priority="129">
      <formula>B$9&lt;8/24</formula>
    </cfRule>
  </conditionalFormatting>
  <conditionalFormatting sqref="B60:J60">
    <cfRule type="expression" dxfId="3509" priority="121">
      <formula>B60&gt;$AG60</formula>
    </cfRule>
  </conditionalFormatting>
  <conditionalFormatting sqref="B93:B97">
    <cfRule type="expression" dxfId="3508" priority="117">
      <formula>B$9&gt;=20/24</formula>
    </cfRule>
    <cfRule type="expression" dxfId="3507" priority="118">
      <formula>AND(B$9&gt;=14/24,B$9&lt;20/24)</formula>
    </cfRule>
    <cfRule type="expression" dxfId="3506" priority="119">
      <formula>AND(B$9&gt;=8/24,B$9&lt;14/24)</formula>
    </cfRule>
    <cfRule type="expression" dxfId="3505" priority="120">
      <formula>B$9&lt;8/24</formula>
    </cfRule>
  </conditionalFormatting>
  <conditionalFormatting sqref="B51:F53 G52:M53">
    <cfRule type="expression" dxfId="3504" priority="113">
      <formula>B$9&gt;=20/24</formula>
    </cfRule>
    <cfRule type="expression" dxfId="3503" priority="114">
      <formula>AND(B$9&gt;=14/24,B$9&lt;20/24)</formula>
    </cfRule>
    <cfRule type="expression" dxfId="3502" priority="115">
      <formula>AND(B$9&gt;=8/24,B$9&lt;14/24)</formula>
    </cfRule>
    <cfRule type="expression" dxfId="3501" priority="116">
      <formula>B$9&lt;8/24</formula>
    </cfRule>
  </conditionalFormatting>
  <conditionalFormatting sqref="B51:F53 G52:M53">
    <cfRule type="expression" dxfId="3500" priority="112">
      <formula>B51&gt;$AG51</formula>
    </cfRule>
  </conditionalFormatting>
  <conditionalFormatting sqref="B109">
    <cfRule type="expression" dxfId="3499" priority="108">
      <formula>B$9&gt;=20/24</formula>
    </cfRule>
    <cfRule type="expression" dxfId="3498" priority="109">
      <formula>AND(B$9&gt;=14/24,B$9&lt;20/24)</formula>
    </cfRule>
    <cfRule type="expression" dxfId="3497" priority="110">
      <formula>AND(B$9&gt;=8/24,B$9&lt;14/24)</formula>
    </cfRule>
    <cfRule type="expression" dxfId="3496" priority="111">
      <formula>B$9&lt;8/24</formula>
    </cfRule>
  </conditionalFormatting>
  <conditionalFormatting sqref="B112">
    <cfRule type="expression" dxfId="3495" priority="104">
      <formula>B$9&gt;=20/24</formula>
    </cfRule>
    <cfRule type="expression" dxfId="3494" priority="105">
      <formula>AND(B$9&gt;=14/24,B$9&lt;20/24)</formula>
    </cfRule>
    <cfRule type="expression" dxfId="3493" priority="106">
      <formula>AND(B$9&gt;=8/24,B$9&lt;14/24)</formula>
    </cfRule>
    <cfRule type="expression" dxfId="3492" priority="107">
      <formula>B$9&lt;8/24</formula>
    </cfRule>
  </conditionalFormatting>
  <conditionalFormatting sqref="B19:X34 Y25:Z34 B36:Z45 AA31:AF31">
    <cfRule type="expression" dxfId="3491" priority="100">
      <formula>B$9&gt;=20/24</formula>
    </cfRule>
    <cfRule type="expression" dxfId="3490" priority="101">
      <formula>AND(B$9&gt;=14/24,B$9&lt;20/24)</formula>
    </cfRule>
    <cfRule type="expression" dxfId="3489" priority="102">
      <formula>AND(B$9&gt;=8/24,B$9&lt;14/24)</formula>
    </cfRule>
    <cfRule type="expression" dxfId="3488" priority="103">
      <formula>B$9&lt;8/24</formula>
    </cfRule>
  </conditionalFormatting>
  <conditionalFormatting sqref="B19:X34 Y25:Z34 B36:Z45 AA31:AF31">
    <cfRule type="expression" dxfId="3487" priority="99">
      <formula>B19&gt;$AG19</formula>
    </cfRule>
  </conditionalFormatting>
  <conditionalFormatting sqref="B85:B87 B77:G77 B78:R83">
    <cfRule type="expression" dxfId="3486" priority="95">
      <formula>B$9&gt;=20/24</formula>
    </cfRule>
    <cfRule type="expression" dxfId="3485" priority="96">
      <formula>AND(B$9&gt;=14/24,B$9&lt;20/24)</formula>
    </cfRule>
    <cfRule type="expression" dxfId="3484" priority="97">
      <formula>AND(B$9&gt;=8/24,B$9&lt;14/24)</formula>
    </cfRule>
    <cfRule type="expression" dxfId="3483" priority="98">
      <formula>B$9&lt;8/24</formula>
    </cfRule>
  </conditionalFormatting>
  <conditionalFormatting sqref="B89 B91 B100 B72">
    <cfRule type="expression" dxfId="3482" priority="91">
      <formula>B$9&gt;=20/24</formula>
    </cfRule>
    <cfRule type="expression" dxfId="3481" priority="92">
      <formula>AND(B$9&gt;=14/24,B$9&lt;20/24)</formula>
    </cfRule>
    <cfRule type="expression" dxfId="3480" priority="93">
      <formula>AND(B$9&gt;=8/24,B$9&lt;14/24)</formula>
    </cfRule>
    <cfRule type="expression" dxfId="3479" priority="94">
      <formula>B$9&lt;8/24</formula>
    </cfRule>
  </conditionalFormatting>
  <conditionalFormatting sqref="B72 B67:C68">
    <cfRule type="expression" dxfId="3478" priority="90">
      <formula>B67&gt;$AG67</formula>
    </cfRule>
  </conditionalFormatting>
  <conditionalFormatting sqref="B84">
    <cfRule type="expression" dxfId="3477" priority="86">
      <formula>B$9&gt;=20/24</formula>
    </cfRule>
    <cfRule type="expression" dxfId="3476" priority="87">
      <formula>AND(B$9&gt;=14/24,B$9&lt;20/24)</formula>
    </cfRule>
    <cfRule type="expression" dxfId="3475" priority="88">
      <formula>AND(B$9&gt;=8/24,B$9&lt;14/24)</formula>
    </cfRule>
    <cfRule type="expression" dxfId="3474" priority="89">
      <formula>B$9&lt;8/24</formula>
    </cfRule>
  </conditionalFormatting>
  <conditionalFormatting sqref="B54:C54">
    <cfRule type="expression" dxfId="3473" priority="82">
      <formula>B$9&gt;=20/24</formula>
    </cfRule>
    <cfRule type="expression" dxfId="3472" priority="83">
      <formula>AND(B$9&gt;=14/24,B$9&lt;20/24)</formula>
    </cfRule>
    <cfRule type="expression" dxfId="3471" priority="84">
      <formula>AND(B$9&gt;=8/24,B$9&lt;14/24)</formula>
    </cfRule>
    <cfRule type="expression" dxfId="3470" priority="85">
      <formula>B$9&lt;8/24</formula>
    </cfRule>
  </conditionalFormatting>
  <conditionalFormatting sqref="B54:C54">
    <cfRule type="expression" dxfId="3469" priority="81">
      <formula>B54&gt;$AG54</formula>
    </cfRule>
  </conditionalFormatting>
  <conditionalFormatting sqref="B61:R66">
    <cfRule type="expression" dxfId="3468" priority="73">
      <formula>B$9&gt;=20/24</formula>
    </cfRule>
    <cfRule type="expression" dxfId="3467" priority="74">
      <formula>AND(B$9&gt;=14/24,B$9&lt;20/24)</formula>
    </cfRule>
    <cfRule type="expression" dxfId="3466" priority="75">
      <formula>AND(B$9&gt;=8/24,B$9&lt;14/24)</formula>
    </cfRule>
    <cfRule type="expression" dxfId="3465" priority="76">
      <formula>B$9&lt;8/24</formula>
    </cfRule>
  </conditionalFormatting>
  <conditionalFormatting sqref="B61:R66">
    <cfRule type="expression" dxfId="3464" priority="72">
      <formula>B61&gt;$AG61</formula>
    </cfRule>
  </conditionalFormatting>
  <conditionalFormatting sqref="B47:Z47">
    <cfRule type="expression" dxfId="3463" priority="71">
      <formula>B47&gt;$AG47</formula>
    </cfRule>
  </conditionalFormatting>
  <conditionalFormatting sqref="B13:X13">
    <cfRule type="expression" dxfId="3462" priority="67">
      <formula>B$9&gt;=20/24</formula>
    </cfRule>
    <cfRule type="expression" dxfId="3461" priority="68">
      <formula>AND(B$9&gt;=14/24,B$9&lt;20/24)</formula>
    </cfRule>
    <cfRule type="expression" dxfId="3460" priority="69">
      <formula>AND(B$9&gt;=8/24,B$9&lt;14/24)</formula>
    </cfRule>
    <cfRule type="expression" dxfId="3459" priority="70">
      <formula>B$9&lt;8/24</formula>
    </cfRule>
  </conditionalFormatting>
  <conditionalFormatting sqref="B13:X13">
    <cfRule type="expression" dxfId="3458" priority="66">
      <formula>B13&gt;$AG13</formula>
    </cfRule>
  </conditionalFormatting>
  <conditionalFormatting sqref="B47:Z47">
    <cfRule type="expression" dxfId="3457" priority="62">
      <formula>B$9&gt;=20/24</formula>
    </cfRule>
    <cfRule type="expression" dxfId="3456" priority="63">
      <formula>AND(B$9&gt;=14/24,B$9&lt;20/24)</formula>
    </cfRule>
    <cfRule type="expression" dxfId="3455" priority="64">
      <formula>AND(B$9&gt;=8/24,B$9&lt;14/24)</formula>
    </cfRule>
    <cfRule type="expression" dxfId="3454" priority="65">
      <formula>B$9&lt;8/24</formula>
    </cfRule>
  </conditionalFormatting>
  <conditionalFormatting sqref="B48:Z48">
    <cfRule type="expression" dxfId="3453" priority="58">
      <formula>B$9&gt;=20/24</formula>
    </cfRule>
    <cfRule type="expression" dxfId="3452" priority="59">
      <formula>AND(B$9&gt;=14/24,B$9&lt;20/24)</formula>
    </cfRule>
    <cfRule type="expression" dxfId="3451" priority="60">
      <formula>AND(B$9&gt;=8/24,B$9&lt;14/24)</formula>
    </cfRule>
    <cfRule type="expression" dxfId="3450" priority="61">
      <formula>B$9&lt;8/24</formula>
    </cfRule>
  </conditionalFormatting>
  <conditionalFormatting sqref="B48:Z48">
    <cfRule type="expression" dxfId="3449" priority="57">
      <formula>B48&gt;$AG48</formula>
    </cfRule>
  </conditionalFormatting>
  <conditionalFormatting sqref="B50:D50">
    <cfRule type="expression" dxfId="3448" priority="56">
      <formula>B50&gt;$AG50</formula>
    </cfRule>
  </conditionalFormatting>
  <conditionalFormatting sqref="B11:T11">
    <cfRule type="expression" dxfId="3447" priority="52">
      <formula>B$9&gt;=20/24</formula>
    </cfRule>
    <cfRule type="expression" dxfId="3446" priority="53">
      <formula>AND(B$9&gt;=14/24,B$9&lt;20/24)</formula>
    </cfRule>
    <cfRule type="expression" dxfId="3445" priority="54">
      <formula>AND(B$9&gt;=8/24,B$9&lt;14/24)</formula>
    </cfRule>
    <cfRule type="expression" dxfId="3444" priority="55">
      <formula>B$9&lt;8/24</formula>
    </cfRule>
  </conditionalFormatting>
  <conditionalFormatting sqref="B11:T11">
    <cfRule type="expression" dxfId="3443" priority="51">
      <formula>B11&gt;$AG11</formula>
    </cfRule>
  </conditionalFormatting>
  <conditionalFormatting sqref="B18:X18">
    <cfRule type="expression" dxfId="3442" priority="47">
      <formula>B$9&gt;=20/24</formula>
    </cfRule>
    <cfRule type="expression" dxfId="3441" priority="48">
      <formula>AND(B$9&gt;=14/24,B$9&lt;20/24)</formula>
    </cfRule>
    <cfRule type="expression" dxfId="3440" priority="49">
      <formula>AND(B$9&gt;=8/24,B$9&lt;14/24)</formula>
    </cfRule>
    <cfRule type="expression" dxfId="3439" priority="50">
      <formula>B$9&lt;8/24</formula>
    </cfRule>
  </conditionalFormatting>
  <conditionalFormatting sqref="B18:X18">
    <cfRule type="expression" dxfId="3438" priority="46">
      <formula>B18&gt;$AG18</formula>
    </cfRule>
  </conditionalFormatting>
  <conditionalFormatting sqref="B35:Z35">
    <cfRule type="expression" dxfId="3437" priority="42">
      <formula>B$9&gt;=20/24</formula>
    </cfRule>
    <cfRule type="expression" dxfId="3436" priority="43">
      <formula>AND(B$9&gt;=14/24,B$9&lt;20/24)</formula>
    </cfRule>
    <cfRule type="expression" dxfId="3435" priority="44">
      <formula>AND(B$9&gt;=8/24,B$9&lt;14/24)</formula>
    </cfRule>
    <cfRule type="expression" dxfId="3434" priority="45">
      <formula>B$9&lt;8/24</formula>
    </cfRule>
  </conditionalFormatting>
  <conditionalFormatting sqref="B35:Z35">
    <cfRule type="expression" dxfId="3433" priority="41">
      <formula>B35&gt;$AG35</formula>
    </cfRule>
  </conditionalFormatting>
  <conditionalFormatting sqref="B46:Z46">
    <cfRule type="expression" dxfId="3432" priority="40">
      <formula>B46&gt;$AG46</formula>
    </cfRule>
  </conditionalFormatting>
  <conditionalFormatting sqref="B46:Z46">
    <cfRule type="expression" dxfId="3431" priority="36">
      <formula>B$9&gt;=20/24</formula>
    </cfRule>
    <cfRule type="expression" dxfId="3430" priority="37">
      <formula>AND(B$9&gt;=14/24,B$9&lt;20/24)</formula>
    </cfRule>
    <cfRule type="expression" dxfId="3429" priority="38">
      <formula>AND(B$9&gt;=8/24,B$9&lt;14/24)</formula>
    </cfRule>
    <cfRule type="expression" dxfId="3428" priority="39">
      <formula>B$9&lt;8/24</formula>
    </cfRule>
  </conditionalFormatting>
  <conditionalFormatting sqref="AE73:AF73">
    <cfRule type="expression" dxfId="3427" priority="23">
      <formula>AE$9&gt;=20/24</formula>
    </cfRule>
    <cfRule type="expression" dxfId="3426" priority="24">
      <formula>AND(AE$9&gt;=14/24,AE$9&lt;20/24)</formula>
    </cfRule>
    <cfRule type="expression" dxfId="3425" priority="25">
      <formula>AND(AE$9&gt;=8/24,AE$9&lt;14/24)</formula>
    </cfRule>
    <cfRule type="expression" dxfId="3424" priority="26">
      <formula>AE$9&lt;8/24</formula>
    </cfRule>
  </conditionalFormatting>
  <conditionalFormatting sqref="S56:Z59">
    <cfRule type="expression" dxfId="3423" priority="11">
      <formula>S$9&gt;=20/24</formula>
    </cfRule>
    <cfRule type="expression" dxfId="3422" priority="12">
      <formula>AND(S$9&gt;=14/24,S$9&lt;20/24)</formula>
    </cfRule>
    <cfRule type="expression" dxfId="3421" priority="13">
      <formula>AND(S$9&gt;=8/24,S$9&lt;14/24)</formula>
    </cfRule>
    <cfRule type="expression" dxfId="3420" priority="14">
      <formula>S$9&lt;8/24</formula>
    </cfRule>
  </conditionalFormatting>
  <conditionalFormatting sqref="S55:Z59">
    <cfRule type="expression" dxfId="3419" priority="10">
      <formula>S55&gt;$AG55</formula>
    </cfRule>
  </conditionalFormatting>
  <conditionalFormatting sqref="S61:Z66">
    <cfRule type="expression" dxfId="3418" priority="6">
      <formula>S$9&gt;=20/24</formula>
    </cfRule>
    <cfRule type="expression" dxfId="3417" priority="7">
      <formula>AND(S$9&gt;=14/24,S$9&lt;20/24)</formula>
    </cfRule>
    <cfRule type="expression" dxfId="3416" priority="8">
      <formula>AND(S$9&gt;=8/24,S$9&lt;14/24)</formula>
    </cfRule>
    <cfRule type="expression" dxfId="3415" priority="9">
      <formula>S$9&lt;8/24</formula>
    </cfRule>
  </conditionalFormatting>
  <conditionalFormatting sqref="S61:Z66">
    <cfRule type="expression" dxfId="3414" priority="5">
      <formula>S61&gt;$AG61</formula>
    </cfRule>
  </conditionalFormatting>
  <conditionalFormatting sqref="S78:Z83">
    <cfRule type="expression" dxfId="3413" priority="1">
      <formula>S$9&gt;=20/24</formula>
    </cfRule>
    <cfRule type="expression" dxfId="3412" priority="2">
      <formula>AND(S$9&gt;=14/24,S$9&lt;20/24)</formula>
    </cfRule>
    <cfRule type="expression" dxfId="3411" priority="3">
      <formula>AND(S$9&gt;=8/24,S$9&lt;14/24)</formula>
    </cfRule>
    <cfRule type="expression" dxfId="3410" priority="4">
      <formula>S$9&lt;8/24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2" id="{3168CC6E-4128-4676-AF5B-F91E255C93F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3" id="{3925DA4B-6963-4654-BC97-128E757BDC0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4" id="{89438FC6-5AC0-46F5-BAE5-37213BCD69F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5" id="{71A22F25-3E32-4F06-AF7F-BEE13488EEF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7" id="{D9700B2B-CDD7-4C6C-A602-EC07BB61D66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8" id="{4756CC71-3810-45E5-8DFB-5167C548E55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9" id="{16E62573-CED9-44EB-96A5-2D5BE844328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0" id="{96B66C9A-A704-4E2F-B730-AE49C12CDCE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A272-CA29-48B9-BBA8-3C968046C9AC}">
  <sheetPr codeName="Sheet26"/>
  <dimension ref="A1:CJ281"/>
  <sheetViews>
    <sheetView workbookViewId="0">
      <pane xSplit="1" ySplit="10" topLeftCell="H111" activePane="bottomRight" state="frozen"/>
      <selection pane="topRight" activeCell="B1" sqref="B1"/>
      <selection pane="bottomLeft" activeCell="A11" sqref="A11"/>
      <selection pane="bottomRight" activeCell="O116" sqref="O11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2080/02/27</v>
      </c>
      <c r="C4" s="191"/>
      <c r="D4" s="191"/>
      <c r="E4" s="192" t="str">
        <f ca="1">"2079/"&amp;"12/"&amp;INT(MID(CELL("filename",G6),FIND("]",CELL("filename",G6))+1,200))</f>
        <v>2079/12/27</v>
      </c>
      <c r="F4" s="192"/>
      <c r="G4" s="192"/>
      <c r="H4" s="192" t="str">
        <f ca="1">TEXT(E4,"dddd")</f>
        <v>Wednesday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115.19999999999999</v>
      </c>
      <c r="C5" s="30">
        <f t="shared" si="0"/>
        <v>124</v>
      </c>
      <c r="D5" s="30">
        <f t="shared" si="0"/>
        <v>173</v>
      </c>
      <c r="E5" s="30">
        <f t="shared" si="0"/>
        <v>202.2</v>
      </c>
      <c r="F5" s="30">
        <f t="shared" si="0"/>
        <v>302.60000000000002</v>
      </c>
      <c r="G5" s="30">
        <f t="shared" si="0"/>
        <v>291</v>
      </c>
      <c r="H5" s="30">
        <f t="shared" si="0"/>
        <v>309.3</v>
      </c>
      <c r="I5" s="30">
        <f t="shared" si="0"/>
        <v>386.90000000000003</v>
      </c>
      <c r="J5" s="30">
        <f t="shared" si="0"/>
        <v>337.7</v>
      </c>
      <c r="K5" s="30">
        <f t="shared" si="0"/>
        <v>336.7</v>
      </c>
      <c r="L5" s="30">
        <f t="shared" si="0"/>
        <v>338.3</v>
      </c>
      <c r="M5" s="30">
        <f t="shared" si="0"/>
        <v>330.3</v>
      </c>
      <c r="N5" s="30">
        <f t="shared" si="0"/>
        <v>342.3</v>
      </c>
      <c r="O5" s="30">
        <f t="shared" si="0"/>
        <v>0</v>
      </c>
      <c r="P5" s="30">
        <f t="shared" si="0"/>
        <v>139</v>
      </c>
      <c r="Q5" s="30">
        <f t="shared" si="0"/>
        <v>214.2</v>
      </c>
      <c r="R5" s="30">
        <f t="shared" si="0"/>
        <v>193.2</v>
      </c>
      <c r="S5" s="30">
        <f t="shared" si="0"/>
        <v>141.4</v>
      </c>
      <c r="T5" s="30">
        <f t="shared" si="0"/>
        <v>275.3</v>
      </c>
      <c r="U5" s="30">
        <f t="shared" si="0"/>
        <v>274.60000000000002</v>
      </c>
      <c r="V5" s="30">
        <f t="shared" si="0"/>
        <v>276</v>
      </c>
      <c r="W5" s="30">
        <f t="shared" si="0"/>
        <v>258.2</v>
      </c>
      <c r="X5" s="30">
        <f t="shared" si="0"/>
        <v>264.39999999999998</v>
      </c>
      <c r="Y5" s="30">
        <f t="shared" si="0"/>
        <v>303.8</v>
      </c>
      <c r="Z5" s="30">
        <f t="shared" si="0"/>
        <v>110.30000000000001</v>
      </c>
      <c r="AA5" s="30">
        <f t="shared" si="0"/>
        <v>112.30000000000001</v>
      </c>
      <c r="AB5" s="30">
        <f t="shared" si="0"/>
        <v>86.1</v>
      </c>
      <c r="AC5" s="30">
        <f t="shared" si="0"/>
        <v>88</v>
      </c>
      <c r="AD5" s="30">
        <f t="shared" si="0"/>
        <v>87.7</v>
      </c>
      <c r="AE5" s="30">
        <f t="shared" si="0"/>
        <v>87.7</v>
      </c>
      <c r="AF5" s="30">
        <f>B84</f>
        <v>120.3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1651MW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1739.4399999999998</v>
      </c>
      <c r="C7" s="35">
        <f t="shared" si="1"/>
        <v>1708.3400000000001</v>
      </c>
      <c r="D7" s="35">
        <f t="shared" si="1"/>
        <v>1716.8400000000001</v>
      </c>
      <c r="E7" s="35">
        <f t="shared" si="1"/>
        <v>1618.2399999999998</v>
      </c>
      <c r="F7" s="35">
        <f t="shared" si="1"/>
        <v>1653.74</v>
      </c>
      <c r="G7" s="35">
        <f t="shared" si="1"/>
        <v>1584.1399999999999</v>
      </c>
      <c r="H7" s="35">
        <f t="shared" si="1"/>
        <v>1582.3400000000001</v>
      </c>
      <c r="I7" s="35">
        <f t="shared" si="1"/>
        <v>1600.64</v>
      </c>
      <c r="J7" s="35">
        <f t="shared" si="1"/>
        <v>1646.5400000000002</v>
      </c>
      <c r="K7" s="35">
        <f t="shared" si="1"/>
        <v>1637.64</v>
      </c>
      <c r="L7" s="35">
        <f t="shared" si="1"/>
        <v>1614.44</v>
      </c>
      <c r="M7" s="35">
        <f t="shared" si="1"/>
        <v>1641.6399999999999</v>
      </c>
      <c r="N7" s="35">
        <f>N91</f>
        <v>1650.6399999999999</v>
      </c>
      <c r="O7" s="35">
        <f t="shared" si="1"/>
        <v>1810.6399999999999</v>
      </c>
      <c r="P7" s="35">
        <f t="shared" si="1"/>
        <v>3.54</v>
      </c>
      <c r="Q7" s="35">
        <f t="shared" si="1"/>
        <v>1649.84</v>
      </c>
      <c r="R7" s="35">
        <f t="shared" si="1"/>
        <v>1662.44</v>
      </c>
      <c r="S7" s="35">
        <f t="shared" si="1"/>
        <v>1685.9400000000003</v>
      </c>
      <c r="T7" s="35">
        <f t="shared" si="1"/>
        <v>1674.1400000000003</v>
      </c>
      <c r="U7" s="35">
        <f t="shared" si="1"/>
        <v>1757.34</v>
      </c>
      <c r="V7" s="35">
        <f t="shared" si="1"/>
        <v>1700.54</v>
      </c>
      <c r="W7" s="35">
        <f t="shared" si="1"/>
        <v>1647.14</v>
      </c>
      <c r="X7" s="35">
        <f t="shared" si="1"/>
        <v>1620.89</v>
      </c>
      <c r="Y7" s="35">
        <f t="shared" si="1"/>
        <v>1637.3899999999999</v>
      </c>
      <c r="Z7" s="35">
        <f t="shared" si="1"/>
        <v>1708.14</v>
      </c>
      <c r="AA7" s="35">
        <f t="shared" si="1"/>
        <v>1832.24</v>
      </c>
      <c r="AB7" s="35">
        <f t="shared" si="1"/>
        <v>1830.24</v>
      </c>
      <c r="AC7" s="35">
        <f t="shared" si="1"/>
        <v>1805.94</v>
      </c>
      <c r="AD7" s="35">
        <f t="shared" si="1"/>
        <v>1874.8400000000001</v>
      </c>
      <c r="AE7" s="35">
        <f t="shared" si="1"/>
        <v>1837.94</v>
      </c>
      <c r="AF7" s="35">
        <f t="shared" si="1"/>
        <v>1734.94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25.2</v>
      </c>
      <c r="C11" s="45">
        <v>25.2</v>
      </c>
      <c r="D11" s="45">
        <v>25.2</v>
      </c>
      <c r="E11" s="45">
        <v>25.2</v>
      </c>
      <c r="F11" s="45">
        <v>25.2</v>
      </c>
      <c r="G11" s="45">
        <v>25.2</v>
      </c>
      <c r="H11" s="45">
        <v>25.2</v>
      </c>
      <c r="I11" s="45">
        <v>25.2</v>
      </c>
      <c r="J11" s="45">
        <v>25.2</v>
      </c>
      <c r="K11" s="45">
        <v>25.2</v>
      </c>
      <c r="L11" s="45">
        <v>25.2</v>
      </c>
      <c r="M11" s="45">
        <v>25.2</v>
      </c>
      <c r="N11" s="45">
        <v>25.2</v>
      </c>
      <c r="O11" s="45">
        <v>25.2</v>
      </c>
      <c r="P11" s="45" t="s">
        <v>305</v>
      </c>
      <c r="Q11" s="45">
        <v>25.2</v>
      </c>
      <c r="R11" s="45">
        <v>25.2</v>
      </c>
      <c r="S11" s="45">
        <v>25.2</v>
      </c>
      <c r="T11" s="45">
        <v>25.2</v>
      </c>
      <c r="U11" s="45">
        <v>25.2</v>
      </c>
      <c r="V11" s="45">
        <v>25.2</v>
      </c>
      <c r="W11" s="45">
        <v>25.2</v>
      </c>
      <c r="X11" s="45">
        <v>25.2</v>
      </c>
      <c r="Y11" s="45">
        <v>25.2</v>
      </c>
      <c r="Z11" s="45">
        <v>25.2</v>
      </c>
      <c r="AA11" s="45">
        <v>25.2</v>
      </c>
      <c r="AB11" s="45">
        <v>25.2</v>
      </c>
      <c r="AC11" s="45">
        <v>25.2</v>
      </c>
      <c r="AD11" s="45">
        <v>25.2</v>
      </c>
      <c r="AE11" s="45">
        <v>25.2</v>
      </c>
      <c r="AF11" s="45">
        <v>25.2</v>
      </c>
      <c r="AG11" s="46">
        <v>86</v>
      </c>
      <c r="AH11" s="47">
        <f t="shared" ref="AH11:AH76" si="2">MAX(B11:AF11)</f>
        <v>25.2</v>
      </c>
      <c r="AI11" s="48">
        <f t="shared" ref="AI11:AI76" si="3">MIN(B11:AF11)</f>
        <v>25.2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33</v>
      </c>
      <c r="C12" s="45">
        <v>38</v>
      </c>
      <c r="D12" s="45">
        <v>38</v>
      </c>
      <c r="E12" s="45">
        <v>38</v>
      </c>
      <c r="F12" s="45">
        <v>38</v>
      </c>
      <c r="G12" s="45">
        <v>38</v>
      </c>
      <c r="H12" s="45">
        <v>38</v>
      </c>
      <c r="I12" s="45">
        <v>38</v>
      </c>
      <c r="J12" s="45">
        <v>38</v>
      </c>
      <c r="K12" s="45">
        <v>38</v>
      </c>
      <c r="L12" s="45">
        <v>38</v>
      </c>
      <c r="M12" s="45">
        <v>38</v>
      </c>
      <c r="N12" s="45">
        <v>38</v>
      </c>
      <c r="O12" s="45">
        <v>38</v>
      </c>
      <c r="P12" s="45" t="s">
        <v>279</v>
      </c>
      <c r="Q12" s="45">
        <v>38</v>
      </c>
      <c r="R12" s="45">
        <v>38</v>
      </c>
      <c r="S12" s="45">
        <v>33</v>
      </c>
      <c r="T12" s="45">
        <v>33</v>
      </c>
      <c r="U12" s="45">
        <v>33</v>
      </c>
      <c r="V12" s="45">
        <v>33</v>
      </c>
      <c r="W12" s="45">
        <v>33</v>
      </c>
      <c r="X12" s="45">
        <v>20</v>
      </c>
      <c r="Y12" s="45">
        <v>20</v>
      </c>
      <c r="Z12" s="45">
        <v>20</v>
      </c>
      <c r="AA12" s="45">
        <v>20</v>
      </c>
      <c r="AB12" s="45">
        <v>20</v>
      </c>
      <c r="AC12" s="45">
        <v>20</v>
      </c>
      <c r="AD12" s="45">
        <v>40</v>
      </c>
      <c r="AE12" s="45">
        <v>40</v>
      </c>
      <c r="AF12" s="45">
        <v>40</v>
      </c>
      <c r="AG12" s="50">
        <v>54</v>
      </c>
      <c r="AH12" s="47">
        <f t="shared" si="2"/>
        <v>40</v>
      </c>
      <c r="AI12" s="48">
        <f t="shared" si="3"/>
        <v>20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22.1</v>
      </c>
      <c r="C13" s="45">
        <v>23</v>
      </c>
      <c r="D13" s="45">
        <v>23</v>
      </c>
      <c r="E13" s="45">
        <v>27</v>
      </c>
      <c r="F13" s="45">
        <v>27</v>
      </c>
      <c r="G13" s="45">
        <v>27</v>
      </c>
      <c r="H13" s="45">
        <v>27</v>
      </c>
      <c r="I13" s="45">
        <v>27</v>
      </c>
      <c r="J13" s="45">
        <v>27</v>
      </c>
      <c r="K13" s="45">
        <v>27</v>
      </c>
      <c r="L13" s="45">
        <v>27</v>
      </c>
      <c r="M13" s="45">
        <v>27</v>
      </c>
      <c r="N13" s="45">
        <v>27</v>
      </c>
      <c r="O13" s="45">
        <v>27</v>
      </c>
      <c r="P13" s="45" t="s">
        <v>280</v>
      </c>
      <c r="Q13" s="45">
        <v>27</v>
      </c>
      <c r="R13" s="45">
        <v>27</v>
      </c>
      <c r="S13" s="45">
        <v>25</v>
      </c>
      <c r="T13" s="45">
        <v>25</v>
      </c>
      <c r="U13" s="45">
        <v>25</v>
      </c>
      <c r="V13" s="45">
        <v>25</v>
      </c>
      <c r="W13" s="45">
        <v>25</v>
      </c>
      <c r="X13" s="45">
        <v>23.2</v>
      </c>
      <c r="Y13" s="45">
        <v>23.2</v>
      </c>
      <c r="Z13" s="45">
        <v>23.2</v>
      </c>
      <c r="AA13" s="45">
        <v>23.2</v>
      </c>
      <c r="AB13" s="45">
        <v>23.2</v>
      </c>
      <c r="AC13" s="45">
        <v>23.2</v>
      </c>
      <c r="AD13" s="45">
        <v>23.2</v>
      </c>
      <c r="AE13" s="45">
        <v>23.2</v>
      </c>
      <c r="AF13" s="45">
        <v>23.2</v>
      </c>
      <c r="AG13" s="46">
        <v>52.4</v>
      </c>
      <c r="AH13" s="47">
        <f t="shared" si="2"/>
        <v>27</v>
      </c>
      <c r="AI13" s="48">
        <f t="shared" si="3"/>
        <v>22.1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50.4</v>
      </c>
      <c r="C14" s="45">
        <v>50.4</v>
      </c>
      <c r="D14" s="45">
        <v>50.2</v>
      </c>
      <c r="E14" s="45">
        <v>50.3</v>
      </c>
      <c r="F14" s="45">
        <v>50.3</v>
      </c>
      <c r="G14" s="45">
        <v>50.3</v>
      </c>
      <c r="H14" s="45">
        <v>50.3</v>
      </c>
      <c r="I14" s="45">
        <v>50.3</v>
      </c>
      <c r="J14" s="45">
        <v>50.3</v>
      </c>
      <c r="K14" s="45">
        <v>50.3</v>
      </c>
      <c r="L14" s="45">
        <v>50.3</v>
      </c>
      <c r="M14" s="45">
        <v>50.3</v>
      </c>
      <c r="N14" s="45">
        <v>50.3</v>
      </c>
      <c r="O14" s="45">
        <v>50.3</v>
      </c>
      <c r="P14" s="58" t="s">
        <v>281</v>
      </c>
      <c r="Q14" s="58">
        <v>50.3</v>
      </c>
      <c r="R14" s="58">
        <v>50.3</v>
      </c>
      <c r="S14" s="58">
        <v>50.3</v>
      </c>
      <c r="T14" s="58">
        <v>50.3</v>
      </c>
      <c r="U14" s="58">
        <v>50.3</v>
      </c>
      <c r="V14" s="58">
        <v>50.3</v>
      </c>
      <c r="W14" s="58">
        <v>50.3</v>
      </c>
      <c r="X14" s="58">
        <v>50.5</v>
      </c>
      <c r="Y14" s="58">
        <v>50.5</v>
      </c>
      <c r="Z14" s="58">
        <v>50.5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50">
        <v>50</v>
      </c>
      <c r="AH14" s="47">
        <f t="shared" si="2"/>
        <v>50.5</v>
      </c>
      <c r="AI14" s="48">
        <f t="shared" si="3"/>
        <v>50.2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39.799999999999997</v>
      </c>
      <c r="C15" s="45">
        <v>41.4</v>
      </c>
      <c r="D15" s="45">
        <v>40.4</v>
      </c>
      <c r="E15" s="45">
        <v>40.4</v>
      </c>
      <c r="F15" s="45">
        <v>40.4</v>
      </c>
      <c r="G15" s="45">
        <v>40.4</v>
      </c>
      <c r="H15" s="45">
        <v>40.4</v>
      </c>
      <c r="I15" s="45">
        <v>40.4</v>
      </c>
      <c r="J15" s="45">
        <v>40.4</v>
      </c>
      <c r="K15" s="45">
        <v>40.4</v>
      </c>
      <c r="L15" s="45">
        <v>40.4</v>
      </c>
      <c r="M15" s="45">
        <v>40.4</v>
      </c>
      <c r="N15" s="45">
        <v>40.4</v>
      </c>
      <c r="O15" s="45">
        <v>40.4</v>
      </c>
      <c r="P15" s="45" t="s">
        <v>282</v>
      </c>
      <c r="Q15" s="45">
        <v>40.4</v>
      </c>
      <c r="R15" s="45">
        <v>40.4</v>
      </c>
      <c r="S15" s="45">
        <v>32</v>
      </c>
      <c r="T15" s="45">
        <v>32</v>
      </c>
      <c r="U15" s="45">
        <v>32</v>
      </c>
      <c r="V15" s="45">
        <v>32</v>
      </c>
      <c r="W15" s="45">
        <v>32</v>
      </c>
      <c r="X15" s="45">
        <v>36.4</v>
      </c>
      <c r="Y15" s="45">
        <v>36.4</v>
      </c>
      <c r="Z15" s="45">
        <v>36.4</v>
      </c>
      <c r="AA15" s="45">
        <v>36.4</v>
      </c>
      <c r="AB15" s="45">
        <v>36.4</v>
      </c>
      <c r="AC15" s="45">
        <v>36.4</v>
      </c>
      <c r="AD15" s="45">
        <v>36.4</v>
      </c>
      <c r="AE15" s="45">
        <v>36.4</v>
      </c>
      <c r="AF15" s="45">
        <v>36.4</v>
      </c>
      <c r="AG15" s="50">
        <v>45</v>
      </c>
      <c r="AH15" s="47">
        <f t="shared" si="2"/>
        <v>41.4</v>
      </c>
      <c r="AI15" s="48">
        <f t="shared" si="3"/>
        <v>32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41</v>
      </c>
      <c r="C16" s="45">
        <v>41</v>
      </c>
      <c r="D16" s="45">
        <v>41</v>
      </c>
      <c r="E16" s="45">
        <v>41</v>
      </c>
      <c r="F16" s="45">
        <v>41</v>
      </c>
      <c r="G16" s="45">
        <v>41</v>
      </c>
      <c r="H16" s="45">
        <v>41</v>
      </c>
      <c r="I16" s="45">
        <v>41</v>
      </c>
      <c r="J16" s="45">
        <v>41</v>
      </c>
      <c r="K16" s="45">
        <v>41</v>
      </c>
      <c r="L16" s="45">
        <v>41</v>
      </c>
      <c r="M16" s="45">
        <v>41</v>
      </c>
      <c r="N16" s="45">
        <v>41</v>
      </c>
      <c r="O16" s="45">
        <v>41</v>
      </c>
      <c r="P16" s="45" t="s">
        <v>279</v>
      </c>
      <c r="Q16" s="45">
        <v>41</v>
      </c>
      <c r="R16" s="45">
        <v>41</v>
      </c>
      <c r="S16" s="45">
        <v>41</v>
      </c>
      <c r="T16" s="45">
        <v>41</v>
      </c>
      <c r="U16" s="45">
        <v>41</v>
      </c>
      <c r="V16" s="45">
        <v>41</v>
      </c>
      <c r="W16" s="45">
        <v>41</v>
      </c>
      <c r="X16" s="45">
        <v>41</v>
      </c>
      <c r="Y16" s="45">
        <v>41</v>
      </c>
      <c r="Z16" s="45">
        <v>41</v>
      </c>
      <c r="AA16" s="45">
        <v>41</v>
      </c>
      <c r="AB16" s="45">
        <v>41</v>
      </c>
      <c r="AC16" s="45">
        <v>41</v>
      </c>
      <c r="AD16" s="45">
        <v>41</v>
      </c>
      <c r="AE16" s="45">
        <v>41</v>
      </c>
      <c r="AF16" s="45">
        <v>41</v>
      </c>
      <c r="AG16" s="50">
        <v>44</v>
      </c>
      <c r="AH16" s="47">
        <f>MAX(B16:AG16)</f>
        <v>44</v>
      </c>
      <c r="AI16" s="48">
        <f>MIN(B16:AG16)</f>
        <v>41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33.299999999999997</v>
      </c>
      <c r="C17" s="45">
        <v>33</v>
      </c>
      <c r="D17" s="45">
        <v>30.1</v>
      </c>
      <c r="E17" s="45">
        <v>32.4</v>
      </c>
      <c r="F17" s="45">
        <v>40</v>
      </c>
      <c r="G17" s="45">
        <v>40</v>
      </c>
      <c r="H17" s="45">
        <v>32</v>
      </c>
      <c r="I17" s="45">
        <v>32</v>
      </c>
      <c r="J17" s="45">
        <v>28</v>
      </c>
      <c r="K17" s="45">
        <v>28</v>
      </c>
      <c r="L17" s="45">
        <v>28</v>
      </c>
      <c r="M17" s="45">
        <v>28</v>
      </c>
      <c r="N17" s="45">
        <v>28</v>
      </c>
      <c r="O17" s="45">
        <v>28</v>
      </c>
      <c r="P17" s="45" t="s">
        <v>283</v>
      </c>
      <c r="Q17" s="45">
        <v>28</v>
      </c>
      <c r="R17" s="45">
        <v>28</v>
      </c>
      <c r="S17" s="45">
        <v>30</v>
      </c>
      <c r="T17" s="45">
        <v>30</v>
      </c>
      <c r="U17" s="45">
        <v>30</v>
      </c>
      <c r="V17" s="45">
        <v>30</v>
      </c>
      <c r="W17" s="45">
        <v>30</v>
      </c>
      <c r="X17" s="45">
        <v>30</v>
      </c>
      <c r="Y17" s="45">
        <v>30</v>
      </c>
      <c r="Z17" s="45">
        <v>30</v>
      </c>
      <c r="AA17" s="45">
        <v>0</v>
      </c>
      <c r="AB17" s="45">
        <v>40</v>
      </c>
      <c r="AC17" s="45">
        <v>40</v>
      </c>
      <c r="AD17" s="45">
        <v>40</v>
      </c>
      <c r="AE17" s="45">
        <v>40</v>
      </c>
      <c r="AF17" s="45">
        <v>40</v>
      </c>
      <c r="AG17" s="50">
        <v>42</v>
      </c>
      <c r="AH17" s="47">
        <f t="shared" si="2"/>
        <v>40</v>
      </c>
      <c r="AI17" s="48">
        <f t="shared" si="3"/>
        <v>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 t="s">
        <v>284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14.4</v>
      </c>
      <c r="C19" s="45">
        <v>14.4</v>
      </c>
      <c r="D19" s="45">
        <v>14.4</v>
      </c>
      <c r="E19" s="45">
        <v>14.4</v>
      </c>
      <c r="F19" s="45">
        <v>14.4</v>
      </c>
      <c r="G19" s="45">
        <v>14.4</v>
      </c>
      <c r="H19" s="45">
        <v>14.4</v>
      </c>
      <c r="I19" s="45">
        <v>14.4</v>
      </c>
      <c r="J19" s="45">
        <v>14.4</v>
      </c>
      <c r="K19" s="45">
        <v>14.4</v>
      </c>
      <c r="L19" s="45">
        <v>14.4</v>
      </c>
      <c r="M19" s="45">
        <v>14.4</v>
      </c>
      <c r="N19" s="45">
        <v>14.4</v>
      </c>
      <c r="O19" s="45">
        <v>14.4</v>
      </c>
      <c r="P19" s="45" t="s">
        <v>285</v>
      </c>
      <c r="Q19" s="45">
        <v>14.4</v>
      </c>
      <c r="R19" s="45">
        <v>14.4</v>
      </c>
      <c r="S19" s="45">
        <v>14.4</v>
      </c>
      <c r="T19" s="45">
        <v>14.4</v>
      </c>
      <c r="U19" s="45">
        <v>14.4</v>
      </c>
      <c r="V19" s="45">
        <v>14.4</v>
      </c>
      <c r="W19" s="45">
        <v>14.4</v>
      </c>
      <c r="X19" s="45">
        <v>14.4</v>
      </c>
      <c r="Y19" s="45">
        <v>14.4</v>
      </c>
      <c r="Z19" s="45">
        <v>14.4</v>
      </c>
      <c r="AA19" s="45">
        <v>14.4</v>
      </c>
      <c r="AB19" s="45">
        <v>14.4</v>
      </c>
      <c r="AC19" s="45">
        <v>14.4</v>
      </c>
      <c r="AD19" s="45">
        <v>14.4</v>
      </c>
      <c r="AE19" s="45">
        <v>14.4</v>
      </c>
      <c r="AF19" s="45">
        <v>14.4</v>
      </c>
      <c r="AG19" s="50">
        <v>36</v>
      </c>
      <c r="AH19" s="47">
        <f t="shared" si="2"/>
        <v>14.4</v>
      </c>
      <c r="AI19" s="48">
        <f t="shared" si="3"/>
        <v>14.4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28.3</v>
      </c>
      <c r="C20" s="45">
        <v>28.3</v>
      </c>
      <c r="D20" s="45">
        <v>27.7</v>
      </c>
      <c r="E20" s="45">
        <v>27.7</v>
      </c>
      <c r="F20" s="45">
        <v>20</v>
      </c>
      <c r="G20" s="45">
        <v>20</v>
      </c>
      <c r="H20" s="45">
        <v>20</v>
      </c>
      <c r="I20" s="45">
        <v>20</v>
      </c>
      <c r="J20" s="45">
        <v>20</v>
      </c>
      <c r="K20" s="45">
        <v>20</v>
      </c>
      <c r="L20" s="45">
        <v>20</v>
      </c>
      <c r="M20" s="45">
        <v>20</v>
      </c>
      <c r="N20" s="45">
        <v>20</v>
      </c>
      <c r="O20" s="45">
        <v>20</v>
      </c>
      <c r="P20" s="45" t="s">
        <v>284</v>
      </c>
      <c r="Q20" s="45">
        <v>20</v>
      </c>
      <c r="R20" s="45">
        <v>20</v>
      </c>
      <c r="S20" s="45">
        <v>17.8</v>
      </c>
      <c r="T20" s="45">
        <v>17.8</v>
      </c>
      <c r="U20" s="45">
        <v>17.8</v>
      </c>
      <c r="V20" s="45">
        <v>17.8</v>
      </c>
      <c r="W20" s="45">
        <v>17.8</v>
      </c>
      <c r="X20" s="45">
        <v>14</v>
      </c>
      <c r="Y20" s="45">
        <v>14</v>
      </c>
      <c r="Z20" s="45">
        <v>14</v>
      </c>
      <c r="AA20" s="45">
        <v>14</v>
      </c>
      <c r="AB20" s="45">
        <v>14</v>
      </c>
      <c r="AC20" s="45">
        <v>14</v>
      </c>
      <c r="AD20" s="45">
        <v>14</v>
      </c>
      <c r="AE20" s="45">
        <v>14</v>
      </c>
      <c r="AF20" s="45">
        <v>14</v>
      </c>
      <c r="AG20" s="51">
        <v>30</v>
      </c>
      <c r="AH20" s="47">
        <f t="shared" si="2"/>
        <v>28.3</v>
      </c>
      <c r="AI20" s="48">
        <f t="shared" si="3"/>
        <v>14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13.2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 t="s">
        <v>281</v>
      </c>
      <c r="Q21" s="45">
        <v>14</v>
      </c>
      <c r="R21" s="45">
        <v>14</v>
      </c>
      <c r="S21" s="45">
        <v>12.8</v>
      </c>
      <c r="T21" s="45">
        <v>12.8</v>
      </c>
      <c r="U21" s="45">
        <v>12.8</v>
      </c>
      <c r="V21" s="45">
        <v>12.8</v>
      </c>
      <c r="W21" s="45">
        <v>12.8</v>
      </c>
      <c r="X21" s="45">
        <v>13.2</v>
      </c>
      <c r="Y21" s="45">
        <v>13.2</v>
      </c>
      <c r="Z21" s="45">
        <v>13.2</v>
      </c>
      <c r="AA21" s="45">
        <v>13.2</v>
      </c>
      <c r="AB21" s="45">
        <v>13.2</v>
      </c>
      <c r="AC21" s="45">
        <v>13.2</v>
      </c>
      <c r="AD21" s="45">
        <v>13.2</v>
      </c>
      <c r="AE21" s="45">
        <v>13.2</v>
      </c>
      <c r="AF21" s="45">
        <v>13.2</v>
      </c>
      <c r="AG21" s="50">
        <v>24.2</v>
      </c>
      <c r="AH21" s="47">
        <f t="shared" si="2"/>
        <v>14</v>
      </c>
      <c r="AI21" s="48">
        <f t="shared" si="3"/>
        <v>12.8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 t="s">
        <v>286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28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14</v>
      </c>
      <c r="C23" s="45">
        <v>14</v>
      </c>
      <c r="D23" s="45">
        <v>14</v>
      </c>
      <c r="E23" s="45">
        <v>14</v>
      </c>
      <c r="F23" s="45">
        <v>14</v>
      </c>
      <c r="G23" s="45">
        <v>14</v>
      </c>
      <c r="H23" s="45">
        <v>14</v>
      </c>
      <c r="I23" s="45">
        <v>14</v>
      </c>
      <c r="J23" s="45">
        <v>7</v>
      </c>
      <c r="K23" s="45">
        <v>7</v>
      </c>
      <c r="L23" s="45">
        <v>7</v>
      </c>
      <c r="M23" s="45">
        <v>7</v>
      </c>
      <c r="N23" s="45">
        <v>7</v>
      </c>
      <c r="O23" s="45">
        <v>7</v>
      </c>
      <c r="P23" s="45" t="s">
        <v>287</v>
      </c>
      <c r="Q23" s="45">
        <v>7</v>
      </c>
      <c r="R23" s="45">
        <v>7</v>
      </c>
      <c r="S23" s="45">
        <v>7</v>
      </c>
      <c r="T23" s="45">
        <v>7</v>
      </c>
      <c r="U23" s="45">
        <v>7</v>
      </c>
      <c r="V23" s="45">
        <v>7</v>
      </c>
      <c r="W23" s="45">
        <v>7</v>
      </c>
      <c r="X23" s="45">
        <v>4</v>
      </c>
      <c r="Y23" s="45">
        <v>4</v>
      </c>
      <c r="Z23" s="45">
        <v>4</v>
      </c>
      <c r="AA23" s="45">
        <v>4</v>
      </c>
      <c r="AB23" s="45">
        <v>4</v>
      </c>
      <c r="AC23" s="45">
        <v>4</v>
      </c>
      <c r="AD23" s="45">
        <v>15</v>
      </c>
      <c r="AE23" s="45">
        <v>15</v>
      </c>
      <c r="AF23" s="45">
        <v>15</v>
      </c>
      <c r="AG23" s="51">
        <v>30</v>
      </c>
      <c r="AH23" s="47">
        <f t="shared" si="2"/>
        <v>15</v>
      </c>
      <c r="AI23" s="48">
        <f t="shared" si="3"/>
        <v>4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18.899999999999999</v>
      </c>
      <c r="C24" s="45">
        <v>18.8</v>
      </c>
      <c r="D24" s="45">
        <v>18.899999999999999</v>
      </c>
      <c r="E24" s="45">
        <v>16.5</v>
      </c>
      <c r="F24" s="45">
        <v>16.5</v>
      </c>
      <c r="G24" s="45">
        <v>16.5</v>
      </c>
      <c r="H24" s="45">
        <v>16.5</v>
      </c>
      <c r="I24" s="45">
        <v>16.5</v>
      </c>
      <c r="J24" s="45">
        <v>16.5</v>
      </c>
      <c r="K24" s="45">
        <v>16.5</v>
      </c>
      <c r="L24" s="45">
        <v>16.5</v>
      </c>
      <c r="M24" s="45">
        <v>16.5</v>
      </c>
      <c r="N24" s="45">
        <v>16.5</v>
      </c>
      <c r="O24" s="45">
        <v>16.5</v>
      </c>
      <c r="P24" s="45" t="s">
        <v>288</v>
      </c>
      <c r="Q24" s="45">
        <v>16.5</v>
      </c>
      <c r="R24" s="45">
        <v>16.5</v>
      </c>
      <c r="S24" s="45">
        <v>19</v>
      </c>
      <c r="T24" s="45">
        <v>19</v>
      </c>
      <c r="U24" s="45">
        <v>19</v>
      </c>
      <c r="V24" s="45">
        <v>19</v>
      </c>
      <c r="W24" s="45">
        <v>19</v>
      </c>
      <c r="X24" s="45">
        <v>19</v>
      </c>
      <c r="Y24" s="45">
        <v>19</v>
      </c>
      <c r="Z24" s="45">
        <v>19</v>
      </c>
      <c r="AA24" s="45">
        <v>19</v>
      </c>
      <c r="AB24" s="45">
        <v>19</v>
      </c>
      <c r="AC24" s="45">
        <v>19</v>
      </c>
      <c r="AD24" s="45">
        <v>19</v>
      </c>
      <c r="AE24" s="45">
        <v>19</v>
      </c>
      <c r="AF24" s="45">
        <v>19</v>
      </c>
      <c r="AG24" s="50">
        <v>25</v>
      </c>
      <c r="AH24" s="47">
        <f t="shared" si="2"/>
        <v>19</v>
      </c>
      <c r="AI24" s="48">
        <f t="shared" si="3"/>
        <v>16.5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 t="s">
        <v>289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14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</v>
      </c>
      <c r="C26" s="45">
        <v>6</v>
      </c>
      <c r="D26" s="45">
        <v>6</v>
      </c>
      <c r="E26" s="45">
        <v>6</v>
      </c>
      <c r="F26" s="45">
        <v>6</v>
      </c>
      <c r="G26" s="45">
        <v>6</v>
      </c>
      <c r="H26" s="45">
        <v>6</v>
      </c>
      <c r="I26" s="45">
        <v>6</v>
      </c>
      <c r="J26" s="45">
        <v>6</v>
      </c>
      <c r="K26" s="45">
        <v>6</v>
      </c>
      <c r="L26" s="45">
        <v>6</v>
      </c>
      <c r="M26" s="45">
        <v>6</v>
      </c>
      <c r="N26" s="45">
        <v>6</v>
      </c>
      <c r="O26" s="45">
        <v>6</v>
      </c>
      <c r="P26" s="45" t="s">
        <v>283</v>
      </c>
      <c r="Q26" s="45">
        <v>6</v>
      </c>
      <c r="R26" s="45">
        <v>6</v>
      </c>
      <c r="S26" s="45">
        <v>6</v>
      </c>
      <c r="T26" s="45">
        <v>6</v>
      </c>
      <c r="U26" s="45">
        <v>6</v>
      </c>
      <c r="V26" s="45">
        <v>6</v>
      </c>
      <c r="W26" s="45">
        <v>6</v>
      </c>
      <c r="X26" s="45">
        <v>6</v>
      </c>
      <c r="Y26" s="45">
        <v>6</v>
      </c>
      <c r="Z26" s="45">
        <v>6</v>
      </c>
      <c r="AA26" s="45">
        <v>6</v>
      </c>
      <c r="AB26" s="45">
        <v>6</v>
      </c>
      <c r="AC26" s="45">
        <v>25</v>
      </c>
      <c r="AD26" s="45">
        <v>25</v>
      </c>
      <c r="AE26" s="45">
        <v>25</v>
      </c>
      <c r="AF26" s="45">
        <v>25</v>
      </c>
      <c r="AG26" s="50">
        <v>25</v>
      </c>
      <c r="AH26" s="47">
        <f t="shared" si="2"/>
        <v>25</v>
      </c>
      <c r="AI26" s="48">
        <f t="shared" si="3"/>
        <v>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19</v>
      </c>
      <c r="C27" s="45">
        <v>19</v>
      </c>
      <c r="D27" s="45">
        <v>19</v>
      </c>
      <c r="E27" s="45">
        <v>19</v>
      </c>
      <c r="F27" s="45">
        <v>19</v>
      </c>
      <c r="G27" s="45">
        <v>19</v>
      </c>
      <c r="H27" s="45">
        <v>19</v>
      </c>
      <c r="I27" s="45">
        <v>19</v>
      </c>
      <c r="J27" s="45">
        <v>10</v>
      </c>
      <c r="K27" s="45">
        <v>10</v>
      </c>
      <c r="L27" s="45">
        <v>10</v>
      </c>
      <c r="M27" s="45">
        <v>10</v>
      </c>
      <c r="N27" s="45">
        <v>10</v>
      </c>
      <c r="O27" s="45">
        <v>10</v>
      </c>
      <c r="P27" s="45" t="s">
        <v>283</v>
      </c>
      <c r="Q27" s="45">
        <v>10</v>
      </c>
      <c r="R27" s="45">
        <v>10</v>
      </c>
      <c r="S27" s="45">
        <v>10</v>
      </c>
      <c r="T27" s="45">
        <v>19</v>
      </c>
      <c r="U27" s="45">
        <v>19</v>
      </c>
      <c r="V27" s="45">
        <v>19</v>
      </c>
      <c r="W27" s="45">
        <v>19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0">
        <v>25</v>
      </c>
      <c r="AH27" s="47">
        <f t="shared" si="2"/>
        <v>19</v>
      </c>
      <c r="AI27" s="48">
        <f t="shared" si="3"/>
        <v>10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7.6</v>
      </c>
      <c r="C28" s="45">
        <v>7.6</v>
      </c>
      <c r="D28" s="45">
        <v>7.7</v>
      </c>
      <c r="E28" s="45">
        <v>7.3</v>
      </c>
      <c r="F28" s="45">
        <v>7.3</v>
      </c>
      <c r="G28" s="45">
        <v>7.3</v>
      </c>
      <c r="H28" s="45">
        <v>7.3</v>
      </c>
      <c r="I28" s="45">
        <v>7.3</v>
      </c>
      <c r="J28" s="45">
        <v>7.3</v>
      </c>
      <c r="K28" s="45">
        <v>7.3</v>
      </c>
      <c r="L28" s="45">
        <v>7.3</v>
      </c>
      <c r="M28" s="45">
        <v>7.3</v>
      </c>
      <c r="N28" s="45">
        <v>7.3</v>
      </c>
      <c r="O28" s="45">
        <v>7.3</v>
      </c>
      <c r="P28" s="45" t="s">
        <v>279</v>
      </c>
      <c r="Q28" s="45">
        <v>7.3</v>
      </c>
      <c r="R28" s="45">
        <v>7.3</v>
      </c>
      <c r="S28" s="45">
        <v>7.3</v>
      </c>
      <c r="T28" s="45">
        <v>7.3</v>
      </c>
      <c r="U28" s="45">
        <v>7.3</v>
      </c>
      <c r="V28" s="45">
        <v>7.3</v>
      </c>
      <c r="W28" s="45">
        <v>7.3</v>
      </c>
      <c r="X28" s="45">
        <v>7.3</v>
      </c>
      <c r="Y28" s="45">
        <v>7.3</v>
      </c>
      <c r="Z28" s="45">
        <v>7.3</v>
      </c>
      <c r="AA28" s="45">
        <v>7.3</v>
      </c>
      <c r="AB28" s="45">
        <v>7.3</v>
      </c>
      <c r="AC28" s="45">
        <v>7.3</v>
      </c>
      <c r="AD28" s="45">
        <v>7.3</v>
      </c>
      <c r="AE28" s="45">
        <v>7.3</v>
      </c>
      <c r="AF28" s="45">
        <v>7.3</v>
      </c>
      <c r="AG28" s="50">
        <v>23.5</v>
      </c>
      <c r="AH28" s="47">
        <f t="shared" si="2"/>
        <v>7.7</v>
      </c>
      <c r="AI28" s="48">
        <f t="shared" si="3"/>
        <v>7.3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3.5</v>
      </c>
      <c r="C29" s="45">
        <v>3.5</v>
      </c>
      <c r="D29" s="45">
        <v>3.5</v>
      </c>
      <c r="E29" s="45">
        <v>3.5</v>
      </c>
      <c r="F29" s="45">
        <v>3.5</v>
      </c>
      <c r="G29" s="45">
        <v>3.5</v>
      </c>
      <c r="H29" s="45">
        <v>3.5</v>
      </c>
      <c r="I29" s="45">
        <v>3.5</v>
      </c>
      <c r="J29" s="45">
        <v>3.5</v>
      </c>
      <c r="K29" s="45">
        <v>3.5</v>
      </c>
      <c r="L29" s="45">
        <v>3.5</v>
      </c>
      <c r="M29" s="45">
        <v>3.5</v>
      </c>
      <c r="N29" s="45">
        <v>3.5</v>
      </c>
      <c r="O29" s="45">
        <v>3.5</v>
      </c>
      <c r="P29" s="45" t="s">
        <v>305</v>
      </c>
      <c r="Q29" s="45">
        <v>3.5</v>
      </c>
      <c r="R29" s="45">
        <v>3.5</v>
      </c>
      <c r="S29" s="45">
        <v>3.5</v>
      </c>
      <c r="T29" s="45">
        <v>3.5</v>
      </c>
      <c r="U29" s="45">
        <v>3.5</v>
      </c>
      <c r="V29" s="45">
        <v>3.5</v>
      </c>
      <c r="W29" s="45">
        <v>3.5</v>
      </c>
      <c r="X29" s="45">
        <v>3.5</v>
      </c>
      <c r="Y29" s="45">
        <v>3.5</v>
      </c>
      <c r="Z29" s="45">
        <v>3.5</v>
      </c>
      <c r="AA29" s="45">
        <v>3.5</v>
      </c>
      <c r="AB29" s="45">
        <v>3.5</v>
      </c>
      <c r="AC29" s="45">
        <v>3.5</v>
      </c>
      <c r="AD29" s="45">
        <v>3.5</v>
      </c>
      <c r="AE29" s="45">
        <v>3.5</v>
      </c>
      <c r="AF29" s="45">
        <v>3.5</v>
      </c>
      <c r="AG29" s="50">
        <v>22.2</v>
      </c>
      <c r="AH29" s="47">
        <f t="shared" si="2"/>
        <v>3.5</v>
      </c>
      <c r="AI29" s="48">
        <f t="shared" si="3"/>
        <v>3.5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 t="s">
        <v>284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 t="s">
        <v>286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50">
        <v>22</v>
      </c>
      <c r="AH31" s="47">
        <f t="shared" si="2"/>
        <v>4.5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8.4</v>
      </c>
      <c r="C32" s="45">
        <v>8.1</v>
      </c>
      <c r="D32" s="45">
        <v>8.3000000000000007</v>
      </c>
      <c r="E32" s="45">
        <v>7.8</v>
      </c>
      <c r="F32" s="45">
        <v>7.8</v>
      </c>
      <c r="G32" s="45">
        <v>7.8</v>
      </c>
      <c r="H32" s="45">
        <v>7.8</v>
      </c>
      <c r="I32" s="45">
        <v>7.8</v>
      </c>
      <c r="J32" s="45">
        <v>7.8</v>
      </c>
      <c r="K32" s="45">
        <v>7.8</v>
      </c>
      <c r="L32" s="45">
        <v>7.8</v>
      </c>
      <c r="M32" s="45">
        <v>7.8</v>
      </c>
      <c r="N32" s="45">
        <v>7.8</v>
      </c>
      <c r="O32" s="45">
        <v>7.8</v>
      </c>
      <c r="P32" s="45"/>
      <c r="Q32" s="45">
        <v>7.8</v>
      </c>
      <c r="R32" s="45">
        <v>7.8</v>
      </c>
      <c r="S32" s="45">
        <v>3.8</v>
      </c>
      <c r="T32" s="45">
        <v>3.8</v>
      </c>
      <c r="U32" s="45">
        <v>3.8</v>
      </c>
      <c r="V32" s="45">
        <v>5.4</v>
      </c>
      <c r="W32" s="45">
        <v>5.4</v>
      </c>
      <c r="X32" s="45">
        <v>5.4</v>
      </c>
      <c r="Y32" s="45">
        <v>5.4</v>
      </c>
      <c r="Z32" s="45">
        <v>5.4</v>
      </c>
      <c r="AA32" s="45">
        <v>5.4</v>
      </c>
      <c r="AB32" s="45">
        <v>5.4</v>
      </c>
      <c r="AC32" s="45">
        <v>5.4</v>
      </c>
      <c r="AD32" s="45">
        <v>5.4</v>
      </c>
      <c r="AE32" s="45">
        <v>5.4</v>
      </c>
      <c r="AF32" s="45">
        <v>5.4</v>
      </c>
      <c r="AG32" s="50">
        <v>22</v>
      </c>
      <c r="AH32" s="47">
        <f t="shared" si="2"/>
        <v>8.4</v>
      </c>
      <c r="AI32" s="48">
        <f t="shared" si="3"/>
        <v>3.8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9.1999999999999993</v>
      </c>
      <c r="C33" s="45">
        <v>9.1999999999999993</v>
      </c>
      <c r="D33" s="45">
        <v>9.1999999999999993</v>
      </c>
      <c r="E33" s="45">
        <v>9.1999999999999993</v>
      </c>
      <c r="F33" s="45">
        <v>9.1999999999999993</v>
      </c>
      <c r="G33" s="45">
        <v>9.1999999999999993</v>
      </c>
      <c r="H33" s="45">
        <v>9.1999999999999993</v>
      </c>
      <c r="I33" s="45">
        <v>9.1999999999999993</v>
      </c>
      <c r="J33" s="45">
        <v>9.1999999999999993</v>
      </c>
      <c r="K33" s="45">
        <v>9.1999999999999993</v>
      </c>
      <c r="L33" s="45">
        <v>9.1999999999999993</v>
      </c>
      <c r="M33" s="45">
        <v>9.1999999999999993</v>
      </c>
      <c r="N33" s="45">
        <v>9.1999999999999993</v>
      </c>
      <c r="O33" s="45">
        <v>9.1999999999999993</v>
      </c>
      <c r="P33" s="45"/>
      <c r="Q33" s="45">
        <v>9.1999999999999993</v>
      </c>
      <c r="R33" s="45">
        <v>9.1999999999999993</v>
      </c>
      <c r="S33" s="45">
        <v>9.1999999999999993</v>
      </c>
      <c r="T33" s="45">
        <v>9.1999999999999993</v>
      </c>
      <c r="U33" s="45">
        <v>9.1999999999999993</v>
      </c>
      <c r="V33" s="45">
        <v>9.1999999999999993</v>
      </c>
      <c r="W33" s="45">
        <v>9.1999999999999993</v>
      </c>
      <c r="X33" s="45">
        <v>13</v>
      </c>
      <c r="Y33" s="45">
        <v>13</v>
      </c>
      <c r="Z33" s="45">
        <v>13</v>
      </c>
      <c r="AA33" s="45">
        <v>13</v>
      </c>
      <c r="AB33" s="45">
        <v>13</v>
      </c>
      <c r="AC33" s="45">
        <v>13</v>
      </c>
      <c r="AD33" s="45">
        <v>13</v>
      </c>
      <c r="AE33" s="45">
        <v>13</v>
      </c>
      <c r="AF33" s="45">
        <v>13</v>
      </c>
      <c r="AG33" s="50">
        <v>20</v>
      </c>
      <c r="AH33" s="47">
        <f t="shared" si="2"/>
        <v>13</v>
      </c>
      <c r="AI33" s="48">
        <f t="shared" si="3"/>
        <v>9.1999999999999993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8.6</v>
      </c>
      <c r="C34" s="45">
        <v>8.6</v>
      </c>
      <c r="D34" s="45">
        <v>8.6</v>
      </c>
      <c r="E34" s="45">
        <v>8.6</v>
      </c>
      <c r="F34" s="45">
        <v>8.6</v>
      </c>
      <c r="G34" s="45">
        <v>8.6</v>
      </c>
      <c r="H34" s="45">
        <v>8.6</v>
      </c>
      <c r="I34" s="45">
        <v>8.6</v>
      </c>
      <c r="J34" s="45">
        <v>8.6</v>
      </c>
      <c r="K34" s="45">
        <v>8.6</v>
      </c>
      <c r="L34" s="45">
        <v>8.6</v>
      </c>
      <c r="M34" s="45">
        <v>8.6</v>
      </c>
      <c r="N34" s="45">
        <v>8.6</v>
      </c>
      <c r="O34" s="45">
        <v>8.6</v>
      </c>
      <c r="P34" s="45"/>
      <c r="Q34" s="45">
        <v>8.6</v>
      </c>
      <c r="R34" s="45">
        <v>8.6</v>
      </c>
      <c r="S34" s="45">
        <v>8.6</v>
      </c>
      <c r="T34" s="45">
        <v>8.6</v>
      </c>
      <c r="U34" s="45">
        <v>8.6</v>
      </c>
      <c r="V34" s="45">
        <v>8.6</v>
      </c>
      <c r="W34" s="45">
        <v>8.6</v>
      </c>
      <c r="X34" s="45">
        <v>8.6</v>
      </c>
      <c r="Y34" s="45">
        <v>8.6</v>
      </c>
      <c r="Z34" s="45">
        <v>8.6</v>
      </c>
      <c r="AA34" s="45">
        <v>8.6</v>
      </c>
      <c r="AB34" s="45">
        <v>8.6</v>
      </c>
      <c r="AC34" s="45">
        <v>8.6</v>
      </c>
      <c r="AD34" s="45">
        <v>8.6</v>
      </c>
      <c r="AE34" s="45">
        <v>8.6</v>
      </c>
      <c r="AF34" s="45">
        <v>8.6</v>
      </c>
      <c r="AG34" s="50">
        <v>18</v>
      </c>
      <c r="AH34" s="47">
        <f t="shared" si="2"/>
        <v>8.6</v>
      </c>
      <c r="AI34" s="48">
        <f t="shared" si="3"/>
        <v>8.6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/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/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/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/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50">
        <v>13</v>
      </c>
      <c r="AH38" s="47">
        <f t="shared" si="2"/>
        <v>6</v>
      </c>
      <c r="AI38" s="48">
        <f t="shared" si="3"/>
        <v>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/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>
        <v>3</v>
      </c>
      <c r="AB39" s="45">
        <v>3</v>
      </c>
      <c r="AC39" s="45">
        <v>3</v>
      </c>
      <c r="AD39" s="45">
        <v>3</v>
      </c>
      <c r="AE39" s="45">
        <v>3</v>
      </c>
      <c r="AF39" s="45">
        <v>3</v>
      </c>
      <c r="AG39" s="50">
        <v>12</v>
      </c>
      <c r="AH39" s="47">
        <f t="shared" si="2"/>
        <v>7</v>
      </c>
      <c r="AI39" s="48">
        <f t="shared" si="3"/>
        <v>3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/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/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/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/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/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>
        <v>3.6</v>
      </c>
      <c r="N45" s="45">
        <v>3.6</v>
      </c>
      <c r="O45" s="45">
        <v>3.6</v>
      </c>
      <c r="P45" s="45"/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3.6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7</v>
      </c>
      <c r="C46" s="45">
        <v>7</v>
      </c>
      <c r="D46" s="45">
        <v>7</v>
      </c>
      <c r="E46" s="45">
        <v>7</v>
      </c>
      <c r="F46" s="45">
        <v>7</v>
      </c>
      <c r="G46" s="45">
        <v>7</v>
      </c>
      <c r="H46" s="45">
        <v>7</v>
      </c>
      <c r="I46" s="45">
        <v>7</v>
      </c>
      <c r="J46" s="45">
        <v>7</v>
      </c>
      <c r="K46" s="45">
        <v>7</v>
      </c>
      <c r="L46" s="45">
        <v>7</v>
      </c>
      <c r="M46" s="45">
        <v>7</v>
      </c>
      <c r="N46" s="45">
        <v>7</v>
      </c>
      <c r="O46" s="45">
        <v>7</v>
      </c>
      <c r="P46" s="45"/>
      <c r="Q46" s="45">
        <v>7</v>
      </c>
      <c r="R46" s="45">
        <v>7</v>
      </c>
      <c r="S46" s="45">
        <v>7</v>
      </c>
      <c r="T46" s="45">
        <v>7</v>
      </c>
      <c r="U46" s="45">
        <v>7</v>
      </c>
      <c r="V46" s="45">
        <v>7</v>
      </c>
      <c r="W46" s="45">
        <v>7</v>
      </c>
      <c r="X46" s="45">
        <v>7</v>
      </c>
      <c r="Y46" s="45">
        <v>7</v>
      </c>
      <c r="Z46" s="45">
        <v>7</v>
      </c>
      <c r="AA46" s="45">
        <v>7</v>
      </c>
      <c r="AB46" s="45">
        <v>7</v>
      </c>
      <c r="AC46" s="45">
        <v>7</v>
      </c>
      <c r="AD46" s="45">
        <v>7</v>
      </c>
      <c r="AE46" s="45">
        <v>7</v>
      </c>
      <c r="AF46" s="45">
        <v>7</v>
      </c>
      <c r="AG46" s="54">
        <v>10</v>
      </c>
      <c r="AH46" s="47">
        <f t="shared" si="2"/>
        <v>7</v>
      </c>
      <c r="AI46" s="48">
        <f t="shared" si="3"/>
        <v>7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6.8</v>
      </c>
      <c r="C47" s="45">
        <v>6.8</v>
      </c>
      <c r="D47" s="45">
        <v>6.8</v>
      </c>
      <c r="E47" s="45">
        <v>6.8</v>
      </c>
      <c r="F47" s="45">
        <v>6.8</v>
      </c>
      <c r="G47" s="45">
        <v>6.8</v>
      </c>
      <c r="H47" s="45">
        <v>6.8</v>
      </c>
      <c r="I47" s="45">
        <v>6.8</v>
      </c>
      <c r="J47" s="45">
        <v>6.8</v>
      </c>
      <c r="K47" s="45">
        <v>6.8</v>
      </c>
      <c r="L47" s="45">
        <v>6.8</v>
      </c>
      <c r="M47" s="45">
        <v>6.8</v>
      </c>
      <c r="N47" s="45">
        <v>6.8</v>
      </c>
      <c r="O47" s="45">
        <v>6.8</v>
      </c>
      <c r="P47" s="45"/>
      <c r="Q47" s="45">
        <v>6.8</v>
      </c>
      <c r="R47" s="45">
        <v>6.8</v>
      </c>
      <c r="S47" s="45">
        <v>6.8</v>
      </c>
      <c r="T47" s="45">
        <v>6.8</v>
      </c>
      <c r="U47" s="45">
        <v>6.8</v>
      </c>
      <c r="V47" s="45">
        <v>6.8</v>
      </c>
      <c r="W47" s="45">
        <v>6.8</v>
      </c>
      <c r="X47" s="45">
        <v>6.8</v>
      </c>
      <c r="Y47" s="45">
        <v>6.8</v>
      </c>
      <c r="Z47" s="45">
        <v>6.8</v>
      </c>
      <c r="AA47" s="45">
        <v>6.8</v>
      </c>
      <c r="AB47" s="45">
        <v>6.8</v>
      </c>
      <c r="AC47" s="45">
        <v>6.8</v>
      </c>
      <c r="AD47" s="45">
        <v>6.8</v>
      </c>
      <c r="AE47" s="45">
        <v>6.8</v>
      </c>
      <c r="AF47" s="45">
        <v>6.8</v>
      </c>
      <c r="AG47" s="54">
        <v>10</v>
      </c>
      <c r="AH47" s="47">
        <f t="shared" si="2"/>
        <v>6.8</v>
      </c>
      <c r="AI47" s="48">
        <f t="shared" si="3"/>
        <v>6.8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230</v>
      </c>
      <c r="C48" s="56">
        <v>230</v>
      </c>
      <c r="D48" s="56">
        <v>230</v>
      </c>
      <c r="E48" s="56">
        <v>230</v>
      </c>
      <c r="F48" s="56">
        <v>230</v>
      </c>
      <c r="G48" s="56">
        <v>230</v>
      </c>
      <c r="H48" s="56">
        <v>230</v>
      </c>
      <c r="I48" s="56">
        <v>230</v>
      </c>
      <c r="J48" s="56">
        <v>230</v>
      </c>
      <c r="K48" s="56">
        <v>230</v>
      </c>
      <c r="L48" s="56">
        <v>230</v>
      </c>
      <c r="M48" s="56">
        <v>230</v>
      </c>
      <c r="N48" s="56">
        <v>230</v>
      </c>
      <c r="O48" s="56">
        <v>230</v>
      </c>
      <c r="P48" s="56"/>
      <c r="Q48" s="56">
        <v>230</v>
      </c>
      <c r="R48" s="56">
        <v>230</v>
      </c>
      <c r="S48" s="56">
        <v>230</v>
      </c>
      <c r="T48" s="56">
        <v>230</v>
      </c>
      <c r="U48" s="56">
        <v>230</v>
      </c>
      <c r="V48" s="56">
        <v>230</v>
      </c>
      <c r="W48" s="56">
        <v>230</v>
      </c>
      <c r="X48" s="56">
        <v>230</v>
      </c>
      <c r="Y48" s="56">
        <v>230</v>
      </c>
      <c r="Z48" s="56">
        <v>230</v>
      </c>
      <c r="AA48" s="56">
        <v>230</v>
      </c>
      <c r="AB48" s="56">
        <v>230</v>
      </c>
      <c r="AC48" s="56">
        <v>230</v>
      </c>
      <c r="AD48" s="56">
        <v>230</v>
      </c>
      <c r="AE48" s="56">
        <v>230</v>
      </c>
      <c r="AF48" s="56">
        <v>230</v>
      </c>
      <c r="AG48" s="54">
        <v>85</v>
      </c>
      <c r="AH48" s="47">
        <f t="shared" si="2"/>
        <v>230</v>
      </c>
      <c r="AI48" s="48">
        <f t="shared" si="3"/>
        <v>230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6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>SUM(B11:B48)</f>
        <v>754.7</v>
      </c>
      <c r="C50" s="60">
        <f>SUM(C11:C48)</f>
        <v>762.30000000000007</v>
      </c>
      <c r="D50" s="60">
        <f>SUM(D11:D48)</f>
        <v>757.99999999999989</v>
      </c>
      <c r="E50" s="60">
        <f>SUM(E11:E48)</f>
        <v>761.1</v>
      </c>
      <c r="F50" s="60">
        <f t="shared" ref="F50:AF50" si="4">SUM(F11:F48)</f>
        <v>761</v>
      </c>
      <c r="G50" s="60">
        <f t="shared" si="4"/>
        <v>761</v>
      </c>
      <c r="H50" s="60">
        <f t="shared" si="4"/>
        <v>753</v>
      </c>
      <c r="I50" s="60">
        <f t="shared" si="4"/>
        <v>753</v>
      </c>
      <c r="J50" s="60">
        <f t="shared" si="4"/>
        <v>729</v>
      </c>
      <c r="K50" s="60">
        <f t="shared" si="4"/>
        <v>729</v>
      </c>
      <c r="L50" s="60">
        <f t="shared" si="4"/>
        <v>729</v>
      </c>
      <c r="M50" s="60">
        <f t="shared" si="4"/>
        <v>729</v>
      </c>
      <c r="N50" s="60">
        <f t="shared" si="4"/>
        <v>729</v>
      </c>
      <c r="O50" s="60">
        <f t="shared" si="4"/>
        <v>729</v>
      </c>
      <c r="P50" s="60">
        <f t="shared" si="4"/>
        <v>0</v>
      </c>
      <c r="Q50" s="60">
        <f t="shared" si="4"/>
        <v>729</v>
      </c>
      <c r="R50" s="60">
        <f t="shared" si="4"/>
        <v>729</v>
      </c>
      <c r="S50" s="60">
        <f t="shared" si="4"/>
        <v>710.7</v>
      </c>
      <c r="T50" s="60">
        <f t="shared" si="4"/>
        <v>719.7</v>
      </c>
      <c r="U50" s="60">
        <f t="shared" si="4"/>
        <v>719.7</v>
      </c>
      <c r="V50" s="60">
        <f t="shared" si="4"/>
        <v>721.30000000000007</v>
      </c>
      <c r="W50" s="60">
        <f t="shared" si="4"/>
        <v>721.30000000000007</v>
      </c>
      <c r="X50" s="60">
        <f t="shared" si="4"/>
        <v>703.5</v>
      </c>
      <c r="Y50" s="60">
        <f t="shared" si="4"/>
        <v>703.5</v>
      </c>
      <c r="Z50" s="60">
        <f t="shared" si="4"/>
        <v>703.5</v>
      </c>
      <c r="AA50" s="60">
        <f t="shared" si="4"/>
        <v>673.50000000000011</v>
      </c>
      <c r="AB50" s="60">
        <f t="shared" si="4"/>
        <v>713.5</v>
      </c>
      <c r="AC50" s="60">
        <f t="shared" si="4"/>
        <v>732.5</v>
      </c>
      <c r="AD50" s="60">
        <f t="shared" si="4"/>
        <v>763.5</v>
      </c>
      <c r="AE50" s="60">
        <f t="shared" si="4"/>
        <v>763.5</v>
      </c>
      <c r="AF50" s="60">
        <f t="shared" si="4"/>
        <v>763.5</v>
      </c>
      <c r="AG50" s="61">
        <f>SUM(AG13:AG48)</f>
        <v>922.14</v>
      </c>
      <c r="AH50" s="47">
        <f t="shared" si="2"/>
        <v>763.5</v>
      </c>
      <c r="AI50" s="48">
        <f t="shared" si="3"/>
        <v>0</v>
      </c>
      <c r="AK50" s="49"/>
    </row>
    <row r="51" spans="1:41" x14ac:dyDescent="0.25">
      <c r="A51" s="62" t="s">
        <v>57</v>
      </c>
      <c r="B51" s="45">
        <v>390</v>
      </c>
      <c r="C51" s="45">
        <v>360</v>
      </c>
      <c r="D51" s="45">
        <v>370</v>
      </c>
      <c r="E51" s="45">
        <v>215</v>
      </c>
      <c r="F51" s="45">
        <v>200</v>
      </c>
      <c r="G51" s="45">
        <v>30</v>
      </c>
      <c r="H51" s="45">
        <v>30</v>
      </c>
      <c r="I51" s="45">
        <v>30</v>
      </c>
      <c r="J51" s="45">
        <v>30</v>
      </c>
      <c r="K51" s="45">
        <v>90</v>
      </c>
      <c r="L51" s="45">
        <v>110</v>
      </c>
      <c r="M51" s="45">
        <v>130</v>
      </c>
      <c r="N51" s="45">
        <v>130</v>
      </c>
      <c r="O51" s="45">
        <v>254</v>
      </c>
      <c r="P51" s="63"/>
      <c r="Q51" s="63">
        <v>240</v>
      </c>
      <c r="R51" s="63">
        <v>230</v>
      </c>
      <c r="S51" s="45">
        <v>250</v>
      </c>
      <c r="T51" s="45">
        <v>295</v>
      </c>
      <c r="U51" s="45">
        <v>272</v>
      </c>
      <c r="V51" s="45">
        <v>208</v>
      </c>
      <c r="W51" s="45">
        <v>172</v>
      </c>
      <c r="X51" s="45">
        <v>196</v>
      </c>
      <c r="Y51" s="45">
        <v>200</v>
      </c>
      <c r="Z51" s="45">
        <v>200</v>
      </c>
      <c r="AA51" s="45">
        <v>420</v>
      </c>
      <c r="AB51" s="45">
        <v>420</v>
      </c>
      <c r="AC51" s="45">
        <v>420</v>
      </c>
      <c r="AD51" s="45">
        <v>456</v>
      </c>
      <c r="AE51" s="45">
        <v>420</v>
      </c>
      <c r="AF51" s="45">
        <v>320</v>
      </c>
      <c r="AG51" s="51">
        <v>456</v>
      </c>
      <c r="AH51" s="47">
        <f t="shared" si="2"/>
        <v>456</v>
      </c>
      <c r="AI51" s="48">
        <f t="shared" si="3"/>
        <v>30</v>
      </c>
      <c r="AK51" s="49"/>
    </row>
    <row r="52" spans="1:41" x14ac:dyDescent="0.25">
      <c r="A52" s="64" t="s">
        <v>58</v>
      </c>
      <c r="B52" s="65">
        <v>45</v>
      </c>
      <c r="C52" s="65">
        <v>55</v>
      </c>
      <c r="D52" s="65">
        <v>55</v>
      </c>
      <c r="E52" s="65">
        <v>55</v>
      </c>
      <c r="F52" s="65">
        <v>55</v>
      </c>
      <c r="G52" s="65">
        <v>55</v>
      </c>
      <c r="H52" s="65">
        <v>55</v>
      </c>
      <c r="I52" s="65">
        <v>55</v>
      </c>
      <c r="J52" s="65">
        <v>55</v>
      </c>
      <c r="K52" s="65">
        <v>55</v>
      </c>
      <c r="L52" s="65">
        <v>55</v>
      </c>
      <c r="M52" s="65">
        <v>55</v>
      </c>
      <c r="N52" s="65">
        <v>55</v>
      </c>
      <c r="O52" s="65">
        <v>55</v>
      </c>
      <c r="P52" s="65"/>
      <c r="Q52" s="65">
        <v>55</v>
      </c>
      <c r="R52" s="65">
        <v>55</v>
      </c>
      <c r="S52" s="65">
        <v>55</v>
      </c>
      <c r="T52" s="65">
        <v>55</v>
      </c>
      <c r="U52" s="65">
        <v>55</v>
      </c>
      <c r="V52" s="65">
        <v>55</v>
      </c>
      <c r="W52" s="65">
        <v>55</v>
      </c>
      <c r="X52" s="65">
        <v>55</v>
      </c>
      <c r="Y52" s="65">
        <v>55</v>
      </c>
      <c r="Z52" s="65">
        <v>55</v>
      </c>
      <c r="AA52" s="65">
        <v>55</v>
      </c>
      <c r="AB52" s="65">
        <v>55</v>
      </c>
      <c r="AC52" s="65">
        <v>60</v>
      </c>
      <c r="AD52" s="65">
        <v>60</v>
      </c>
      <c r="AE52" s="65">
        <v>60</v>
      </c>
      <c r="AF52" s="65">
        <v>60</v>
      </c>
      <c r="AG52" s="54">
        <v>60</v>
      </c>
      <c r="AH52" s="47">
        <f t="shared" si="2"/>
        <v>60</v>
      </c>
      <c r="AI52" s="48">
        <f t="shared" si="3"/>
        <v>45</v>
      </c>
      <c r="AK52" s="49"/>
    </row>
    <row r="53" spans="1:41" ht="15.75" thickBot="1" x14ac:dyDescent="0.3">
      <c r="A53" s="66" t="s">
        <v>59</v>
      </c>
      <c r="B53" s="67">
        <v>22</v>
      </c>
      <c r="C53" s="67">
        <v>22</v>
      </c>
      <c r="D53" s="67">
        <v>22</v>
      </c>
      <c r="E53" s="67">
        <v>22</v>
      </c>
      <c r="F53" s="67">
        <v>22</v>
      </c>
      <c r="G53" s="67">
        <v>22</v>
      </c>
      <c r="H53" s="67">
        <v>22</v>
      </c>
      <c r="I53" s="67">
        <v>22</v>
      </c>
      <c r="J53" s="67">
        <v>22</v>
      </c>
      <c r="K53" s="67">
        <v>22</v>
      </c>
      <c r="L53" s="67">
        <v>22</v>
      </c>
      <c r="M53" s="67">
        <v>22</v>
      </c>
      <c r="N53" s="67">
        <v>22</v>
      </c>
      <c r="O53" s="67">
        <v>22</v>
      </c>
      <c r="P53" s="67"/>
      <c r="Q53" s="67">
        <v>22.4</v>
      </c>
      <c r="R53" s="67">
        <v>22.6</v>
      </c>
      <c r="S53" s="67">
        <v>22</v>
      </c>
      <c r="T53" s="67">
        <v>22</v>
      </c>
      <c r="U53" s="67">
        <v>22</v>
      </c>
      <c r="V53" s="67">
        <v>22</v>
      </c>
      <c r="W53" s="67">
        <v>22</v>
      </c>
      <c r="X53" s="67">
        <v>22</v>
      </c>
      <c r="Y53" s="67">
        <v>22</v>
      </c>
      <c r="Z53" s="67">
        <v>22</v>
      </c>
      <c r="AA53" s="67">
        <v>22</v>
      </c>
      <c r="AB53" s="67">
        <v>22</v>
      </c>
      <c r="AC53" s="67">
        <v>22</v>
      </c>
      <c r="AD53" s="67">
        <v>22</v>
      </c>
      <c r="AE53" s="67">
        <v>22</v>
      </c>
      <c r="AF53" s="67">
        <v>22</v>
      </c>
      <c r="AG53" s="68">
        <v>22.1</v>
      </c>
      <c r="AH53" s="47">
        <f t="shared" si="2"/>
        <v>22.6</v>
      </c>
      <c r="AI53" s="48">
        <f t="shared" si="3"/>
        <v>22</v>
      </c>
      <c r="AK53" s="49"/>
    </row>
    <row r="54" spans="1:41" ht="15.75" thickBot="1" x14ac:dyDescent="0.3">
      <c r="A54" s="69" t="s">
        <v>60</v>
      </c>
      <c r="B54" s="60">
        <f>SUM(B51:B53)</f>
        <v>457</v>
      </c>
      <c r="C54" s="60">
        <f t="shared" ref="C54:AG54" si="5">SUM(C51:C53)</f>
        <v>437</v>
      </c>
      <c r="D54" s="60">
        <f>SUM(D51:D53)</f>
        <v>447</v>
      </c>
      <c r="E54" s="60">
        <f>SUM(E51:E53)</f>
        <v>292</v>
      </c>
      <c r="F54" s="60">
        <f t="shared" si="5"/>
        <v>277</v>
      </c>
      <c r="G54" s="60">
        <f t="shared" si="5"/>
        <v>107</v>
      </c>
      <c r="H54" s="60">
        <f t="shared" si="5"/>
        <v>107</v>
      </c>
      <c r="I54" s="60">
        <f t="shared" si="5"/>
        <v>107</v>
      </c>
      <c r="J54" s="60">
        <f t="shared" si="5"/>
        <v>107</v>
      </c>
      <c r="K54" s="60">
        <f t="shared" si="5"/>
        <v>167</v>
      </c>
      <c r="L54" s="60">
        <f t="shared" si="5"/>
        <v>187</v>
      </c>
      <c r="M54" s="60">
        <f t="shared" si="5"/>
        <v>207</v>
      </c>
      <c r="N54" s="60">
        <f t="shared" si="5"/>
        <v>207</v>
      </c>
      <c r="O54" s="60">
        <f t="shared" si="5"/>
        <v>331</v>
      </c>
      <c r="P54" s="60">
        <f t="shared" si="5"/>
        <v>0</v>
      </c>
      <c r="Q54" s="60">
        <f t="shared" si="5"/>
        <v>317.39999999999998</v>
      </c>
      <c r="R54" s="60">
        <f t="shared" si="5"/>
        <v>307.60000000000002</v>
      </c>
      <c r="S54" s="60">
        <f t="shared" si="5"/>
        <v>327</v>
      </c>
      <c r="T54" s="60">
        <f t="shared" si="5"/>
        <v>372</v>
      </c>
      <c r="U54" s="60">
        <f t="shared" si="5"/>
        <v>349</v>
      </c>
      <c r="V54" s="60">
        <f t="shared" si="5"/>
        <v>285</v>
      </c>
      <c r="W54" s="60">
        <f t="shared" si="5"/>
        <v>249</v>
      </c>
      <c r="X54" s="60">
        <f t="shared" si="5"/>
        <v>273</v>
      </c>
      <c r="Y54" s="60">
        <f t="shared" si="5"/>
        <v>277</v>
      </c>
      <c r="Z54" s="60">
        <f t="shared" si="5"/>
        <v>277</v>
      </c>
      <c r="AA54" s="60">
        <f t="shared" si="5"/>
        <v>497</v>
      </c>
      <c r="AB54" s="60">
        <f t="shared" si="5"/>
        <v>497</v>
      </c>
      <c r="AC54" s="60">
        <f t="shared" si="5"/>
        <v>502</v>
      </c>
      <c r="AD54" s="60">
        <f t="shared" si="5"/>
        <v>538</v>
      </c>
      <c r="AE54" s="60">
        <f t="shared" si="5"/>
        <v>502</v>
      </c>
      <c r="AF54" s="60">
        <f t="shared" si="5"/>
        <v>402</v>
      </c>
      <c r="AG54" s="61">
        <f t="shared" si="5"/>
        <v>538.1</v>
      </c>
      <c r="AH54" s="47">
        <f t="shared" si="2"/>
        <v>538</v>
      </c>
      <c r="AI54" s="48">
        <f t="shared" si="3"/>
        <v>0</v>
      </c>
      <c r="AK54" s="49"/>
    </row>
    <row r="55" spans="1:41" x14ac:dyDescent="0.25">
      <c r="A55" s="44" t="s">
        <v>61</v>
      </c>
      <c r="B55" s="45">
        <v>91.5</v>
      </c>
      <c r="C55" s="45">
        <v>97.5</v>
      </c>
      <c r="D55" s="45">
        <v>86.9</v>
      </c>
      <c r="E55" s="45">
        <v>86</v>
      </c>
      <c r="F55" s="45">
        <v>81.2</v>
      </c>
      <c r="G55" s="45">
        <v>81.2</v>
      </c>
      <c r="H55" s="45">
        <v>81.400000000000006</v>
      </c>
      <c r="I55" s="45">
        <v>81.400000000000006</v>
      </c>
      <c r="J55" s="45">
        <v>81.400000000000006</v>
      </c>
      <c r="K55" s="45">
        <v>91.7</v>
      </c>
      <c r="L55" s="45">
        <v>91.7</v>
      </c>
      <c r="M55" s="45">
        <v>98</v>
      </c>
      <c r="N55" s="45">
        <v>98</v>
      </c>
      <c r="O55" s="45">
        <v>121</v>
      </c>
      <c r="P55" s="45"/>
      <c r="Q55" s="45">
        <v>145</v>
      </c>
      <c r="R55" s="45">
        <v>145</v>
      </c>
      <c r="S55" s="45">
        <v>144.6</v>
      </c>
      <c r="T55" s="45">
        <v>144.6</v>
      </c>
      <c r="U55" s="45">
        <v>143.6</v>
      </c>
      <c r="V55" s="45">
        <v>132</v>
      </c>
      <c r="W55" s="45">
        <v>137</v>
      </c>
      <c r="X55" s="45">
        <v>121.7</v>
      </c>
      <c r="Y55" s="45">
        <v>128</v>
      </c>
      <c r="Z55" s="45">
        <v>144</v>
      </c>
      <c r="AA55" s="45">
        <v>142.19999999999999</v>
      </c>
      <c r="AB55" s="45">
        <v>142.19999999999999</v>
      </c>
      <c r="AC55" s="45">
        <v>115</v>
      </c>
      <c r="AD55" s="45">
        <v>115</v>
      </c>
      <c r="AE55" s="45">
        <v>115</v>
      </c>
      <c r="AF55" s="45">
        <v>112</v>
      </c>
      <c r="AG55" s="51">
        <v>144</v>
      </c>
      <c r="AH55" s="47">
        <f t="shared" si="2"/>
        <v>145</v>
      </c>
      <c r="AI55" s="48">
        <f t="shared" si="3"/>
        <v>81.2</v>
      </c>
      <c r="AK55" s="49"/>
    </row>
    <row r="56" spans="1:41" x14ac:dyDescent="0.25">
      <c r="A56" s="53" t="s">
        <v>62</v>
      </c>
      <c r="B56" s="45">
        <v>70.099999999999994</v>
      </c>
      <c r="C56" s="65">
        <v>55.2</v>
      </c>
      <c r="D56" s="65">
        <v>69.400000000000006</v>
      </c>
      <c r="E56" s="65">
        <v>71.5</v>
      </c>
      <c r="F56" s="65">
        <v>70.7</v>
      </c>
      <c r="G56" s="65">
        <v>70.7</v>
      </c>
      <c r="H56" s="65">
        <v>70.7</v>
      </c>
      <c r="I56" s="65">
        <v>70.7</v>
      </c>
      <c r="J56" s="65">
        <v>70.7</v>
      </c>
      <c r="K56" s="65">
        <v>70.7</v>
      </c>
      <c r="L56" s="65">
        <v>70.7</v>
      </c>
      <c r="M56" s="65">
        <v>70</v>
      </c>
      <c r="N56" s="65">
        <v>70</v>
      </c>
      <c r="O56" s="65">
        <v>71</v>
      </c>
      <c r="P56" s="65"/>
      <c r="Q56" s="65">
        <v>72</v>
      </c>
      <c r="R56" s="65">
        <v>72</v>
      </c>
      <c r="S56" s="65">
        <v>72</v>
      </c>
      <c r="T56" s="65">
        <v>72</v>
      </c>
      <c r="U56" s="65">
        <v>72</v>
      </c>
      <c r="V56" s="65">
        <v>72</v>
      </c>
      <c r="W56" s="45">
        <v>71.599999999999994</v>
      </c>
      <c r="X56" s="45">
        <v>72.400000000000006</v>
      </c>
      <c r="Y56" s="45">
        <v>72.400000000000006</v>
      </c>
      <c r="Z56" s="45">
        <v>72.400000000000006</v>
      </c>
      <c r="AA56" s="45">
        <v>72.400000000000006</v>
      </c>
      <c r="AB56" s="45">
        <v>72.400000000000006</v>
      </c>
      <c r="AC56" s="45">
        <v>71.5</v>
      </c>
      <c r="AD56" s="45">
        <v>71.5</v>
      </c>
      <c r="AE56" s="45">
        <v>71.5</v>
      </c>
      <c r="AF56" s="45">
        <v>71.5</v>
      </c>
      <c r="AG56" s="54">
        <v>70</v>
      </c>
      <c r="AH56" s="47">
        <f t="shared" si="2"/>
        <v>72.400000000000006</v>
      </c>
      <c r="AI56" s="48">
        <f t="shared" si="3"/>
        <v>55.2</v>
      </c>
      <c r="AK56" s="49"/>
    </row>
    <row r="57" spans="1:41" x14ac:dyDescent="0.25">
      <c r="A57" s="53" t="s">
        <v>63</v>
      </c>
      <c r="B57" s="45">
        <v>65.099999999999994</v>
      </c>
      <c r="C57" s="65">
        <v>61</v>
      </c>
      <c r="D57" s="65">
        <v>51.6</v>
      </c>
      <c r="E57" s="65">
        <v>55</v>
      </c>
      <c r="F57" s="65">
        <v>52</v>
      </c>
      <c r="G57" s="65">
        <v>52</v>
      </c>
      <c r="H57" s="65">
        <v>69.599999999999994</v>
      </c>
      <c r="I57" s="65">
        <v>69.599999999999994</v>
      </c>
      <c r="J57" s="65">
        <v>61.9</v>
      </c>
      <c r="K57" s="65">
        <v>61.9</v>
      </c>
      <c r="L57" s="65">
        <v>69.7</v>
      </c>
      <c r="M57" s="65">
        <v>69.7</v>
      </c>
      <c r="N57" s="65">
        <v>69.7</v>
      </c>
      <c r="O57" s="65">
        <v>69.7</v>
      </c>
      <c r="P57" s="65"/>
      <c r="Q57" s="65">
        <v>69.7</v>
      </c>
      <c r="R57" s="65">
        <v>69.5</v>
      </c>
      <c r="S57" s="65">
        <v>69.5</v>
      </c>
      <c r="T57" s="65">
        <v>69.5</v>
      </c>
      <c r="U57" s="65">
        <v>69.5</v>
      </c>
      <c r="V57" s="65">
        <v>69.5</v>
      </c>
      <c r="W57" s="45">
        <v>69</v>
      </c>
      <c r="X57" s="45">
        <v>68.849999999999994</v>
      </c>
      <c r="Y57" s="45">
        <v>68.849999999999994</v>
      </c>
      <c r="Z57" s="45">
        <v>69.599999999999994</v>
      </c>
      <c r="AA57" s="45">
        <v>69.599999999999994</v>
      </c>
      <c r="AB57" s="45">
        <v>69.599999999999994</v>
      </c>
      <c r="AC57" s="45">
        <v>69.599999999999994</v>
      </c>
      <c r="AD57" s="45">
        <v>69.599999999999994</v>
      </c>
      <c r="AE57" s="45">
        <v>69</v>
      </c>
      <c r="AF57" s="45">
        <v>69</v>
      </c>
      <c r="AG57" s="54">
        <v>69</v>
      </c>
      <c r="AH57" s="47">
        <f t="shared" si="2"/>
        <v>69.7</v>
      </c>
      <c r="AI57" s="48">
        <f t="shared" si="3"/>
        <v>51.6</v>
      </c>
      <c r="AK57" s="49"/>
    </row>
    <row r="58" spans="1:41" x14ac:dyDescent="0.25">
      <c r="A58" s="53" t="s">
        <v>64</v>
      </c>
      <c r="B58" s="45">
        <v>60.4</v>
      </c>
      <c r="C58" s="65">
        <v>60.4</v>
      </c>
      <c r="D58" s="65">
        <v>60.4</v>
      </c>
      <c r="E58" s="65">
        <v>60.4</v>
      </c>
      <c r="F58" s="65">
        <v>60.4</v>
      </c>
      <c r="G58" s="65">
        <v>60.4</v>
      </c>
      <c r="H58" s="65">
        <v>60.4</v>
      </c>
      <c r="I58" s="65">
        <v>60.4</v>
      </c>
      <c r="J58" s="65">
        <v>60.4</v>
      </c>
      <c r="K58" s="65">
        <v>60.4</v>
      </c>
      <c r="L58" s="65">
        <v>60.4</v>
      </c>
      <c r="M58" s="65">
        <v>60.4</v>
      </c>
      <c r="N58" s="65">
        <v>60.4</v>
      </c>
      <c r="O58" s="65">
        <v>60.4</v>
      </c>
      <c r="P58" s="65"/>
      <c r="Q58" s="65">
        <v>60.4</v>
      </c>
      <c r="R58" s="65">
        <v>30.2</v>
      </c>
      <c r="S58" s="45">
        <v>60</v>
      </c>
      <c r="T58" s="45">
        <v>60</v>
      </c>
      <c r="U58" s="45">
        <v>60</v>
      </c>
      <c r="V58" s="45">
        <v>60</v>
      </c>
      <c r="W58" s="45">
        <v>60</v>
      </c>
      <c r="X58" s="45">
        <v>60</v>
      </c>
      <c r="Y58" s="45">
        <v>60</v>
      </c>
      <c r="Z58" s="45">
        <v>60</v>
      </c>
      <c r="AA58" s="45">
        <v>60</v>
      </c>
      <c r="AB58" s="45">
        <v>60</v>
      </c>
      <c r="AC58" s="45">
        <v>60</v>
      </c>
      <c r="AD58" s="45">
        <v>60</v>
      </c>
      <c r="AE58" s="45">
        <v>60</v>
      </c>
      <c r="AF58" s="45">
        <v>60</v>
      </c>
      <c r="AG58" s="54">
        <v>60</v>
      </c>
      <c r="AH58" s="47">
        <f t="shared" si="2"/>
        <v>60.4</v>
      </c>
      <c r="AI58" s="48">
        <f t="shared" si="3"/>
        <v>30.2</v>
      </c>
      <c r="AK58" s="49"/>
    </row>
    <row r="59" spans="1:41" x14ac:dyDescent="0.25">
      <c r="A59" s="53" t="s">
        <v>65</v>
      </c>
      <c r="B59" s="45">
        <v>15</v>
      </c>
      <c r="C59" s="65">
        <v>15</v>
      </c>
      <c r="D59" s="65">
        <v>15</v>
      </c>
      <c r="E59" s="65">
        <v>15</v>
      </c>
      <c r="F59" s="65">
        <v>15</v>
      </c>
      <c r="G59" s="65">
        <v>15</v>
      </c>
      <c r="H59" s="65">
        <v>15</v>
      </c>
      <c r="I59" s="65">
        <v>15</v>
      </c>
      <c r="J59" s="65">
        <v>15</v>
      </c>
      <c r="K59" s="65">
        <v>15</v>
      </c>
      <c r="L59" s="65">
        <v>15</v>
      </c>
      <c r="M59" s="65">
        <v>15</v>
      </c>
      <c r="N59" s="65">
        <v>15</v>
      </c>
      <c r="O59" s="65">
        <v>15</v>
      </c>
      <c r="P59" s="65"/>
      <c r="Q59" s="65">
        <v>15</v>
      </c>
      <c r="R59" s="65">
        <v>15</v>
      </c>
      <c r="S59" s="65">
        <v>15</v>
      </c>
      <c r="T59" s="65">
        <v>15</v>
      </c>
      <c r="U59" s="65">
        <v>15</v>
      </c>
      <c r="V59" s="65">
        <v>15</v>
      </c>
      <c r="W59" s="45">
        <v>10</v>
      </c>
      <c r="X59" s="45">
        <v>10</v>
      </c>
      <c r="Y59" s="45">
        <v>10</v>
      </c>
      <c r="Z59" s="45">
        <v>10</v>
      </c>
      <c r="AA59" s="45">
        <v>10</v>
      </c>
      <c r="AB59" s="45">
        <v>10</v>
      </c>
      <c r="AC59" s="45">
        <v>15</v>
      </c>
      <c r="AD59" s="45">
        <v>15</v>
      </c>
      <c r="AE59" s="45">
        <v>15</v>
      </c>
      <c r="AF59" s="45">
        <v>15</v>
      </c>
      <c r="AG59" s="54">
        <v>30</v>
      </c>
      <c r="AH59" s="47">
        <f t="shared" si="2"/>
        <v>15</v>
      </c>
      <c r="AI59" s="48">
        <f t="shared" si="3"/>
        <v>10</v>
      </c>
      <c r="AK59" s="49"/>
    </row>
    <row r="60" spans="1:41" x14ac:dyDescent="0.25">
      <c r="A60" s="53" t="s">
        <v>66</v>
      </c>
      <c r="B60" s="4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/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0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15</v>
      </c>
      <c r="C61" s="65">
        <v>15</v>
      </c>
      <c r="D61" s="65">
        <v>15</v>
      </c>
      <c r="E61" s="65">
        <v>15</v>
      </c>
      <c r="F61" s="65">
        <v>15</v>
      </c>
      <c r="G61" s="65">
        <v>15</v>
      </c>
      <c r="H61" s="65">
        <v>15</v>
      </c>
      <c r="I61" s="65">
        <v>15</v>
      </c>
      <c r="J61" s="65">
        <v>15</v>
      </c>
      <c r="K61" s="65">
        <v>15</v>
      </c>
      <c r="L61" s="65">
        <v>15</v>
      </c>
      <c r="M61" s="65">
        <v>15</v>
      </c>
      <c r="N61" s="65">
        <v>15</v>
      </c>
      <c r="O61" s="65">
        <v>15</v>
      </c>
      <c r="P61" s="65"/>
      <c r="Q61" s="65">
        <v>14</v>
      </c>
      <c r="R61" s="65">
        <v>14</v>
      </c>
      <c r="S61" s="65">
        <v>14</v>
      </c>
      <c r="T61" s="65">
        <v>14</v>
      </c>
      <c r="U61" s="65">
        <v>14</v>
      </c>
      <c r="V61" s="65">
        <v>14</v>
      </c>
      <c r="W61" s="65">
        <v>14</v>
      </c>
      <c r="X61" s="65">
        <v>14</v>
      </c>
      <c r="Y61" s="65">
        <v>14</v>
      </c>
      <c r="Z61" s="65">
        <v>14</v>
      </c>
      <c r="AA61" s="65">
        <v>14</v>
      </c>
      <c r="AB61" s="65">
        <v>14</v>
      </c>
      <c r="AC61" s="65">
        <v>14</v>
      </c>
      <c r="AD61" s="65">
        <v>14</v>
      </c>
      <c r="AE61" s="65">
        <v>14</v>
      </c>
      <c r="AF61" s="65">
        <v>14</v>
      </c>
      <c r="AG61" s="54">
        <v>24</v>
      </c>
      <c r="AH61" s="47">
        <f t="shared" si="2"/>
        <v>15</v>
      </c>
      <c r="AI61" s="48">
        <f t="shared" si="3"/>
        <v>14</v>
      </c>
      <c r="AK61" s="49"/>
    </row>
    <row r="62" spans="1:41" x14ac:dyDescent="0.25">
      <c r="A62" s="53" t="s">
        <v>68</v>
      </c>
      <c r="B62" s="65">
        <v>1.4</v>
      </c>
      <c r="C62" s="65">
        <v>1.4</v>
      </c>
      <c r="D62" s="65">
        <v>1.4</v>
      </c>
      <c r="E62" s="65">
        <v>1.4</v>
      </c>
      <c r="F62" s="65">
        <v>1.4</v>
      </c>
      <c r="G62" s="65">
        <v>1.4</v>
      </c>
      <c r="H62" s="65">
        <v>1.4</v>
      </c>
      <c r="I62" s="65">
        <v>1.4</v>
      </c>
      <c r="J62" s="65">
        <v>1.4</v>
      </c>
      <c r="K62" s="65">
        <v>1.4</v>
      </c>
      <c r="L62" s="65">
        <v>1.4</v>
      </c>
      <c r="M62" s="65">
        <v>1.4</v>
      </c>
      <c r="N62" s="65">
        <v>1.4</v>
      </c>
      <c r="O62" s="65">
        <v>1.4</v>
      </c>
      <c r="P62" s="65"/>
      <c r="Q62" s="65">
        <v>1.4</v>
      </c>
      <c r="R62" s="65">
        <v>1.4</v>
      </c>
      <c r="S62" s="65">
        <v>1.4</v>
      </c>
      <c r="T62" s="65">
        <v>1.4</v>
      </c>
      <c r="U62" s="65">
        <v>1.4</v>
      </c>
      <c r="V62" s="65">
        <v>1.4</v>
      </c>
      <c r="W62" s="65">
        <v>1.4</v>
      </c>
      <c r="X62" s="65">
        <v>1.4</v>
      </c>
      <c r="Y62" s="65">
        <v>1.4</v>
      </c>
      <c r="Z62" s="65">
        <v>1.4</v>
      </c>
      <c r="AA62" s="65">
        <v>1.4</v>
      </c>
      <c r="AB62" s="65">
        <v>1.4</v>
      </c>
      <c r="AC62" s="65">
        <v>1.4</v>
      </c>
      <c r="AD62" s="65">
        <v>1.4</v>
      </c>
      <c r="AE62" s="65">
        <v>1.4</v>
      </c>
      <c r="AF62" s="65">
        <v>1.4</v>
      </c>
      <c r="AG62" s="54">
        <v>15</v>
      </c>
      <c r="AH62" s="47">
        <f t="shared" si="2"/>
        <v>1.4</v>
      </c>
      <c r="AI62" s="48">
        <f t="shared" si="3"/>
        <v>1.4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12.9</v>
      </c>
      <c r="C63" s="65">
        <v>12.4</v>
      </c>
      <c r="D63" s="65">
        <v>12.3</v>
      </c>
      <c r="E63" s="65">
        <v>13</v>
      </c>
      <c r="F63" s="65">
        <v>13</v>
      </c>
      <c r="G63" s="65">
        <v>13</v>
      </c>
      <c r="H63" s="65">
        <v>13</v>
      </c>
      <c r="I63" s="65">
        <v>13</v>
      </c>
      <c r="J63" s="65">
        <v>13</v>
      </c>
      <c r="K63" s="65">
        <v>13</v>
      </c>
      <c r="L63" s="65">
        <v>13</v>
      </c>
      <c r="M63" s="65">
        <v>13</v>
      </c>
      <c r="N63" s="65">
        <v>13</v>
      </c>
      <c r="O63" s="65">
        <v>13</v>
      </c>
      <c r="P63" s="65"/>
      <c r="Q63" s="65">
        <v>13</v>
      </c>
      <c r="R63" s="65">
        <v>13</v>
      </c>
      <c r="S63" s="65">
        <v>13</v>
      </c>
      <c r="T63" s="65">
        <v>13</v>
      </c>
      <c r="U63" s="65">
        <v>13</v>
      </c>
      <c r="V63" s="65">
        <v>13</v>
      </c>
      <c r="W63" s="65">
        <v>13</v>
      </c>
      <c r="X63" s="65">
        <v>13</v>
      </c>
      <c r="Y63" s="65">
        <v>13</v>
      </c>
      <c r="Z63" s="65">
        <v>13</v>
      </c>
      <c r="AA63" s="65">
        <v>13</v>
      </c>
      <c r="AB63" s="65">
        <v>13</v>
      </c>
      <c r="AC63" s="65">
        <v>13</v>
      </c>
      <c r="AD63" s="65">
        <v>13</v>
      </c>
      <c r="AE63" s="65">
        <v>13</v>
      </c>
      <c r="AF63" s="65">
        <v>13</v>
      </c>
      <c r="AG63" s="54">
        <v>14.1</v>
      </c>
      <c r="AH63" s="47">
        <f t="shared" si="2"/>
        <v>13</v>
      </c>
      <c r="AI63" s="48">
        <f t="shared" si="3"/>
        <v>12.3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14.2</v>
      </c>
      <c r="C64" s="65">
        <v>14.1</v>
      </c>
      <c r="D64" s="65">
        <v>14</v>
      </c>
      <c r="E64" s="65">
        <v>13</v>
      </c>
      <c r="F64" s="65">
        <v>13</v>
      </c>
      <c r="G64" s="65">
        <v>13</v>
      </c>
      <c r="H64" s="65">
        <v>13</v>
      </c>
      <c r="I64" s="65">
        <v>13</v>
      </c>
      <c r="J64" s="65">
        <v>13</v>
      </c>
      <c r="K64" s="65">
        <v>13</v>
      </c>
      <c r="L64" s="65">
        <v>13</v>
      </c>
      <c r="M64" s="65">
        <v>13</v>
      </c>
      <c r="N64" s="65">
        <v>13</v>
      </c>
      <c r="O64" s="65">
        <v>13</v>
      </c>
      <c r="P64" s="65"/>
      <c r="Q64" s="65">
        <v>13</v>
      </c>
      <c r="R64" s="65">
        <v>13</v>
      </c>
      <c r="S64" s="65">
        <v>13</v>
      </c>
      <c r="T64" s="65">
        <v>13</v>
      </c>
      <c r="U64" s="65">
        <v>13</v>
      </c>
      <c r="V64" s="65">
        <v>13</v>
      </c>
      <c r="W64" s="65">
        <v>13</v>
      </c>
      <c r="X64" s="65">
        <v>13</v>
      </c>
      <c r="Y64" s="65">
        <v>13</v>
      </c>
      <c r="Z64" s="65">
        <v>13</v>
      </c>
      <c r="AA64" s="65">
        <v>13</v>
      </c>
      <c r="AB64" s="65">
        <v>13</v>
      </c>
      <c r="AC64" s="65">
        <v>14</v>
      </c>
      <c r="AD64" s="65">
        <v>14</v>
      </c>
      <c r="AE64" s="65">
        <v>14</v>
      </c>
      <c r="AF64" s="65">
        <v>14</v>
      </c>
      <c r="AG64" s="54">
        <v>14</v>
      </c>
      <c r="AH64" s="47">
        <f t="shared" si="2"/>
        <v>14.2</v>
      </c>
      <c r="AI64" s="48">
        <f t="shared" si="3"/>
        <v>13</v>
      </c>
      <c r="AK64" s="49"/>
    </row>
    <row r="65" spans="1:40" x14ac:dyDescent="0.25">
      <c r="A65" s="53" t="s">
        <v>71</v>
      </c>
      <c r="B65" s="65">
        <v>6.3</v>
      </c>
      <c r="C65" s="65">
        <v>6.3</v>
      </c>
      <c r="D65" s="65">
        <v>6.3</v>
      </c>
      <c r="E65" s="65">
        <v>6.3</v>
      </c>
      <c r="F65" s="65">
        <v>6.3</v>
      </c>
      <c r="G65" s="65">
        <v>6.3</v>
      </c>
      <c r="H65" s="65">
        <v>6.3</v>
      </c>
      <c r="I65" s="65">
        <v>6.3</v>
      </c>
      <c r="J65" s="65">
        <v>6.3</v>
      </c>
      <c r="K65" s="65">
        <v>6.3</v>
      </c>
      <c r="L65" s="65">
        <v>6.3</v>
      </c>
      <c r="M65" s="65">
        <v>6.3</v>
      </c>
      <c r="N65" s="65">
        <v>6.3</v>
      </c>
      <c r="O65" s="65">
        <v>6.3</v>
      </c>
      <c r="P65" s="65"/>
      <c r="Q65" s="65">
        <v>6.3</v>
      </c>
      <c r="R65" s="65">
        <v>6.3</v>
      </c>
      <c r="S65" s="65">
        <v>6.3</v>
      </c>
      <c r="T65" s="65">
        <v>6.3</v>
      </c>
      <c r="U65" s="65">
        <v>6.3</v>
      </c>
      <c r="V65" s="65">
        <v>6.3</v>
      </c>
      <c r="W65" s="65">
        <v>6.3</v>
      </c>
      <c r="X65" s="65">
        <v>6.3</v>
      </c>
      <c r="Y65" s="65">
        <v>6.3</v>
      </c>
      <c r="Z65" s="65">
        <v>6.3</v>
      </c>
      <c r="AA65" s="65">
        <v>6.3</v>
      </c>
      <c r="AB65" s="65">
        <v>6.3</v>
      </c>
      <c r="AC65" s="65">
        <v>6.3</v>
      </c>
      <c r="AD65" s="65">
        <v>6.3</v>
      </c>
      <c r="AE65" s="65">
        <v>6.3</v>
      </c>
      <c r="AF65" s="65">
        <v>6.3</v>
      </c>
      <c r="AG65" s="54">
        <v>10.050000000000001</v>
      </c>
      <c r="AH65" s="47">
        <f t="shared" si="2"/>
        <v>6.3</v>
      </c>
      <c r="AI65" s="48">
        <f t="shared" si="3"/>
        <v>6.3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/>
      <c r="Q66" s="65">
        <v>2</v>
      </c>
      <c r="R66" s="65">
        <v>2</v>
      </c>
      <c r="S66" s="65">
        <v>2</v>
      </c>
      <c r="T66" s="65">
        <v>2</v>
      </c>
      <c r="U66" s="65">
        <v>2</v>
      </c>
      <c r="V66" s="65">
        <v>2</v>
      </c>
      <c r="W66" s="65">
        <v>2</v>
      </c>
      <c r="X66" s="65">
        <v>2</v>
      </c>
      <c r="Y66" s="65">
        <v>2</v>
      </c>
      <c r="Z66" s="65">
        <v>2</v>
      </c>
      <c r="AA66" s="65">
        <v>2</v>
      </c>
      <c r="AB66" s="65">
        <v>2</v>
      </c>
      <c r="AC66" s="65">
        <v>2</v>
      </c>
      <c r="AD66" s="65">
        <v>2</v>
      </c>
      <c r="AE66" s="65">
        <v>2</v>
      </c>
      <c r="AF66" s="65">
        <v>2</v>
      </c>
      <c r="AG66" s="54">
        <v>6.2</v>
      </c>
      <c r="AH66" s="47">
        <f t="shared" si="2"/>
        <v>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>SUM(B55:B67)</f>
        <v>357.43999999999994</v>
      </c>
      <c r="C68" s="60">
        <f t="shared" ref="C68:AG68" si="6">SUM(C55:C67)</f>
        <v>343.84</v>
      </c>
      <c r="D68" s="60">
        <f>SUM(D55:D67)</f>
        <v>337.84000000000003</v>
      </c>
      <c r="E68" s="60">
        <f>SUM(E55:E67)</f>
        <v>342.14</v>
      </c>
      <c r="F68" s="60">
        <f t="shared" si="6"/>
        <v>333.54</v>
      </c>
      <c r="G68" s="60">
        <f t="shared" si="6"/>
        <v>333.54</v>
      </c>
      <c r="H68" s="60">
        <f t="shared" si="6"/>
        <v>351.34000000000003</v>
      </c>
      <c r="I68" s="60">
        <f t="shared" si="6"/>
        <v>351.34000000000003</v>
      </c>
      <c r="J68" s="60">
        <f t="shared" si="6"/>
        <v>343.64000000000004</v>
      </c>
      <c r="K68" s="60">
        <f t="shared" si="6"/>
        <v>353.94</v>
      </c>
      <c r="L68" s="60">
        <f t="shared" si="6"/>
        <v>361.74</v>
      </c>
      <c r="M68" s="60">
        <f t="shared" si="6"/>
        <v>367.34</v>
      </c>
      <c r="N68" s="60">
        <f t="shared" si="6"/>
        <v>367.34</v>
      </c>
      <c r="O68" s="60">
        <f t="shared" si="6"/>
        <v>391.34</v>
      </c>
      <c r="P68" s="60">
        <f t="shared" si="6"/>
        <v>3.54</v>
      </c>
      <c r="Q68" s="60">
        <f t="shared" si="6"/>
        <v>415.34</v>
      </c>
      <c r="R68" s="60">
        <f t="shared" si="6"/>
        <v>384.94</v>
      </c>
      <c r="S68" s="60">
        <f t="shared" si="6"/>
        <v>414.34000000000003</v>
      </c>
      <c r="T68" s="60">
        <f t="shared" si="6"/>
        <v>414.34000000000003</v>
      </c>
      <c r="U68" s="60">
        <f t="shared" si="6"/>
        <v>413.34000000000003</v>
      </c>
      <c r="V68" s="60">
        <f t="shared" si="6"/>
        <v>401.74</v>
      </c>
      <c r="W68" s="60">
        <f t="shared" si="6"/>
        <v>400.84000000000003</v>
      </c>
      <c r="X68" s="60">
        <f t="shared" si="6"/>
        <v>386.19000000000005</v>
      </c>
      <c r="Y68" s="60">
        <f t="shared" si="6"/>
        <v>392.49</v>
      </c>
      <c r="Z68" s="60">
        <f t="shared" si="6"/>
        <v>409.24</v>
      </c>
      <c r="AA68" s="60">
        <f t="shared" si="6"/>
        <v>407.44</v>
      </c>
      <c r="AB68" s="60">
        <f t="shared" si="6"/>
        <v>407.44</v>
      </c>
      <c r="AC68" s="60">
        <f t="shared" si="6"/>
        <v>385.34000000000003</v>
      </c>
      <c r="AD68" s="60">
        <f t="shared" si="6"/>
        <v>385.34000000000003</v>
      </c>
      <c r="AE68" s="60">
        <f t="shared" si="6"/>
        <v>384.74</v>
      </c>
      <c r="AF68" s="60">
        <f t="shared" si="6"/>
        <v>381.74</v>
      </c>
      <c r="AG68" s="61">
        <f t="shared" si="6"/>
        <v>489.91</v>
      </c>
      <c r="AH68" s="47">
        <f t="shared" si="2"/>
        <v>415.34</v>
      </c>
      <c r="AI68" s="48">
        <f t="shared" si="3"/>
        <v>3.54</v>
      </c>
      <c r="AK68" s="49"/>
    </row>
    <row r="69" spans="1:40" x14ac:dyDescent="0.25">
      <c r="A69" s="44" t="s">
        <v>75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10</v>
      </c>
      <c r="O69" s="45">
        <v>10</v>
      </c>
      <c r="P69" s="45"/>
      <c r="Q69" s="45">
        <v>30</v>
      </c>
      <c r="R69" s="45">
        <v>14</v>
      </c>
      <c r="S69" s="45">
        <v>14</v>
      </c>
      <c r="T69" s="45">
        <v>14</v>
      </c>
      <c r="U69" s="45">
        <v>0</v>
      </c>
      <c r="V69" s="45">
        <v>10</v>
      </c>
      <c r="W69" s="45">
        <v>0</v>
      </c>
      <c r="X69" s="45">
        <v>0</v>
      </c>
      <c r="Y69" s="45">
        <v>0</v>
      </c>
      <c r="Z69" s="45">
        <v>10</v>
      </c>
      <c r="AA69" s="45">
        <v>30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30</v>
      </c>
      <c r="AI69" s="48">
        <f t="shared" si="3"/>
        <v>0</v>
      </c>
      <c r="AK69" s="49"/>
    </row>
    <row r="70" spans="1:40" x14ac:dyDescent="0.25">
      <c r="A70" s="53" t="s">
        <v>76</v>
      </c>
      <c r="B70" s="6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5</v>
      </c>
      <c r="O70" s="65">
        <v>5</v>
      </c>
      <c r="P70" s="65"/>
      <c r="Q70" s="65">
        <v>14</v>
      </c>
      <c r="R70" s="65">
        <v>9.3000000000000007</v>
      </c>
      <c r="S70" s="65">
        <v>9.3000000000000007</v>
      </c>
      <c r="T70" s="65">
        <v>9.3000000000000007</v>
      </c>
      <c r="U70" s="65">
        <v>0</v>
      </c>
      <c r="V70" s="65">
        <v>5.8</v>
      </c>
      <c r="W70" s="65">
        <v>0</v>
      </c>
      <c r="X70" s="65">
        <v>0</v>
      </c>
      <c r="Y70" s="65">
        <v>0</v>
      </c>
      <c r="Z70" s="65">
        <v>3.4</v>
      </c>
      <c r="AA70" s="65">
        <v>10.3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54">
        <v>32</v>
      </c>
      <c r="AH70" s="47">
        <f t="shared" si="2"/>
        <v>14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67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67">
        <v>0</v>
      </c>
      <c r="K71" s="67">
        <v>0</v>
      </c>
      <c r="L71" s="67">
        <v>0</v>
      </c>
      <c r="M71" s="67">
        <v>0</v>
      </c>
      <c r="N71" s="67">
        <v>2</v>
      </c>
      <c r="O71" s="67">
        <v>2</v>
      </c>
      <c r="P71" s="67"/>
      <c r="Q71" s="67">
        <v>5.0999999999999996</v>
      </c>
      <c r="R71" s="67">
        <v>3.4</v>
      </c>
      <c r="S71" s="67">
        <v>3.4</v>
      </c>
      <c r="T71" s="67">
        <v>3.4</v>
      </c>
      <c r="U71" s="67">
        <v>0</v>
      </c>
      <c r="V71" s="67">
        <v>2.1</v>
      </c>
      <c r="W71" s="67">
        <v>0</v>
      </c>
      <c r="X71" s="67">
        <v>0</v>
      </c>
      <c r="Y71" s="67">
        <v>0</v>
      </c>
      <c r="Z71" s="67">
        <v>1.2</v>
      </c>
      <c r="AA71" s="67">
        <v>3.7</v>
      </c>
      <c r="AB71" s="67">
        <v>0</v>
      </c>
      <c r="AC71" s="67">
        <v>0</v>
      </c>
      <c r="AD71" s="67">
        <v>0</v>
      </c>
      <c r="AE71" s="67">
        <v>0</v>
      </c>
      <c r="AF71" s="67">
        <v>0</v>
      </c>
      <c r="AG71" s="68">
        <v>14</v>
      </c>
      <c r="AH71" s="47">
        <f t="shared" si="2"/>
        <v>5.0999999999999996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7">M69+M70+M71</f>
        <v>0</v>
      </c>
      <c r="N72" s="60">
        <f t="shared" si="7"/>
        <v>17</v>
      </c>
      <c r="O72" s="60">
        <f t="shared" si="7"/>
        <v>17</v>
      </c>
      <c r="P72" s="60">
        <f t="shared" si="7"/>
        <v>0</v>
      </c>
      <c r="Q72" s="60">
        <f t="shared" si="7"/>
        <v>49.1</v>
      </c>
      <c r="R72" s="60">
        <f t="shared" si="7"/>
        <v>26.7</v>
      </c>
      <c r="S72" s="60">
        <f t="shared" si="7"/>
        <v>26.7</v>
      </c>
      <c r="T72" s="60">
        <f t="shared" si="7"/>
        <v>26.7</v>
      </c>
      <c r="U72" s="60">
        <f t="shared" si="7"/>
        <v>0</v>
      </c>
      <c r="V72" s="60">
        <f t="shared" si="7"/>
        <v>17.900000000000002</v>
      </c>
      <c r="W72" s="60">
        <f t="shared" si="7"/>
        <v>0</v>
      </c>
      <c r="X72" s="60">
        <f t="shared" si="7"/>
        <v>0</v>
      </c>
      <c r="Y72" s="60">
        <f t="shared" si="7"/>
        <v>0</v>
      </c>
      <c r="Z72" s="60">
        <f t="shared" si="7"/>
        <v>14.6</v>
      </c>
      <c r="AA72" s="60">
        <f t="shared" si="7"/>
        <v>44</v>
      </c>
      <c r="AB72" s="60">
        <f t="shared" si="7"/>
        <v>0</v>
      </c>
      <c r="AC72" s="60">
        <f t="shared" si="7"/>
        <v>0</v>
      </c>
      <c r="AD72" s="60">
        <f t="shared" si="7"/>
        <v>0</v>
      </c>
      <c r="AE72" s="60">
        <f t="shared" si="7"/>
        <v>0</v>
      </c>
      <c r="AF72" s="60">
        <f t="shared" si="7"/>
        <v>0</v>
      </c>
      <c r="AG72" s="61">
        <f>SUM(AG69:AG71)</f>
        <v>106</v>
      </c>
      <c r="AH72" s="47">
        <f t="shared" si="2"/>
        <v>49.1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69</v>
      </c>
      <c r="C73" s="45">
        <v>61.3</v>
      </c>
      <c r="D73" s="45">
        <v>61.9</v>
      </c>
      <c r="E73" s="45">
        <v>58.7</v>
      </c>
      <c r="F73" s="45">
        <v>55.5</v>
      </c>
      <c r="G73" s="45">
        <v>51.6</v>
      </c>
      <c r="H73" s="45">
        <v>49.3</v>
      </c>
      <c r="I73" s="45">
        <v>48.3</v>
      </c>
      <c r="J73" s="45">
        <v>50.6</v>
      </c>
      <c r="K73" s="45">
        <v>56.4</v>
      </c>
      <c r="L73" s="45">
        <v>55.4</v>
      </c>
      <c r="M73" s="45">
        <v>63</v>
      </c>
      <c r="N73" s="45">
        <v>55</v>
      </c>
      <c r="O73" s="45">
        <v>67</v>
      </c>
      <c r="P73" s="45"/>
      <c r="Q73" s="45">
        <v>56</v>
      </c>
      <c r="R73" s="45">
        <v>66.2</v>
      </c>
      <c r="S73" s="45">
        <v>66.2</v>
      </c>
      <c r="T73" s="45">
        <v>66.2</v>
      </c>
      <c r="U73" s="45">
        <v>68.3</v>
      </c>
      <c r="V73" s="45">
        <v>71</v>
      </c>
      <c r="W73" s="45">
        <v>68</v>
      </c>
      <c r="X73" s="45">
        <v>64.2</v>
      </c>
      <c r="Y73" s="45">
        <v>65.8</v>
      </c>
      <c r="Z73" s="45">
        <v>57.8</v>
      </c>
      <c r="AA73" s="45">
        <v>61.2</v>
      </c>
      <c r="AB73" s="45">
        <v>63.2</v>
      </c>
      <c r="AC73" s="45">
        <v>62.1</v>
      </c>
      <c r="AD73" s="45">
        <v>66</v>
      </c>
      <c r="AE73" s="45">
        <v>65.7</v>
      </c>
      <c r="AF73" s="45">
        <v>65.7</v>
      </c>
      <c r="AG73" s="51"/>
      <c r="AH73" s="47">
        <f t="shared" si="2"/>
        <v>71</v>
      </c>
      <c r="AI73" s="48">
        <f t="shared" si="3"/>
        <v>48.3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/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-4.8</v>
      </c>
      <c r="C75" s="65">
        <v>5</v>
      </c>
      <c r="D75" s="65">
        <v>9.9</v>
      </c>
      <c r="E75" s="65">
        <v>61</v>
      </c>
      <c r="F75" s="65">
        <v>95</v>
      </c>
      <c r="G75" s="65">
        <v>200</v>
      </c>
      <c r="H75" s="65">
        <v>220.7</v>
      </c>
      <c r="I75" s="65">
        <v>240</v>
      </c>
      <c r="J75" s="65">
        <v>315.3</v>
      </c>
      <c r="K75" s="65">
        <v>260.3</v>
      </c>
      <c r="L75" s="65">
        <v>260.3</v>
      </c>
      <c r="M75" s="65">
        <v>260.3</v>
      </c>
      <c r="N75" s="65">
        <v>260.3</v>
      </c>
      <c r="O75" s="65">
        <v>260.3</v>
      </c>
      <c r="P75" s="65"/>
      <c r="Q75" s="65">
        <v>62</v>
      </c>
      <c r="R75" s="65">
        <v>130</v>
      </c>
      <c r="S75" s="65">
        <v>115</v>
      </c>
      <c r="T75" s="65">
        <v>63.2</v>
      </c>
      <c r="U75" s="65">
        <v>189</v>
      </c>
      <c r="V75" s="65">
        <v>185.6</v>
      </c>
      <c r="W75" s="65">
        <v>190</v>
      </c>
      <c r="X75" s="65">
        <v>176</v>
      </c>
      <c r="Y75" s="65">
        <v>180.6</v>
      </c>
      <c r="Z75" s="65">
        <v>228</v>
      </c>
      <c r="AA75" s="65">
        <v>31.1</v>
      </c>
      <c r="AB75" s="65">
        <v>31.1</v>
      </c>
      <c r="AC75" s="65">
        <v>6</v>
      </c>
      <c r="AD75" s="65">
        <v>4</v>
      </c>
      <c r="AE75" s="65">
        <v>4</v>
      </c>
      <c r="AF75" s="65">
        <v>4</v>
      </c>
      <c r="AG75" s="75"/>
      <c r="AH75" s="47">
        <f t="shared" si="2"/>
        <v>315.3</v>
      </c>
      <c r="AI75" s="48">
        <f t="shared" si="3"/>
        <v>-4.8</v>
      </c>
      <c r="AK75" s="49"/>
    </row>
    <row r="76" spans="1:40" x14ac:dyDescent="0.25">
      <c r="A76" s="53" t="s">
        <v>82</v>
      </c>
      <c r="B76" s="76">
        <v>15</v>
      </c>
      <c r="C76" s="65">
        <v>15</v>
      </c>
      <c r="D76" s="65">
        <v>15</v>
      </c>
      <c r="E76" s="76">
        <v>15</v>
      </c>
      <c r="F76" s="76">
        <v>15</v>
      </c>
      <c r="G76" s="76">
        <v>15</v>
      </c>
      <c r="H76" s="76">
        <v>15</v>
      </c>
      <c r="I76" s="76">
        <v>15</v>
      </c>
      <c r="J76" s="76">
        <v>15</v>
      </c>
      <c r="K76" s="76">
        <v>15</v>
      </c>
      <c r="L76" s="76">
        <v>15</v>
      </c>
      <c r="M76" s="76">
        <v>15</v>
      </c>
      <c r="N76" s="76">
        <v>15</v>
      </c>
      <c r="O76" s="76">
        <v>15</v>
      </c>
      <c r="P76" s="76"/>
      <c r="Q76" s="76">
        <v>15</v>
      </c>
      <c r="R76" s="76">
        <v>12</v>
      </c>
      <c r="S76" s="76">
        <v>12</v>
      </c>
      <c r="T76" s="76">
        <v>12</v>
      </c>
      <c r="U76" s="76">
        <v>12</v>
      </c>
      <c r="V76" s="76">
        <v>12</v>
      </c>
      <c r="W76" s="76">
        <v>12</v>
      </c>
      <c r="X76" s="76">
        <v>12</v>
      </c>
      <c r="Y76" s="76">
        <v>12</v>
      </c>
      <c r="Z76" s="76">
        <v>12</v>
      </c>
      <c r="AA76" s="76">
        <v>12</v>
      </c>
      <c r="AB76" s="76">
        <v>12</v>
      </c>
      <c r="AC76" s="76">
        <v>12</v>
      </c>
      <c r="AD76" s="76">
        <v>12</v>
      </c>
      <c r="AE76" s="76">
        <v>12</v>
      </c>
      <c r="AF76" s="76">
        <v>12</v>
      </c>
      <c r="AG76" s="75"/>
      <c r="AH76" s="47">
        <f t="shared" si="2"/>
        <v>15</v>
      </c>
      <c r="AI76" s="48">
        <f t="shared" si="3"/>
        <v>12</v>
      </c>
      <c r="AK76" s="49"/>
    </row>
    <row r="77" spans="1:40" x14ac:dyDescent="0.25">
      <c r="A77" s="53" t="s">
        <v>83</v>
      </c>
      <c r="B77" s="45">
        <v>30.3</v>
      </c>
      <c r="C77" s="45">
        <v>27.9</v>
      </c>
      <c r="D77" s="45">
        <v>31.2</v>
      </c>
      <c r="E77" s="45">
        <v>32.299999999999997</v>
      </c>
      <c r="F77" s="45">
        <v>30.7</v>
      </c>
      <c r="G77" s="45">
        <v>30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/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8">MAX(B77:AF77)</f>
        <v>32.299999999999997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77">
        <v>6</v>
      </c>
      <c r="C78" s="77">
        <v>6</v>
      </c>
      <c r="D78" s="77">
        <v>6</v>
      </c>
      <c r="E78" s="77">
        <v>6</v>
      </c>
      <c r="F78" s="77">
        <v>6</v>
      </c>
      <c r="G78" s="77">
        <v>6</v>
      </c>
      <c r="H78" s="77">
        <v>6</v>
      </c>
      <c r="I78" s="77">
        <v>6</v>
      </c>
      <c r="J78" s="77">
        <v>6</v>
      </c>
      <c r="K78" s="77">
        <v>6</v>
      </c>
      <c r="L78" s="77">
        <v>6</v>
      </c>
      <c r="M78" s="77">
        <v>0</v>
      </c>
      <c r="N78" s="77">
        <v>0</v>
      </c>
      <c r="O78" s="77">
        <v>0</v>
      </c>
      <c r="P78" s="77"/>
      <c r="Q78" s="77">
        <v>6</v>
      </c>
      <c r="R78" s="77">
        <v>6</v>
      </c>
      <c r="S78" s="77">
        <v>0</v>
      </c>
      <c r="T78" s="77">
        <v>0</v>
      </c>
      <c r="U78" s="77">
        <v>6</v>
      </c>
      <c r="V78" s="77">
        <v>6</v>
      </c>
      <c r="W78" s="77">
        <v>6</v>
      </c>
      <c r="X78" s="77">
        <v>6</v>
      </c>
      <c r="Y78" s="77">
        <v>6</v>
      </c>
      <c r="Z78" s="77">
        <v>6</v>
      </c>
      <c r="AA78" s="77">
        <v>6</v>
      </c>
      <c r="AB78" s="77">
        <v>6</v>
      </c>
      <c r="AC78" s="77">
        <v>6</v>
      </c>
      <c r="AD78" s="77">
        <v>6</v>
      </c>
      <c r="AE78" s="77">
        <v>6</v>
      </c>
      <c r="AF78" s="77">
        <v>6</v>
      </c>
      <c r="AG78" s="75"/>
      <c r="AH78" s="47">
        <f t="shared" si="8"/>
        <v>6</v>
      </c>
      <c r="AI78" s="48">
        <f t="shared" si="9"/>
        <v>0</v>
      </c>
      <c r="AK78" s="49"/>
    </row>
    <row r="79" spans="1:40" ht="15.75" thickBot="1" x14ac:dyDescent="0.3">
      <c r="A79" s="53" t="s">
        <v>85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/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/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/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0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77">
        <v>0</v>
      </c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/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/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>SUMIF(B73:B83,"&gt;0")</f>
        <v>120.3</v>
      </c>
      <c r="C84" s="60">
        <f t="shared" ref="C84:AF84" si="10">SUMIF(C73:C83,"&gt;0")</f>
        <v>115.19999999999999</v>
      </c>
      <c r="D84" s="60">
        <f>SUMIF(D73:D83,"&gt;0")</f>
        <v>124</v>
      </c>
      <c r="E84" s="60">
        <f t="shared" si="10"/>
        <v>173</v>
      </c>
      <c r="F84" s="60">
        <f t="shared" si="10"/>
        <v>202.2</v>
      </c>
      <c r="G84" s="60">
        <f t="shared" si="10"/>
        <v>302.60000000000002</v>
      </c>
      <c r="H84" s="60">
        <f t="shared" si="10"/>
        <v>291</v>
      </c>
      <c r="I84" s="60">
        <f t="shared" si="10"/>
        <v>309.3</v>
      </c>
      <c r="J84" s="60">
        <f t="shared" si="10"/>
        <v>386.90000000000003</v>
      </c>
      <c r="K84" s="60">
        <f t="shared" si="10"/>
        <v>337.7</v>
      </c>
      <c r="L84" s="60">
        <f t="shared" si="10"/>
        <v>336.7</v>
      </c>
      <c r="M84" s="60">
        <f t="shared" si="10"/>
        <v>338.3</v>
      </c>
      <c r="N84" s="60">
        <f t="shared" si="10"/>
        <v>330.3</v>
      </c>
      <c r="O84" s="60">
        <f t="shared" si="10"/>
        <v>342.3</v>
      </c>
      <c r="P84" s="60">
        <f t="shared" si="10"/>
        <v>0</v>
      </c>
      <c r="Q84" s="60">
        <f t="shared" si="10"/>
        <v>139</v>
      </c>
      <c r="R84" s="60">
        <f t="shared" si="10"/>
        <v>214.2</v>
      </c>
      <c r="S84" s="60">
        <f t="shared" si="10"/>
        <v>193.2</v>
      </c>
      <c r="T84" s="60">
        <f t="shared" si="10"/>
        <v>141.4</v>
      </c>
      <c r="U84" s="60">
        <f t="shared" si="10"/>
        <v>275.3</v>
      </c>
      <c r="V84" s="60">
        <f t="shared" si="10"/>
        <v>274.60000000000002</v>
      </c>
      <c r="W84" s="60">
        <f t="shared" si="10"/>
        <v>276</v>
      </c>
      <c r="X84" s="60">
        <f t="shared" si="10"/>
        <v>258.2</v>
      </c>
      <c r="Y84" s="60">
        <f t="shared" si="10"/>
        <v>264.39999999999998</v>
      </c>
      <c r="Z84" s="60">
        <f t="shared" si="10"/>
        <v>303.8</v>
      </c>
      <c r="AA84" s="60">
        <f t="shared" si="10"/>
        <v>110.30000000000001</v>
      </c>
      <c r="AB84" s="60">
        <f t="shared" si="10"/>
        <v>112.30000000000001</v>
      </c>
      <c r="AC84" s="60">
        <f t="shared" si="10"/>
        <v>86.1</v>
      </c>
      <c r="AD84" s="60">
        <f t="shared" si="10"/>
        <v>88</v>
      </c>
      <c r="AE84" s="60">
        <f t="shared" si="10"/>
        <v>87.7</v>
      </c>
      <c r="AF84" s="60">
        <f t="shared" si="10"/>
        <v>87.7</v>
      </c>
      <c r="AG84" s="88">
        <f>SUM(AG73:AG83)</f>
        <v>0</v>
      </c>
      <c r="AH84" s="47">
        <f t="shared" si="8"/>
        <v>386.90000000000003</v>
      </c>
      <c r="AI84" s="48">
        <f t="shared" si="9"/>
        <v>0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>
        <v>0</v>
      </c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>B50+B54+B72+B68+B84+B88</f>
        <v>1689.4399999999998</v>
      </c>
      <c r="C89" s="95">
        <f t="shared" ref="C89:AG89" si="11">C50+C54+C72+C68+C84+C88</f>
        <v>1658.3400000000001</v>
      </c>
      <c r="D89" s="95">
        <f>D50+D54+D72+D68+D84+D88</f>
        <v>1666.8400000000001</v>
      </c>
      <c r="E89" s="95">
        <f t="shared" si="11"/>
        <v>1568.2399999999998</v>
      </c>
      <c r="F89" s="95">
        <f t="shared" si="11"/>
        <v>1573.74</v>
      </c>
      <c r="G89" s="95">
        <f t="shared" si="11"/>
        <v>1504.1399999999999</v>
      </c>
      <c r="H89" s="95">
        <f t="shared" si="11"/>
        <v>1502.3400000000001</v>
      </c>
      <c r="I89" s="95">
        <f t="shared" si="11"/>
        <v>1520.64</v>
      </c>
      <c r="J89" s="95">
        <f t="shared" si="11"/>
        <v>1566.5400000000002</v>
      </c>
      <c r="K89" s="95">
        <f t="shared" si="11"/>
        <v>1587.64</v>
      </c>
      <c r="L89" s="95">
        <f t="shared" si="11"/>
        <v>1614.44</v>
      </c>
      <c r="M89" s="95">
        <f t="shared" si="11"/>
        <v>1641.6399999999999</v>
      </c>
      <c r="N89" s="95">
        <f t="shared" si="11"/>
        <v>1650.6399999999999</v>
      </c>
      <c r="O89" s="95">
        <f t="shared" si="11"/>
        <v>1810.6399999999999</v>
      </c>
      <c r="P89" s="95">
        <f t="shared" si="11"/>
        <v>3.54</v>
      </c>
      <c r="Q89" s="95">
        <f t="shared" si="11"/>
        <v>1649.84</v>
      </c>
      <c r="R89" s="95">
        <f t="shared" si="11"/>
        <v>1662.44</v>
      </c>
      <c r="S89" s="95">
        <f t="shared" si="11"/>
        <v>1671.9400000000003</v>
      </c>
      <c r="T89" s="95">
        <f t="shared" si="11"/>
        <v>1674.1400000000003</v>
      </c>
      <c r="U89" s="95">
        <f t="shared" si="11"/>
        <v>1757.34</v>
      </c>
      <c r="V89" s="95">
        <f t="shared" si="11"/>
        <v>1700.54</v>
      </c>
      <c r="W89" s="95">
        <f t="shared" si="11"/>
        <v>1647.14</v>
      </c>
      <c r="X89" s="95">
        <f t="shared" si="11"/>
        <v>1620.89</v>
      </c>
      <c r="Y89" s="95">
        <f t="shared" si="11"/>
        <v>1637.3899999999999</v>
      </c>
      <c r="Z89" s="95">
        <f t="shared" si="11"/>
        <v>1708.14</v>
      </c>
      <c r="AA89" s="95">
        <f t="shared" si="11"/>
        <v>1732.24</v>
      </c>
      <c r="AB89" s="95">
        <f t="shared" si="11"/>
        <v>1730.24</v>
      </c>
      <c r="AC89" s="95">
        <f t="shared" si="11"/>
        <v>1705.94</v>
      </c>
      <c r="AD89" s="95">
        <f t="shared" si="11"/>
        <v>1774.8400000000001</v>
      </c>
      <c r="AE89" s="95">
        <f t="shared" si="11"/>
        <v>1737.94</v>
      </c>
      <c r="AF89" s="95">
        <f t="shared" si="11"/>
        <v>1634.94</v>
      </c>
      <c r="AG89" s="61">
        <f t="shared" si="11"/>
        <v>2111.5500000000002</v>
      </c>
      <c r="AH89" s="47">
        <f t="shared" si="8"/>
        <v>1810.6399999999999</v>
      </c>
      <c r="AI89" s="48">
        <f t="shared" si="9"/>
        <v>3.54</v>
      </c>
    </row>
    <row r="90" spans="1:40" ht="15.75" thickBot="1" x14ac:dyDescent="0.3">
      <c r="A90" s="96" t="s">
        <v>99</v>
      </c>
      <c r="B90" s="97">
        <v>50</v>
      </c>
      <c r="C90" s="97">
        <v>50</v>
      </c>
      <c r="D90" s="97">
        <v>50</v>
      </c>
      <c r="E90" s="97">
        <v>50</v>
      </c>
      <c r="F90" s="97">
        <v>80</v>
      </c>
      <c r="G90" s="97">
        <v>80</v>
      </c>
      <c r="H90" s="97">
        <v>80</v>
      </c>
      <c r="I90" s="97">
        <v>80</v>
      </c>
      <c r="J90" s="97">
        <v>80</v>
      </c>
      <c r="K90" s="97">
        <v>50</v>
      </c>
      <c r="L90" s="97"/>
      <c r="M90" s="97"/>
      <c r="N90" s="97"/>
      <c r="O90" s="97"/>
      <c r="P90" s="97"/>
      <c r="Q90" s="97"/>
      <c r="R90" s="97"/>
      <c r="S90" s="97">
        <v>14</v>
      </c>
      <c r="T90" s="97"/>
      <c r="U90" s="97"/>
      <c r="V90" s="97"/>
      <c r="W90" s="97"/>
      <c r="X90" s="97"/>
      <c r="Y90" s="97"/>
      <c r="Z90" s="97"/>
      <c r="AA90" s="97">
        <v>100</v>
      </c>
      <c r="AB90" s="97">
        <v>100</v>
      </c>
      <c r="AC90" s="97">
        <v>100</v>
      </c>
      <c r="AD90" s="97">
        <v>100</v>
      </c>
      <c r="AE90" s="97">
        <v>100</v>
      </c>
      <c r="AF90" s="97">
        <v>100</v>
      </c>
      <c r="AG90" s="88"/>
      <c r="AH90" s="47">
        <f t="shared" si="8"/>
        <v>100</v>
      </c>
      <c r="AI90" s="48">
        <f t="shared" si="9"/>
        <v>14</v>
      </c>
    </row>
    <row r="91" spans="1:40" ht="15.75" thickBot="1" x14ac:dyDescent="0.3">
      <c r="A91" s="74" t="s">
        <v>100</v>
      </c>
      <c r="B91" s="95">
        <f>B89+B90</f>
        <v>1739.4399999999998</v>
      </c>
      <c r="C91" s="95">
        <f t="shared" ref="C91:AF91" si="12">C89+C90</f>
        <v>1708.3400000000001</v>
      </c>
      <c r="D91" s="95">
        <f>D89+D90</f>
        <v>1716.8400000000001</v>
      </c>
      <c r="E91" s="95">
        <f t="shared" si="12"/>
        <v>1618.2399999999998</v>
      </c>
      <c r="F91" s="95">
        <f t="shared" si="12"/>
        <v>1653.74</v>
      </c>
      <c r="G91" s="95">
        <f t="shared" si="12"/>
        <v>1584.1399999999999</v>
      </c>
      <c r="H91" s="95">
        <f t="shared" si="12"/>
        <v>1582.3400000000001</v>
      </c>
      <c r="I91" s="95">
        <f t="shared" si="12"/>
        <v>1600.64</v>
      </c>
      <c r="J91" s="95">
        <f t="shared" si="12"/>
        <v>1646.5400000000002</v>
      </c>
      <c r="K91" s="95">
        <f t="shared" si="12"/>
        <v>1637.64</v>
      </c>
      <c r="L91" s="95">
        <f t="shared" si="12"/>
        <v>1614.44</v>
      </c>
      <c r="M91" s="95">
        <f t="shared" si="12"/>
        <v>1641.6399999999999</v>
      </c>
      <c r="N91" s="95">
        <f t="shared" si="12"/>
        <v>1650.6399999999999</v>
      </c>
      <c r="O91" s="95">
        <f t="shared" si="12"/>
        <v>1810.6399999999999</v>
      </c>
      <c r="P91" s="95">
        <f t="shared" si="12"/>
        <v>3.54</v>
      </c>
      <c r="Q91" s="95">
        <f t="shared" si="12"/>
        <v>1649.84</v>
      </c>
      <c r="R91" s="95">
        <f t="shared" si="12"/>
        <v>1662.44</v>
      </c>
      <c r="S91" s="95">
        <f t="shared" si="12"/>
        <v>1685.9400000000003</v>
      </c>
      <c r="T91" s="95">
        <f t="shared" si="12"/>
        <v>1674.1400000000003</v>
      </c>
      <c r="U91" s="95">
        <f t="shared" si="12"/>
        <v>1757.34</v>
      </c>
      <c r="V91" s="95">
        <f t="shared" si="12"/>
        <v>1700.54</v>
      </c>
      <c r="W91" s="95">
        <f t="shared" si="12"/>
        <v>1647.14</v>
      </c>
      <c r="X91" s="95">
        <f t="shared" si="12"/>
        <v>1620.89</v>
      </c>
      <c r="Y91" s="95">
        <f t="shared" si="12"/>
        <v>1637.3899999999999</v>
      </c>
      <c r="Z91" s="95">
        <f t="shared" si="12"/>
        <v>1708.14</v>
      </c>
      <c r="AA91" s="95">
        <f t="shared" si="12"/>
        <v>1832.24</v>
      </c>
      <c r="AB91" s="95">
        <f t="shared" si="12"/>
        <v>1830.24</v>
      </c>
      <c r="AC91" s="95">
        <f t="shared" si="12"/>
        <v>1805.94</v>
      </c>
      <c r="AD91" s="95">
        <f t="shared" si="12"/>
        <v>1874.8400000000001</v>
      </c>
      <c r="AE91" s="95">
        <f t="shared" si="12"/>
        <v>1837.94</v>
      </c>
      <c r="AF91" s="95">
        <f t="shared" si="12"/>
        <v>1734.94</v>
      </c>
      <c r="AG91" s="88">
        <f>AG88+AG84+AG72+AG68+AG50+AG90</f>
        <v>1573.45</v>
      </c>
      <c r="AH91" s="47">
        <f t="shared" si="8"/>
        <v>1874.8400000000001</v>
      </c>
      <c r="AI91" s="48">
        <f t="shared" si="9"/>
        <v>3.54</v>
      </c>
    </row>
    <row r="92" spans="1:40" ht="15.75" thickBot="1" x14ac:dyDescent="0.3">
      <c r="A92" s="74" t="s">
        <v>101</v>
      </c>
      <c r="B92" s="95">
        <f>B91-B99</f>
        <v>1739.4399999999998</v>
      </c>
      <c r="C92" s="95">
        <f t="shared" ref="C92:AF92" si="13">C91-C99</f>
        <v>1708.3400000000001</v>
      </c>
      <c r="D92" s="95">
        <f>D91-D99</f>
        <v>1716.8400000000001</v>
      </c>
      <c r="E92" s="95">
        <f t="shared" si="13"/>
        <v>1618.2399999999998</v>
      </c>
      <c r="F92" s="95">
        <f t="shared" si="13"/>
        <v>1653.74</v>
      </c>
      <c r="G92" s="95">
        <f t="shared" si="13"/>
        <v>1584.1399999999999</v>
      </c>
      <c r="H92" s="95">
        <f t="shared" si="13"/>
        <v>1582.3400000000001</v>
      </c>
      <c r="I92" s="95">
        <f t="shared" si="13"/>
        <v>1600.64</v>
      </c>
      <c r="J92" s="95">
        <f t="shared" si="13"/>
        <v>1646.5400000000002</v>
      </c>
      <c r="K92" s="95">
        <f t="shared" si="13"/>
        <v>1637.64</v>
      </c>
      <c r="L92" s="95">
        <f t="shared" si="13"/>
        <v>1614.44</v>
      </c>
      <c r="M92" s="95">
        <f t="shared" si="13"/>
        <v>1641.6399999999999</v>
      </c>
      <c r="N92" s="95">
        <f t="shared" si="13"/>
        <v>1650.6399999999999</v>
      </c>
      <c r="O92" s="95">
        <f t="shared" si="13"/>
        <v>1810.6399999999999</v>
      </c>
      <c r="P92" s="95">
        <f t="shared" si="13"/>
        <v>3.54</v>
      </c>
      <c r="Q92" s="95">
        <f t="shared" si="13"/>
        <v>1649.84</v>
      </c>
      <c r="R92" s="95">
        <f t="shared" si="13"/>
        <v>1662.44</v>
      </c>
      <c r="S92" s="95">
        <f t="shared" si="13"/>
        <v>1685.9400000000003</v>
      </c>
      <c r="T92" s="95">
        <f t="shared" si="13"/>
        <v>1674.1400000000003</v>
      </c>
      <c r="U92" s="95">
        <f t="shared" si="13"/>
        <v>1757.34</v>
      </c>
      <c r="V92" s="95">
        <f t="shared" si="13"/>
        <v>1700.54</v>
      </c>
      <c r="W92" s="95">
        <f t="shared" si="13"/>
        <v>1647.14</v>
      </c>
      <c r="X92" s="95">
        <f t="shared" si="13"/>
        <v>1620.89</v>
      </c>
      <c r="Y92" s="95">
        <f t="shared" si="13"/>
        <v>1637.3899999999999</v>
      </c>
      <c r="Z92" s="95">
        <f t="shared" si="13"/>
        <v>1708.14</v>
      </c>
      <c r="AA92" s="95">
        <v>1912.24</v>
      </c>
      <c r="AB92" s="95">
        <f t="shared" si="13"/>
        <v>1830.24</v>
      </c>
      <c r="AC92" s="95">
        <f t="shared" si="13"/>
        <v>1805.94</v>
      </c>
      <c r="AD92" s="95">
        <f t="shared" si="13"/>
        <v>1874.8400000000001</v>
      </c>
      <c r="AE92" s="95">
        <f t="shared" si="13"/>
        <v>1837.94</v>
      </c>
      <c r="AF92" s="95">
        <f t="shared" si="13"/>
        <v>1734.94</v>
      </c>
      <c r="AG92" s="88"/>
      <c r="AH92" s="47">
        <f t="shared" si="8"/>
        <v>1912.24</v>
      </c>
      <c r="AI92" s="48">
        <f t="shared" si="9"/>
        <v>3.54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0</v>
      </c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>B84-B99</f>
        <v>120.3</v>
      </c>
      <c r="C100" s="60">
        <f t="shared" ref="C100:AF100" si="14">C84-C99</f>
        <v>115.19999999999999</v>
      </c>
      <c r="D100" s="60">
        <f>D84-D99</f>
        <v>124</v>
      </c>
      <c r="E100" s="60">
        <f t="shared" si="14"/>
        <v>173</v>
      </c>
      <c r="F100" s="60">
        <f t="shared" si="14"/>
        <v>202.2</v>
      </c>
      <c r="G100" s="60">
        <f t="shared" si="14"/>
        <v>302.60000000000002</v>
      </c>
      <c r="H100" s="60">
        <f t="shared" si="14"/>
        <v>291</v>
      </c>
      <c r="I100" s="60">
        <f t="shared" si="14"/>
        <v>309.3</v>
      </c>
      <c r="J100" s="60">
        <f t="shared" si="14"/>
        <v>386.90000000000003</v>
      </c>
      <c r="K100" s="60">
        <f t="shared" si="14"/>
        <v>337.7</v>
      </c>
      <c r="L100" s="60">
        <f t="shared" si="14"/>
        <v>336.7</v>
      </c>
      <c r="M100" s="60">
        <f t="shared" si="14"/>
        <v>338.3</v>
      </c>
      <c r="N100" s="60">
        <f t="shared" si="14"/>
        <v>330.3</v>
      </c>
      <c r="O100" s="60">
        <f t="shared" si="14"/>
        <v>342.3</v>
      </c>
      <c r="P100" s="60">
        <f t="shared" si="14"/>
        <v>0</v>
      </c>
      <c r="Q100" s="60">
        <f t="shared" si="14"/>
        <v>139</v>
      </c>
      <c r="R100" s="60">
        <f t="shared" si="14"/>
        <v>214.2</v>
      </c>
      <c r="S100" s="60">
        <f t="shared" si="14"/>
        <v>193.2</v>
      </c>
      <c r="T100" s="60">
        <f t="shared" si="14"/>
        <v>141.4</v>
      </c>
      <c r="U100" s="60">
        <f t="shared" si="14"/>
        <v>275.3</v>
      </c>
      <c r="V100" s="60">
        <f t="shared" si="14"/>
        <v>274.60000000000002</v>
      </c>
      <c r="W100" s="60">
        <f t="shared" si="14"/>
        <v>276</v>
      </c>
      <c r="X100" s="60">
        <f t="shared" si="14"/>
        <v>258.2</v>
      </c>
      <c r="Y100" s="60">
        <f t="shared" si="14"/>
        <v>264.39999999999998</v>
      </c>
      <c r="Z100" s="60">
        <f t="shared" si="14"/>
        <v>303.8</v>
      </c>
      <c r="AA100" s="60">
        <f t="shared" si="14"/>
        <v>110.30000000000001</v>
      </c>
      <c r="AB100" s="60">
        <f t="shared" si="14"/>
        <v>112.30000000000001</v>
      </c>
      <c r="AC100" s="60">
        <f t="shared" si="14"/>
        <v>86.1</v>
      </c>
      <c r="AD100" s="60">
        <f t="shared" si="14"/>
        <v>88</v>
      </c>
      <c r="AE100" s="60">
        <f t="shared" si="14"/>
        <v>87.7</v>
      </c>
      <c r="AF100" s="60">
        <f t="shared" si="14"/>
        <v>87.7</v>
      </c>
      <c r="AG100" s="88"/>
      <c r="AH100" s="47">
        <f t="shared" si="8"/>
        <v>386.90000000000003</v>
      </c>
      <c r="AI100" s="48">
        <f t="shared" si="9"/>
        <v>0</v>
      </c>
    </row>
    <row r="101" spans="1:37" x14ac:dyDescent="0.25">
      <c r="A101" s="100" t="s">
        <v>107</v>
      </c>
      <c r="B101" s="101">
        <v>49.95</v>
      </c>
      <c r="C101" s="101">
        <v>49.92</v>
      </c>
      <c r="D101" s="101">
        <v>50.07</v>
      </c>
      <c r="E101" s="101">
        <v>50.04</v>
      </c>
      <c r="F101" s="101">
        <v>49.917999999999999</v>
      </c>
      <c r="G101" s="101">
        <v>50.055999999999997</v>
      </c>
      <c r="H101" s="101">
        <v>50.033000000000001</v>
      </c>
      <c r="I101" s="101">
        <v>49.988</v>
      </c>
      <c r="J101" s="101">
        <v>49.954999999999998</v>
      </c>
      <c r="K101" s="101">
        <v>50.031999999999996</v>
      </c>
      <c r="L101" s="101">
        <v>50</v>
      </c>
      <c r="M101" s="101">
        <v>50.02</v>
      </c>
      <c r="N101" s="101">
        <v>49.98</v>
      </c>
      <c r="O101" s="101">
        <v>49.965000000000003</v>
      </c>
      <c r="P101" s="101"/>
      <c r="Q101" s="101">
        <v>50.043999999999997</v>
      </c>
      <c r="R101" s="101">
        <v>50.058999999999997</v>
      </c>
      <c r="S101" s="101">
        <v>50.058999999999997</v>
      </c>
      <c r="T101" s="101">
        <v>50.058999999999997</v>
      </c>
      <c r="U101" s="101">
        <v>50.01</v>
      </c>
      <c r="V101" s="101">
        <v>50.078000000000003</v>
      </c>
      <c r="W101" s="101">
        <v>50</v>
      </c>
      <c r="X101" s="101">
        <v>49.94</v>
      </c>
      <c r="Y101" s="101">
        <v>50.015000000000001</v>
      </c>
      <c r="Z101" s="101">
        <v>49.945</v>
      </c>
      <c r="AA101" s="101">
        <v>49.957999999999998</v>
      </c>
      <c r="AB101" s="101">
        <v>49.972999999999999</v>
      </c>
      <c r="AC101" s="101">
        <v>49.984999999999999</v>
      </c>
      <c r="AD101" s="101">
        <v>49.97</v>
      </c>
      <c r="AE101" s="101">
        <v>50.042000000000002</v>
      </c>
      <c r="AF101" s="101">
        <v>49.923999999999999</v>
      </c>
      <c r="AG101" s="102"/>
      <c r="AH101" s="47">
        <f t="shared" si="8"/>
        <v>50.078000000000003</v>
      </c>
      <c r="AI101" s="48">
        <f t="shared" si="9"/>
        <v>49.917999999999999</v>
      </c>
    </row>
    <row r="102" spans="1:37" x14ac:dyDescent="0.25">
      <c r="A102" s="103" t="s">
        <v>108</v>
      </c>
      <c r="B102" s="65">
        <v>124.9</v>
      </c>
      <c r="C102" s="65">
        <v>120</v>
      </c>
      <c r="D102" s="65">
        <v>120.8</v>
      </c>
      <c r="E102" s="65">
        <v>126.1</v>
      </c>
      <c r="F102" s="65">
        <v>122.5</v>
      </c>
      <c r="G102" s="65">
        <v>122.5</v>
      </c>
      <c r="H102" s="65">
        <v>122</v>
      </c>
      <c r="I102" s="65">
        <v>122</v>
      </c>
      <c r="J102" s="65">
        <v>122</v>
      </c>
      <c r="K102" s="65">
        <v>122</v>
      </c>
      <c r="L102" s="65">
        <v>122</v>
      </c>
      <c r="M102" s="65">
        <v>124</v>
      </c>
      <c r="N102" s="65">
        <v>126</v>
      </c>
      <c r="O102" s="65">
        <v>124.8</v>
      </c>
      <c r="P102" s="65"/>
      <c r="Q102" s="65">
        <v>123.8</v>
      </c>
      <c r="R102" s="65">
        <v>123.3</v>
      </c>
      <c r="S102" s="65">
        <v>123.3</v>
      </c>
      <c r="T102" s="65">
        <v>123.3</v>
      </c>
      <c r="U102" s="65">
        <v>123.3</v>
      </c>
      <c r="V102" s="65">
        <v>122</v>
      </c>
      <c r="W102" s="65">
        <v>122</v>
      </c>
      <c r="X102" s="65">
        <v>123.3</v>
      </c>
      <c r="Y102" s="65">
        <v>123.3</v>
      </c>
      <c r="Z102" s="65">
        <v>123</v>
      </c>
      <c r="AA102" s="65">
        <v>124.7</v>
      </c>
      <c r="AB102" s="65">
        <v>121.1</v>
      </c>
      <c r="AC102" s="65">
        <v>120.7</v>
      </c>
      <c r="AD102" s="65">
        <v>120.1</v>
      </c>
      <c r="AE102" s="65">
        <v>118.6</v>
      </c>
      <c r="AF102" s="65">
        <v>121.1</v>
      </c>
      <c r="AG102" s="104"/>
      <c r="AH102" s="47">
        <f t="shared" si="8"/>
        <v>126.1</v>
      </c>
      <c r="AI102" s="48">
        <f t="shared" si="9"/>
        <v>118.6</v>
      </c>
    </row>
    <row r="103" spans="1:37" x14ac:dyDescent="0.25">
      <c r="A103" s="103" t="s">
        <v>109</v>
      </c>
      <c r="B103" s="65">
        <v>129.4</v>
      </c>
      <c r="C103" s="65">
        <v>126.7</v>
      </c>
      <c r="D103" s="65">
        <v>127.2</v>
      </c>
      <c r="E103" s="65">
        <v>130.5</v>
      </c>
      <c r="F103" s="65">
        <v>128.30000000000001</v>
      </c>
      <c r="G103" s="65">
        <v>128.30000000000001</v>
      </c>
      <c r="H103" s="65">
        <v>127.1</v>
      </c>
      <c r="I103" s="65">
        <v>127.1</v>
      </c>
      <c r="J103" s="65">
        <v>127.1</v>
      </c>
      <c r="K103" s="65">
        <v>127.1</v>
      </c>
      <c r="L103" s="65">
        <v>127.1</v>
      </c>
      <c r="M103" s="65">
        <v>127.1</v>
      </c>
      <c r="N103" s="65">
        <v>128</v>
      </c>
      <c r="O103" s="65">
        <v>128</v>
      </c>
      <c r="P103" s="65"/>
      <c r="Q103" s="65">
        <v>127.7</v>
      </c>
      <c r="R103" s="65">
        <v>127.5</v>
      </c>
      <c r="S103" s="65">
        <v>127.5</v>
      </c>
      <c r="T103" s="65">
        <v>127.5</v>
      </c>
      <c r="U103" s="65">
        <v>127.5</v>
      </c>
      <c r="V103" s="65">
        <v>127</v>
      </c>
      <c r="W103" s="65">
        <v>127</v>
      </c>
      <c r="X103" s="65">
        <v>127</v>
      </c>
      <c r="Y103" s="65">
        <v>127</v>
      </c>
      <c r="Z103" s="65">
        <v>127</v>
      </c>
      <c r="AA103" s="65">
        <v>127.5</v>
      </c>
      <c r="AB103" s="65">
        <v>125.5</v>
      </c>
      <c r="AC103" s="65">
        <v>125.6</v>
      </c>
      <c r="AD103" s="65">
        <v>125.3</v>
      </c>
      <c r="AE103" s="65">
        <v>125.3</v>
      </c>
      <c r="AF103" s="65">
        <v>127.1</v>
      </c>
      <c r="AG103" s="104"/>
      <c r="AH103" s="47">
        <f t="shared" si="8"/>
        <v>130.5</v>
      </c>
      <c r="AI103" s="48">
        <f t="shared" si="9"/>
        <v>125.3</v>
      </c>
    </row>
    <row r="104" spans="1:37" x14ac:dyDescent="0.25">
      <c r="A104" s="103" t="s">
        <v>110</v>
      </c>
      <c r="B104" s="65">
        <v>124.1</v>
      </c>
      <c r="C104" s="65">
        <v>127</v>
      </c>
      <c r="D104" s="65">
        <v>126.3</v>
      </c>
      <c r="E104" s="65">
        <v>129.19999999999999</v>
      </c>
      <c r="F104" s="65">
        <v>125.6</v>
      </c>
      <c r="G104" s="65">
        <v>125.6</v>
      </c>
      <c r="H104" s="65">
        <v>130.5</v>
      </c>
      <c r="I104" s="65">
        <v>130.5</v>
      </c>
      <c r="J104" s="65">
        <v>130.5</v>
      </c>
      <c r="K104" s="65">
        <v>130.5</v>
      </c>
      <c r="L104" s="65">
        <v>130.5</v>
      </c>
      <c r="M104" s="65">
        <v>130.5</v>
      </c>
      <c r="N104" s="65">
        <v>131.5</v>
      </c>
      <c r="O104" s="65">
        <v>131</v>
      </c>
      <c r="P104" s="65"/>
      <c r="Q104" s="65">
        <v>127.4</v>
      </c>
      <c r="R104" s="65">
        <v>127.2</v>
      </c>
      <c r="S104" s="65">
        <v>127.2</v>
      </c>
      <c r="T104" s="65">
        <v>127.2</v>
      </c>
      <c r="U104" s="65">
        <v>127.2</v>
      </c>
      <c r="V104" s="65">
        <v>128</v>
      </c>
      <c r="W104" s="65">
        <v>128</v>
      </c>
      <c r="X104" s="65">
        <v>128</v>
      </c>
      <c r="Y104" s="65">
        <v>128</v>
      </c>
      <c r="Z104" s="65">
        <v>128</v>
      </c>
      <c r="AA104" s="65">
        <v>125.3</v>
      </c>
      <c r="AB104" s="65">
        <v>124.2</v>
      </c>
      <c r="AC104" s="65">
        <v>124.6</v>
      </c>
      <c r="AD104" s="65">
        <v>124.3</v>
      </c>
      <c r="AE104" s="65">
        <v>125.3</v>
      </c>
      <c r="AF104" s="65">
        <v>126.1</v>
      </c>
      <c r="AG104" s="104"/>
      <c r="AH104" s="47">
        <f t="shared" si="8"/>
        <v>131.5</v>
      </c>
      <c r="AI104" s="48">
        <f t="shared" si="9"/>
        <v>124.1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>
        <v>131.1</v>
      </c>
      <c r="C106" s="106">
        <v>132.1</v>
      </c>
      <c r="D106" s="106">
        <v>132.30000000000001</v>
      </c>
      <c r="E106" s="106">
        <v>133.80000000000001</v>
      </c>
      <c r="F106" s="106">
        <v>131.69999999999999</v>
      </c>
      <c r="G106" s="106">
        <v>131.69999999999999</v>
      </c>
      <c r="H106" s="106">
        <v>132.6</v>
      </c>
      <c r="I106" s="106">
        <v>132.6</v>
      </c>
      <c r="J106" s="106">
        <v>132.6</v>
      </c>
      <c r="K106" s="106">
        <v>132.6</v>
      </c>
      <c r="L106" s="106">
        <v>132.6</v>
      </c>
      <c r="M106" s="106">
        <v>132.6</v>
      </c>
      <c r="N106" s="106">
        <v>134.1</v>
      </c>
      <c r="O106" s="106">
        <v>134.30000000000001</v>
      </c>
      <c r="P106" s="106"/>
      <c r="Q106" s="106">
        <v>130.9</v>
      </c>
      <c r="R106" s="106">
        <v>131.9</v>
      </c>
      <c r="S106" s="106">
        <v>131.9</v>
      </c>
      <c r="T106" s="106">
        <v>131.9</v>
      </c>
      <c r="U106" s="106">
        <v>131.9</v>
      </c>
      <c r="V106" s="106">
        <v>131</v>
      </c>
      <c r="W106" s="106">
        <v>131</v>
      </c>
      <c r="X106" s="106">
        <v>131</v>
      </c>
      <c r="Y106" s="106">
        <v>131</v>
      </c>
      <c r="Z106" s="106">
        <v>131</v>
      </c>
      <c r="AA106" s="106">
        <v>135.19999999999999</v>
      </c>
      <c r="AB106" s="106">
        <v>131.69999999999999</v>
      </c>
      <c r="AC106" s="106">
        <v>131.80000000000001</v>
      </c>
      <c r="AD106" s="106">
        <v>131.4</v>
      </c>
      <c r="AE106" s="106">
        <v>130.4</v>
      </c>
      <c r="AF106" s="106">
        <v>131.4</v>
      </c>
      <c r="AG106" s="107"/>
      <c r="AH106" s="47">
        <f t="shared" si="8"/>
        <v>135.19999999999999</v>
      </c>
      <c r="AI106" s="48">
        <f t="shared" si="9"/>
        <v>130.4</v>
      </c>
    </row>
    <row r="107" spans="1:37" x14ac:dyDescent="0.25">
      <c r="A107" s="103" t="s">
        <v>113</v>
      </c>
      <c r="B107" s="65">
        <v>130.4</v>
      </c>
      <c r="C107" s="65">
        <v>130</v>
      </c>
      <c r="D107" s="65">
        <v>129.6</v>
      </c>
      <c r="E107" s="65">
        <v>129.9</v>
      </c>
      <c r="F107" s="65">
        <v>126.4</v>
      </c>
      <c r="G107" s="65">
        <v>126.4</v>
      </c>
      <c r="H107" s="65">
        <v>127.2</v>
      </c>
      <c r="I107" s="65">
        <v>127.2</v>
      </c>
      <c r="J107" s="65">
        <v>127.2</v>
      </c>
      <c r="K107" s="65">
        <v>127.2</v>
      </c>
      <c r="L107" s="65">
        <v>127.2</v>
      </c>
      <c r="M107" s="65">
        <v>127.2</v>
      </c>
      <c r="N107" s="65">
        <v>132.6</v>
      </c>
      <c r="O107" s="65">
        <v>132.5</v>
      </c>
      <c r="P107" s="65"/>
      <c r="Q107" s="65">
        <v>129.4</v>
      </c>
      <c r="R107" s="65">
        <v>131.69999999999999</v>
      </c>
      <c r="S107" s="65">
        <v>131.69999999999999</v>
      </c>
      <c r="T107" s="65">
        <v>131.69999999999999</v>
      </c>
      <c r="U107" s="65">
        <v>131.69999999999999</v>
      </c>
      <c r="V107" s="65">
        <v>124</v>
      </c>
      <c r="W107" s="65">
        <v>124</v>
      </c>
      <c r="X107" s="65">
        <v>124</v>
      </c>
      <c r="Y107" s="65">
        <v>124</v>
      </c>
      <c r="Z107" s="65">
        <v>124</v>
      </c>
      <c r="AA107" s="65">
        <v>126</v>
      </c>
      <c r="AB107" s="65">
        <v>130.5</v>
      </c>
      <c r="AC107" s="65">
        <v>130.80000000000001</v>
      </c>
      <c r="AD107" s="65">
        <v>131.4</v>
      </c>
      <c r="AE107" s="65">
        <v>130.69999999999999</v>
      </c>
      <c r="AF107" s="65">
        <v>131.6</v>
      </c>
      <c r="AG107" s="104"/>
      <c r="AH107" s="47">
        <f t="shared" si="8"/>
        <v>132.6</v>
      </c>
      <c r="AI107" s="48">
        <f t="shared" si="9"/>
        <v>124</v>
      </c>
    </row>
    <row r="108" spans="1:37" ht="15.75" thickBot="1" x14ac:dyDescent="0.3">
      <c r="A108" s="103" t="s">
        <v>114</v>
      </c>
      <c r="B108" s="92">
        <v>64.900000000000006</v>
      </c>
      <c r="C108" s="92">
        <v>63.5</v>
      </c>
      <c r="D108" s="92">
        <v>63.7</v>
      </c>
      <c r="E108" s="92">
        <v>65.5</v>
      </c>
      <c r="F108" s="92">
        <v>64.400000000000006</v>
      </c>
      <c r="G108" s="92">
        <v>64.400000000000006</v>
      </c>
      <c r="H108" s="92">
        <v>63.8</v>
      </c>
      <c r="I108" s="92">
        <v>63.8</v>
      </c>
      <c r="J108" s="92">
        <v>63.8</v>
      </c>
      <c r="K108" s="92">
        <v>63.8</v>
      </c>
      <c r="L108" s="92">
        <v>63.8</v>
      </c>
      <c r="M108" s="92">
        <v>63.8</v>
      </c>
      <c r="N108" s="92">
        <v>64.3</v>
      </c>
      <c r="O108" s="92">
        <v>64.3</v>
      </c>
      <c r="P108" s="92"/>
      <c r="Q108" s="92">
        <v>64.3</v>
      </c>
      <c r="R108" s="92">
        <v>64.2</v>
      </c>
      <c r="S108" s="92">
        <v>64.2</v>
      </c>
      <c r="T108" s="92">
        <v>64.2</v>
      </c>
      <c r="U108" s="92">
        <v>64.2</v>
      </c>
      <c r="V108" s="92">
        <v>63.8</v>
      </c>
      <c r="W108" s="92">
        <v>63.8</v>
      </c>
      <c r="X108" s="92">
        <v>63.9</v>
      </c>
      <c r="Y108" s="92">
        <v>63.9</v>
      </c>
      <c r="Z108" s="92">
        <v>63.9</v>
      </c>
      <c r="AA108" s="92">
        <v>63.8</v>
      </c>
      <c r="AB108" s="92">
        <v>63.1</v>
      </c>
      <c r="AC108" s="92">
        <v>63.2</v>
      </c>
      <c r="AD108" s="92">
        <v>63</v>
      </c>
      <c r="AE108" s="92">
        <v>63.5</v>
      </c>
      <c r="AF108" s="92">
        <v>64</v>
      </c>
      <c r="AG108" s="108"/>
      <c r="AH108" s="47">
        <f t="shared" si="8"/>
        <v>65.5</v>
      </c>
      <c r="AI108" s="48">
        <f t="shared" si="9"/>
        <v>63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>SUM(B20,B26,B29:B30,B58,B60:B61,B63,B65,B111:B115,B138,B144,B150,B159,B161,B173,B180,B183:B184,B191,B193,B195,B199:B201,B203:B205,B210,B216:B217,B219:B221,B229,B234)</f>
        <v>99.800000000000011</v>
      </c>
      <c r="C110" s="111">
        <f t="shared" ref="C110:O110" si="15">SUM(C20,C26,C29:C30,C58,C60:C61,C63,C65,C111:C115,C138,C144,C150,C159,C161,C173,C180,C183:C184,C191,C193,C195,C199:C201,C203:C205,C210,C216:C217,C219:C221,C229,C234)</f>
        <v>82.14</v>
      </c>
      <c r="D110" s="111">
        <f t="shared" si="15"/>
        <v>75.04000000000002</v>
      </c>
      <c r="E110" s="111">
        <f t="shared" si="15"/>
        <v>76.740000000000009</v>
      </c>
      <c r="F110" s="111">
        <f t="shared" si="15"/>
        <v>71.440000000000012</v>
      </c>
      <c r="G110" s="111">
        <f t="shared" si="15"/>
        <v>95.44</v>
      </c>
      <c r="H110" s="111">
        <f t="shared" si="15"/>
        <v>109.83999999999999</v>
      </c>
      <c r="I110" s="111">
        <f t="shared" si="15"/>
        <v>139.44000000000003</v>
      </c>
      <c r="J110" s="111">
        <f t="shared" si="15"/>
        <v>161.73999999999998</v>
      </c>
      <c r="K110" s="111">
        <f t="shared" si="15"/>
        <v>180.54000000000002</v>
      </c>
      <c r="L110" s="111">
        <f t="shared" si="15"/>
        <v>180.54000000000002</v>
      </c>
      <c r="M110" s="111">
        <f t="shared" si="15"/>
        <v>180.54000000000002</v>
      </c>
      <c r="N110" s="111">
        <f t="shared" si="15"/>
        <v>217.04000000000002</v>
      </c>
      <c r="O110" s="111">
        <f t="shared" si="15"/>
        <v>238.64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232.5</v>
      </c>
      <c r="R110" s="111">
        <f t="shared" si="16"/>
        <v>174.8</v>
      </c>
      <c r="S110" s="111">
        <f t="shared" si="16"/>
        <v>202.4</v>
      </c>
      <c r="T110" s="111">
        <f t="shared" si="16"/>
        <v>186.4</v>
      </c>
      <c r="U110" s="111">
        <f t="shared" si="16"/>
        <v>194.3</v>
      </c>
      <c r="V110" s="111">
        <f t="shared" si="16"/>
        <v>195.5</v>
      </c>
      <c r="W110" s="111">
        <f t="shared" si="16"/>
        <v>195.3</v>
      </c>
      <c r="X110" s="111">
        <f t="shared" si="16"/>
        <v>198.29999999999998</v>
      </c>
      <c r="Y110" s="111">
        <f t="shared" si="16"/>
        <v>223.2</v>
      </c>
      <c r="Z110" s="111">
        <f t="shared" si="16"/>
        <v>257.79999999999995</v>
      </c>
      <c r="AA110" s="111">
        <f t="shared" si="16"/>
        <v>288.7</v>
      </c>
      <c r="AB110" s="111">
        <f t="shared" si="16"/>
        <v>223.7</v>
      </c>
      <c r="AC110" s="111">
        <f t="shared" si="16"/>
        <v>237.40000000000003</v>
      </c>
      <c r="AD110" s="111"/>
      <c r="AE110" s="111">
        <f t="shared" si="16"/>
        <v>165.5</v>
      </c>
      <c r="AF110" s="111">
        <f t="shared" si="16"/>
        <v>123</v>
      </c>
      <c r="AG110" s="112"/>
      <c r="AH110" s="47">
        <f t="shared" si="8"/>
        <v>288.7</v>
      </c>
      <c r="AI110" s="48">
        <f t="shared" si="9"/>
        <v>42</v>
      </c>
    </row>
    <row r="111" spans="1:37" x14ac:dyDescent="0.25">
      <c r="A111" s="100" t="s">
        <v>117</v>
      </c>
      <c r="B111" s="113">
        <v>33</v>
      </c>
      <c r="C111" s="113">
        <v>34.5</v>
      </c>
      <c r="D111" s="113">
        <v>33.299999999999997</v>
      </c>
      <c r="E111" s="113">
        <v>31.5</v>
      </c>
      <c r="F111" s="113">
        <v>32.9</v>
      </c>
      <c r="G111" s="113">
        <v>33.200000000000003</v>
      </c>
      <c r="H111" s="113">
        <v>36.6</v>
      </c>
      <c r="I111" s="113">
        <v>35.799999999999997</v>
      </c>
      <c r="J111" s="113">
        <v>27.2</v>
      </c>
      <c r="K111" s="113">
        <v>26.3</v>
      </c>
      <c r="L111" s="113">
        <v>26.3</v>
      </c>
      <c r="M111" s="113">
        <v>26.3</v>
      </c>
      <c r="N111" s="113">
        <v>30</v>
      </c>
      <c r="O111" s="113">
        <v>40.1</v>
      </c>
      <c r="P111" s="113"/>
      <c r="Q111" s="113">
        <v>41.7</v>
      </c>
      <c r="R111" s="113">
        <v>33.4</v>
      </c>
      <c r="S111" s="113">
        <v>33.4</v>
      </c>
      <c r="T111" s="113">
        <v>35.799999999999997</v>
      </c>
      <c r="U111" s="113">
        <v>26.3</v>
      </c>
      <c r="V111" s="113">
        <v>33.6</v>
      </c>
      <c r="W111" s="113">
        <v>25.2</v>
      </c>
      <c r="X111" s="113">
        <v>21.1</v>
      </c>
      <c r="Y111" s="113">
        <v>24.4</v>
      </c>
      <c r="Z111" s="113">
        <v>44.4</v>
      </c>
      <c r="AA111" s="113">
        <v>36</v>
      </c>
      <c r="AB111" s="113">
        <v>63.3</v>
      </c>
      <c r="AC111" s="113">
        <v>57.4</v>
      </c>
      <c r="AD111" s="113">
        <v>37.799999999999997</v>
      </c>
      <c r="AE111" s="113">
        <v>41.9</v>
      </c>
      <c r="AF111" s="113">
        <v>51.2</v>
      </c>
      <c r="AG111" s="114">
        <v>75</v>
      </c>
      <c r="AH111" s="47">
        <f t="shared" si="8"/>
        <v>63.3</v>
      </c>
      <c r="AI111" s="48">
        <f t="shared" si="9"/>
        <v>21.1</v>
      </c>
    </row>
    <row r="112" spans="1:37" x14ac:dyDescent="0.25">
      <c r="A112" s="103" t="s">
        <v>118</v>
      </c>
      <c r="B112" s="115">
        <v>59.5</v>
      </c>
      <c r="C112" s="115">
        <v>60.1</v>
      </c>
      <c r="D112" s="115">
        <v>57.1</v>
      </c>
      <c r="E112" s="115">
        <v>56.9</v>
      </c>
      <c r="F112" s="115">
        <v>58.6</v>
      </c>
      <c r="G112" s="115">
        <v>58.6</v>
      </c>
      <c r="H112" s="115">
        <v>61.8</v>
      </c>
      <c r="I112" s="115">
        <v>59.5</v>
      </c>
      <c r="J112" s="115">
        <v>45.2</v>
      </c>
      <c r="K112" s="115">
        <v>43.8</v>
      </c>
      <c r="L112" s="115">
        <v>43.8</v>
      </c>
      <c r="M112" s="115">
        <v>43.8</v>
      </c>
      <c r="N112" s="115">
        <v>59</v>
      </c>
      <c r="O112" s="115">
        <v>64</v>
      </c>
      <c r="P112" s="115"/>
      <c r="Q112" s="115">
        <v>70</v>
      </c>
      <c r="R112" s="115">
        <v>58.5</v>
      </c>
      <c r="S112" s="115">
        <v>58.5</v>
      </c>
      <c r="T112" s="115">
        <v>61</v>
      </c>
      <c r="U112" s="115">
        <v>47.3</v>
      </c>
      <c r="V112" s="115">
        <v>58.4</v>
      </c>
      <c r="W112" s="115">
        <v>46.2</v>
      </c>
      <c r="X112" s="115">
        <v>38.700000000000003</v>
      </c>
      <c r="Y112" s="115">
        <v>42.8</v>
      </c>
      <c r="Z112" s="115">
        <v>63.7</v>
      </c>
      <c r="AA112" s="115">
        <v>52.8</v>
      </c>
      <c r="AB112" s="115">
        <v>94.5</v>
      </c>
      <c r="AC112" s="115">
        <v>86.3</v>
      </c>
      <c r="AD112" s="115">
        <v>61.6</v>
      </c>
      <c r="AE112" s="115">
        <v>72.2</v>
      </c>
      <c r="AF112" s="115">
        <v>86.4</v>
      </c>
      <c r="AG112" s="114">
        <v>240</v>
      </c>
      <c r="AH112" s="47">
        <f t="shared" si="8"/>
        <v>94.5</v>
      </c>
      <c r="AI112" s="48">
        <f t="shared" si="9"/>
        <v>38.700000000000003</v>
      </c>
    </row>
    <row r="113" spans="1:37" x14ac:dyDescent="0.25">
      <c r="A113" s="103" t="s">
        <v>119</v>
      </c>
      <c r="B113" s="115">
        <f>-55.7-59.4</f>
        <v>-115.1</v>
      </c>
      <c r="C113" s="115">
        <f>-62.9-68.7</f>
        <v>-131.6</v>
      </c>
      <c r="D113" s="115">
        <f>-64.5-68</f>
        <v>-132.5</v>
      </c>
      <c r="E113" s="115">
        <f>-63.6-67.6</f>
        <v>-131.19999999999999</v>
      </c>
      <c r="F113" s="115">
        <v>-134</v>
      </c>
      <c r="G113" s="115">
        <v>-111</v>
      </c>
      <c r="H113" s="115">
        <v>-105</v>
      </c>
      <c r="I113" s="115">
        <v>-119</v>
      </c>
      <c r="J113" s="115">
        <v>-85.6</v>
      </c>
      <c r="K113" s="115">
        <v>-91.2</v>
      </c>
      <c r="L113" s="115">
        <v>-91.2</v>
      </c>
      <c r="M113" s="115">
        <v>-91.2</v>
      </c>
      <c r="N113" s="115">
        <v>-85</v>
      </c>
      <c r="O113" s="115">
        <v>-80</v>
      </c>
      <c r="P113" s="115"/>
      <c r="Q113" s="115">
        <v>-82</v>
      </c>
      <c r="R113" s="115">
        <v>-99.6</v>
      </c>
      <c r="S113" s="115">
        <v>-99.6</v>
      </c>
      <c r="T113" s="115">
        <v>-112.6</v>
      </c>
      <c r="U113" s="115">
        <v>-95.3</v>
      </c>
      <c r="V113" s="115">
        <v>-98</v>
      </c>
      <c r="W113" s="115">
        <v>-79</v>
      </c>
      <c r="X113" s="115">
        <v>-74</v>
      </c>
      <c r="Y113" s="115">
        <v>-64</v>
      </c>
      <c r="Z113" s="115">
        <v>-74</v>
      </c>
      <c r="AA113" s="115">
        <v>-47</v>
      </c>
      <c r="AB113" s="115">
        <v>-130</v>
      </c>
      <c r="AC113" s="115">
        <v>-124</v>
      </c>
      <c r="AD113" s="115">
        <v>-118</v>
      </c>
      <c r="AE113" s="115">
        <v>-151</v>
      </c>
      <c r="AF113" s="115">
        <v>-185</v>
      </c>
      <c r="AG113" s="114">
        <v>240</v>
      </c>
      <c r="AH113" s="47">
        <f t="shared" si="8"/>
        <v>-47</v>
      </c>
      <c r="AI113" s="48">
        <f t="shared" si="9"/>
        <v>-185</v>
      </c>
    </row>
    <row r="114" spans="1:37" x14ac:dyDescent="0.25">
      <c r="A114" s="103" t="s">
        <v>120</v>
      </c>
      <c r="B114" s="115">
        <v>-14.6</v>
      </c>
      <c r="C114" s="115">
        <v>-18.3</v>
      </c>
      <c r="D114" s="115">
        <v>-19.600000000000001</v>
      </c>
      <c r="E114" s="115">
        <v>-17.899999999999999</v>
      </c>
      <c r="F114" s="115">
        <v>-15.8</v>
      </c>
      <c r="G114" s="115">
        <v>-15.1</v>
      </c>
      <c r="H114" s="115">
        <v>-13.3</v>
      </c>
      <c r="I114" s="115">
        <v>-13</v>
      </c>
      <c r="J114" s="115">
        <v>-8.9</v>
      </c>
      <c r="K114" s="115">
        <v>-8.1999999999999993</v>
      </c>
      <c r="L114" s="115">
        <v>-8.1999999999999993</v>
      </c>
      <c r="M114" s="115">
        <v>-8.1999999999999993</v>
      </c>
      <c r="N114" s="115">
        <v>1.5</v>
      </c>
      <c r="O114" s="115">
        <v>2.2000000000000002</v>
      </c>
      <c r="P114" s="115"/>
      <c r="Q114" s="115">
        <v>-2.7</v>
      </c>
      <c r="R114" s="115">
        <v>2.4</v>
      </c>
      <c r="S114" s="115">
        <v>2.4</v>
      </c>
      <c r="T114" s="115">
        <v>-5.6</v>
      </c>
      <c r="U114" s="115">
        <v>-6.9</v>
      </c>
      <c r="V114" s="115">
        <v>-1.2</v>
      </c>
      <c r="W114" s="115">
        <v>-6</v>
      </c>
      <c r="X114" s="115">
        <v>-1.4</v>
      </c>
      <c r="Y114" s="115">
        <v>1.4</v>
      </c>
      <c r="Z114" s="115">
        <v>7.2</v>
      </c>
      <c r="AA114" s="115">
        <v>19.8</v>
      </c>
      <c r="AB114" s="115">
        <v>-6</v>
      </c>
      <c r="AC114" s="115">
        <v>-7</v>
      </c>
      <c r="AD114" s="115">
        <v>-8</v>
      </c>
      <c r="AE114" s="115">
        <v>-15</v>
      </c>
      <c r="AF114" s="115">
        <v>-20</v>
      </c>
      <c r="AG114" s="114">
        <v>60</v>
      </c>
      <c r="AH114" s="47">
        <f t="shared" si="8"/>
        <v>19.8</v>
      </c>
      <c r="AI114" s="48">
        <f t="shared" si="9"/>
        <v>-20</v>
      </c>
    </row>
    <row r="115" spans="1:37" x14ac:dyDescent="0.25">
      <c r="A115" s="116" t="s">
        <v>121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46.4</v>
      </c>
      <c r="J115" s="117">
        <v>54.1</v>
      </c>
      <c r="K115" s="117">
        <v>80.099999999999994</v>
      </c>
      <c r="L115" s="117">
        <v>80.099999999999994</v>
      </c>
      <c r="M115" s="117">
        <v>80.099999999999994</v>
      </c>
      <c r="N115" s="117">
        <v>81.8</v>
      </c>
      <c r="O115" s="117">
        <v>82.6</v>
      </c>
      <c r="P115" s="117"/>
      <c r="Q115" s="117">
        <v>77.7</v>
      </c>
      <c r="R115" s="117">
        <v>82.5</v>
      </c>
      <c r="S115" s="117">
        <v>82.5</v>
      </c>
      <c r="T115" s="117">
        <v>82.6</v>
      </c>
      <c r="U115" s="117">
        <v>97.7</v>
      </c>
      <c r="V115" s="117">
        <v>77.5</v>
      </c>
      <c r="W115" s="117">
        <v>83.7</v>
      </c>
      <c r="X115" s="117">
        <v>92.5</v>
      </c>
      <c r="Y115" s="117">
        <v>97.2</v>
      </c>
      <c r="Z115" s="117">
        <v>95.1</v>
      </c>
      <c r="AA115" s="117">
        <v>105.7</v>
      </c>
      <c r="AB115" s="117">
        <v>80.5</v>
      </c>
      <c r="AC115" s="117">
        <v>84.3</v>
      </c>
      <c r="AD115" s="117">
        <v>87.4</v>
      </c>
      <c r="AE115" s="117">
        <v>77</v>
      </c>
      <c r="AF115" s="117">
        <v>50</v>
      </c>
      <c r="AG115" s="118">
        <v>120</v>
      </c>
      <c r="AH115" s="47">
        <f t="shared" si="8"/>
        <v>105.7</v>
      </c>
      <c r="AI115" s="48">
        <f t="shared" si="9"/>
        <v>0</v>
      </c>
    </row>
    <row r="116" spans="1:37" x14ac:dyDescent="0.25">
      <c r="A116" s="116" t="s">
        <v>122</v>
      </c>
      <c r="B116" s="117">
        <v>89.7</v>
      </c>
      <c r="C116" s="117">
        <v>76.5</v>
      </c>
      <c r="D116" s="117">
        <v>78.599999999999994</v>
      </c>
      <c r="E116" s="117">
        <v>81</v>
      </c>
      <c r="F116" s="117">
        <v>76.5</v>
      </c>
      <c r="G116" s="117">
        <v>95.3</v>
      </c>
      <c r="H116" s="117">
        <v>94.6</v>
      </c>
      <c r="I116" s="117">
        <v>81.099999999999994</v>
      </c>
      <c r="J116" s="117">
        <v>67.599999999999994</v>
      </c>
      <c r="K116" s="117">
        <v>97.7</v>
      </c>
      <c r="L116" s="117">
        <v>97.7</v>
      </c>
      <c r="M116" s="117">
        <v>97.7</v>
      </c>
      <c r="N116" s="117">
        <v>70</v>
      </c>
      <c r="O116" s="117">
        <v>62.9</v>
      </c>
      <c r="P116" s="117"/>
      <c r="Q116" s="117">
        <v>78</v>
      </c>
      <c r="R116" s="117">
        <v>86.5</v>
      </c>
      <c r="S116" s="117">
        <v>86.5</v>
      </c>
      <c r="T116" s="117">
        <v>91.9</v>
      </c>
      <c r="U116" s="117">
        <v>108.5</v>
      </c>
      <c r="V116" s="117">
        <v>90.5</v>
      </c>
      <c r="W116" s="117">
        <v>91.2</v>
      </c>
      <c r="X116" s="117">
        <v>98</v>
      </c>
      <c r="Y116" s="117">
        <v>92.4</v>
      </c>
      <c r="Z116" s="117">
        <v>92.1</v>
      </c>
      <c r="AA116" s="117">
        <v>78.7</v>
      </c>
      <c r="AB116" s="117">
        <v>72</v>
      </c>
      <c r="AC116" s="117">
        <v>78</v>
      </c>
      <c r="AD116" s="117">
        <v>78</v>
      </c>
      <c r="AE116" s="117">
        <v>78</v>
      </c>
      <c r="AF116" s="117">
        <v>61</v>
      </c>
      <c r="AG116" s="118"/>
      <c r="AH116" s="47">
        <f t="shared" si="8"/>
        <v>108.5</v>
      </c>
      <c r="AI116" s="48">
        <f t="shared" si="9"/>
        <v>61</v>
      </c>
    </row>
    <row r="117" spans="1:37" x14ac:dyDescent="0.25">
      <c r="A117" s="116" t="s">
        <v>123</v>
      </c>
      <c r="B117" s="117">
        <v>56.5</v>
      </c>
      <c r="C117" s="117">
        <v>53.5</v>
      </c>
      <c r="D117" s="117">
        <v>55.1</v>
      </c>
      <c r="E117" s="117">
        <v>56.7</v>
      </c>
      <c r="F117" s="117">
        <v>52.3</v>
      </c>
      <c r="G117" s="117">
        <v>55.8</v>
      </c>
      <c r="H117" s="117">
        <v>54.7</v>
      </c>
      <c r="I117" s="117">
        <v>55</v>
      </c>
      <c r="J117" s="117">
        <v>53.1</v>
      </c>
      <c r="K117" s="117">
        <v>47.1</v>
      </c>
      <c r="L117" s="117">
        <v>47.1</v>
      </c>
      <c r="M117" s="117">
        <v>47.1</v>
      </c>
      <c r="N117" s="117">
        <v>52</v>
      </c>
      <c r="O117" s="117">
        <v>50.9</v>
      </c>
      <c r="P117" s="117"/>
      <c r="Q117" s="117">
        <v>45.8</v>
      </c>
      <c r="R117" s="117"/>
      <c r="S117" s="117"/>
      <c r="T117" s="117">
        <v>44.7</v>
      </c>
      <c r="U117" s="117"/>
      <c r="V117" s="117">
        <v>51</v>
      </c>
      <c r="W117" s="117"/>
      <c r="X117" s="117"/>
      <c r="Y117" s="117"/>
      <c r="Z117" s="117"/>
      <c r="AA117" s="117"/>
      <c r="AB117" s="117"/>
      <c r="AC117" s="117"/>
      <c r="AD117" s="117">
        <v>34</v>
      </c>
      <c r="AE117" s="117"/>
      <c r="AF117" s="117">
        <v>39</v>
      </c>
      <c r="AG117" s="119"/>
      <c r="AH117" s="47">
        <f t="shared" si="8"/>
        <v>56.7</v>
      </c>
      <c r="AI117" s="48">
        <f t="shared" si="9"/>
        <v>34</v>
      </c>
    </row>
    <row r="118" spans="1:37" x14ac:dyDescent="0.25">
      <c r="A118" s="120" t="s">
        <v>124</v>
      </c>
      <c r="B118" s="106">
        <v>2.7</v>
      </c>
      <c r="C118" s="106">
        <v>0</v>
      </c>
      <c r="D118" s="106">
        <v>4.0999999999999996</v>
      </c>
      <c r="E118" s="106">
        <v>15.5</v>
      </c>
      <c r="F118" s="106">
        <v>13.1</v>
      </c>
      <c r="G118" s="106">
        <v>41.4</v>
      </c>
      <c r="H118" s="106">
        <v>40.200000000000003</v>
      </c>
      <c r="I118" s="106">
        <v>39.799999999999997</v>
      </c>
      <c r="J118" s="106">
        <v>46.1</v>
      </c>
      <c r="K118" s="106">
        <v>45.1</v>
      </c>
      <c r="L118" s="106">
        <v>45.1</v>
      </c>
      <c r="M118" s="106">
        <v>45.1</v>
      </c>
      <c r="N118" s="106">
        <v>48</v>
      </c>
      <c r="O118" s="106">
        <v>49.2</v>
      </c>
      <c r="P118" s="106"/>
      <c r="Q118" s="106">
        <v>41</v>
      </c>
      <c r="R118" s="106">
        <v>38.9</v>
      </c>
      <c r="S118" s="106">
        <v>38.9</v>
      </c>
      <c r="T118" s="106">
        <v>18.600000000000001</v>
      </c>
      <c r="U118" s="106">
        <v>17.3</v>
      </c>
      <c r="V118" s="106">
        <v>7.8</v>
      </c>
      <c r="W118" s="106">
        <v>8.9</v>
      </c>
      <c r="X118" s="106">
        <v>12.6</v>
      </c>
      <c r="Y118" s="106">
        <v>10</v>
      </c>
      <c r="Z118" s="106">
        <v>-5.4</v>
      </c>
      <c r="AA118" s="106">
        <v>-11.3</v>
      </c>
      <c r="AB118" s="106">
        <v>-13</v>
      </c>
      <c r="AC118" s="106">
        <v>-14</v>
      </c>
      <c r="AD118" s="106">
        <v>-9.4</v>
      </c>
      <c r="AE118" s="106">
        <v>-5.5</v>
      </c>
      <c r="AF118" s="106">
        <v>-5</v>
      </c>
      <c r="AG118" s="119"/>
      <c r="AH118" s="47">
        <f t="shared" si="8"/>
        <v>49.2</v>
      </c>
      <c r="AI118" s="48">
        <f t="shared" si="9"/>
        <v>-14</v>
      </c>
    </row>
    <row r="119" spans="1:37" x14ac:dyDescent="0.25">
      <c r="A119" s="175" t="s">
        <v>265</v>
      </c>
      <c r="B119" s="106">
        <v>86.9</v>
      </c>
      <c r="C119" s="106">
        <v>89.7</v>
      </c>
      <c r="D119" s="106">
        <v>88.9</v>
      </c>
      <c r="E119" s="106">
        <v>92.3</v>
      </c>
      <c r="F119" s="106">
        <v>100.7</v>
      </c>
      <c r="G119" s="106">
        <v>67.099999999999994</v>
      </c>
      <c r="H119" s="106">
        <v>63.2</v>
      </c>
      <c r="I119" s="106">
        <v>80.400000000000006</v>
      </c>
      <c r="J119" s="106">
        <v>47.6</v>
      </c>
      <c r="K119" s="106">
        <v>48.4</v>
      </c>
      <c r="L119" s="106">
        <v>48.4</v>
      </c>
      <c r="M119" s="106">
        <v>48.4</v>
      </c>
      <c r="N119" s="106">
        <v>50</v>
      </c>
      <c r="O119" s="106">
        <v>51.7</v>
      </c>
      <c r="P119" s="106"/>
      <c r="Q119" s="106">
        <v>48.5</v>
      </c>
      <c r="R119" s="106">
        <v>40.9</v>
      </c>
      <c r="S119" s="106">
        <v>40.9</v>
      </c>
      <c r="T119" s="106">
        <v>51</v>
      </c>
      <c r="U119" s="106">
        <v>41.4</v>
      </c>
      <c r="V119" s="106">
        <v>45.3</v>
      </c>
      <c r="W119" s="106">
        <v>31.1</v>
      </c>
      <c r="X119" s="106">
        <v>28.1</v>
      </c>
      <c r="Y119" s="106">
        <v>25</v>
      </c>
      <c r="Z119" s="106">
        <v>29.5</v>
      </c>
      <c r="AA119" s="106">
        <v>22</v>
      </c>
      <c r="AB119" s="106">
        <v>56</v>
      </c>
      <c r="AC119" s="106">
        <v>51.5</v>
      </c>
      <c r="AD119" s="106">
        <v>50.3</v>
      </c>
      <c r="AE119" s="106">
        <v>66.099999999999994</v>
      </c>
      <c r="AF119" s="106">
        <v>87</v>
      </c>
      <c r="AG119" s="119"/>
      <c r="AH119" s="47">
        <f t="shared" si="8"/>
        <v>100.7</v>
      </c>
      <c r="AI119" s="48">
        <f t="shared" si="9"/>
        <v>22</v>
      </c>
    </row>
    <row r="120" spans="1:37" ht="15.75" thickBot="1" x14ac:dyDescent="0.3">
      <c r="A120" s="120" t="s">
        <v>125</v>
      </c>
      <c r="B120" s="106">
        <v>120.3</v>
      </c>
      <c r="C120" s="106">
        <v>112.9</v>
      </c>
      <c r="D120" s="106">
        <v>114.4</v>
      </c>
      <c r="E120" s="106">
        <v>109.3</v>
      </c>
      <c r="F120" s="106">
        <v>86.5</v>
      </c>
      <c r="G120" s="106">
        <v>61</v>
      </c>
      <c r="H120" s="106">
        <v>56.4</v>
      </c>
      <c r="I120" s="106">
        <v>60.3</v>
      </c>
      <c r="J120" s="106">
        <v>70.599999999999994</v>
      </c>
      <c r="K120" s="106">
        <v>70</v>
      </c>
      <c r="L120" s="106">
        <v>70</v>
      </c>
      <c r="M120" s="106">
        <v>70</v>
      </c>
      <c r="N120" s="106">
        <v>64.7</v>
      </c>
      <c r="O120" s="106">
        <v>62.9</v>
      </c>
      <c r="P120" s="106"/>
      <c r="Q120" s="106">
        <v>62.1</v>
      </c>
      <c r="R120" s="106">
        <v>70.8</v>
      </c>
      <c r="S120" s="106">
        <v>70.8</v>
      </c>
      <c r="T120" s="106">
        <v>67.7</v>
      </c>
      <c r="U120" s="106">
        <v>67.2</v>
      </c>
      <c r="V120" s="106">
        <v>72</v>
      </c>
      <c r="W120" s="106">
        <v>72.099999999999994</v>
      </c>
      <c r="X120" s="106">
        <v>64.5</v>
      </c>
      <c r="Y120" s="106">
        <v>70.5</v>
      </c>
      <c r="Z120" s="106">
        <v>92</v>
      </c>
      <c r="AA120" s="106">
        <v>92</v>
      </c>
      <c r="AB120" s="106">
        <v>107</v>
      </c>
      <c r="AC120" s="106">
        <v>109</v>
      </c>
      <c r="AD120" s="106">
        <v>112</v>
      </c>
      <c r="AE120" s="106">
        <v>117</v>
      </c>
      <c r="AF120" s="106">
        <v>113</v>
      </c>
      <c r="AG120" s="119"/>
      <c r="AH120" s="47">
        <f t="shared" si="8"/>
        <v>120.3</v>
      </c>
      <c r="AI120" s="48">
        <f t="shared" si="9"/>
        <v>56.4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119.19900000000008</v>
      </c>
      <c r="N231" s="128">
        <f t="shared" ca="1" si="19"/>
        <v>119.19900000000008</v>
      </c>
      <c r="O231" s="128">
        <f t="shared" ca="1" si="19"/>
        <v>119.19900000000008</v>
      </c>
      <c r="P231" s="128">
        <f t="shared" ca="1" si="19"/>
        <v>115.17900000000007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125.2590000000001</v>
      </c>
      <c r="M235" s="136">
        <f t="shared" ca="1" si="20"/>
        <v>117.21900000000008</v>
      </c>
      <c r="N235" s="136">
        <f t="shared" ca="1" si="20"/>
        <v>117.21900000000008</v>
      </c>
      <c r="O235" s="136">
        <f t="shared" ca="1" si="20"/>
        <v>121.23900000000009</v>
      </c>
      <c r="P235" s="136">
        <f t="shared" ca="1" si="20"/>
        <v>117.21900000000008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1650.6399999999999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27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2080/02/27)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2080/02/27)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1739.4399999999998</v>
      </c>
      <c r="U249" s="170">
        <f t="shared" si="21"/>
        <v>1708.3400000000001</v>
      </c>
      <c r="V249" s="170">
        <f t="shared" si="21"/>
        <v>1716.8400000000001</v>
      </c>
      <c r="W249" s="170">
        <f t="shared" si="21"/>
        <v>1618.2399999999998</v>
      </c>
      <c r="X249" s="170">
        <f t="shared" si="21"/>
        <v>1653.74</v>
      </c>
      <c r="Y249" s="170">
        <f t="shared" si="21"/>
        <v>1584.1399999999999</v>
      </c>
      <c r="Z249" s="170">
        <f t="shared" si="21"/>
        <v>1582.3400000000001</v>
      </c>
      <c r="AA249" s="170">
        <f t="shared" si="21"/>
        <v>1600.64</v>
      </c>
      <c r="AB249" s="170">
        <f t="shared" si="21"/>
        <v>1646.5400000000002</v>
      </c>
      <c r="AC249" s="170">
        <f t="shared" si="21"/>
        <v>1637.64</v>
      </c>
      <c r="AD249" s="170">
        <f t="shared" si="21"/>
        <v>1614.44</v>
      </c>
      <c r="AE249" s="170">
        <f t="shared" si="21"/>
        <v>1641.6399999999999</v>
      </c>
      <c r="AF249" s="170">
        <f t="shared" si="21"/>
        <v>1650.6399999999999</v>
      </c>
      <c r="AG249" s="170">
        <f t="shared" si="21"/>
        <v>1810.6399999999999</v>
      </c>
      <c r="AH249" s="170">
        <f t="shared" si="21"/>
        <v>3.54</v>
      </c>
      <c r="AI249" s="170">
        <f t="shared" si="21"/>
        <v>1649.84</v>
      </c>
      <c r="AJ249" s="170">
        <f t="shared" si="21"/>
        <v>1662.44</v>
      </c>
      <c r="AK249" s="170">
        <f t="shared" si="21"/>
        <v>1685.9400000000003</v>
      </c>
      <c r="AL249" s="170">
        <f t="shared" si="21"/>
        <v>1674.1400000000003</v>
      </c>
      <c r="AM249" s="170">
        <f t="shared" si="21"/>
        <v>1757.34</v>
      </c>
      <c r="AN249" s="170">
        <f t="shared" si="21"/>
        <v>1700.54</v>
      </c>
      <c r="AO249" s="170">
        <f t="shared" si="21"/>
        <v>1647.14</v>
      </c>
      <c r="AP249" s="170">
        <f t="shared" si="21"/>
        <v>1620.89</v>
      </c>
      <c r="AQ249" s="170">
        <f t="shared" si="21"/>
        <v>1637.3899999999999</v>
      </c>
      <c r="AR249" s="170">
        <f t="shared" si="21"/>
        <v>1708.14</v>
      </c>
      <c r="AS249" s="170">
        <f t="shared" si="21"/>
        <v>1832.24</v>
      </c>
      <c r="AT249" s="170">
        <f t="shared" si="21"/>
        <v>1830.24</v>
      </c>
      <c r="AU249" s="170">
        <f t="shared" si="21"/>
        <v>1805.94</v>
      </c>
      <c r="AV249" s="170">
        <f t="shared" si="21"/>
        <v>1874.8400000000001</v>
      </c>
      <c r="AW249" s="170">
        <f t="shared" si="21"/>
        <v>1837.94</v>
      </c>
      <c r="AX249" s="170">
        <f t="shared" si="21"/>
        <v>1734.94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38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M56:O56 D111:AF111 D113:AF119 P56:V57 P59:V59 P58:R58 P36:Z45 P12:AF12 E74:AF75 P14:AF17">
    <cfRule type="expression" dxfId="3401" priority="534">
      <formula>B$9&gt;=20/24</formula>
    </cfRule>
    <cfRule type="expression" dxfId="3400" priority="535">
      <formula>AND(B$9&gt;=14/24,B$9&lt;20/24)</formula>
    </cfRule>
    <cfRule type="expression" dxfId="3399" priority="536">
      <formula>AND(B$9&gt;=8/24,B$9&lt;14/24)</formula>
    </cfRule>
    <cfRule type="expression" dxfId="3398" priority="537">
      <formula>B$9&lt;8/24</formula>
    </cfRule>
  </conditionalFormatting>
  <conditionalFormatting sqref="AL4:AL6">
    <cfRule type="iconSet" priority="533">
      <iconSet iconSet="3TrafficLights2" reverse="1">
        <cfvo type="percent" val="0"/>
        <cfvo type="num" val="1"/>
        <cfvo type="num" val="1"/>
      </iconSet>
    </cfRule>
  </conditionalFormatting>
  <conditionalFormatting sqref="AG67 P55:R59 M55:O56 S56:V57 S59:V59 P36:Z45 P12:AF12 P14:AF17">
    <cfRule type="expression" dxfId="3397" priority="532">
      <formula>M12&gt;$AG12</formula>
    </cfRule>
  </conditionalFormatting>
  <conditionalFormatting sqref="A101:A111 A61:A88 A97:A99 A205:A235 A48:A59 A121:A192 A43:A44 A93:A95 A90:A91 A113:A115 A40:A41 A21:A22 A24:A34 A19 A36:A38 A12:A17">
    <cfRule type="expression" dxfId="3396" priority="531">
      <formula>$AH12=0</formula>
    </cfRule>
  </conditionalFormatting>
  <conditionalFormatting sqref="A116">
    <cfRule type="expression" dxfId="3395" priority="530">
      <formula>$AH116=0</formula>
    </cfRule>
  </conditionalFormatting>
  <conditionalFormatting sqref="AL44">
    <cfRule type="iconSet" priority="529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3394" priority="528">
      <formula>$AH47=0</formula>
    </cfRule>
  </conditionalFormatting>
  <conditionalFormatting sqref="A100">
    <cfRule type="expression" dxfId="3393" priority="527">
      <formula>$AH100=0</formula>
    </cfRule>
  </conditionalFormatting>
  <conditionalFormatting sqref="A20">
    <cfRule type="expression" dxfId="3392" priority="526">
      <formula>$AH20=0</formula>
    </cfRule>
  </conditionalFormatting>
  <conditionalFormatting sqref="A199:A204">
    <cfRule type="expression" dxfId="3391" priority="525">
      <formula>$AH199=0</formula>
    </cfRule>
  </conditionalFormatting>
  <conditionalFormatting sqref="A193:A198">
    <cfRule type="expression" dxfId="3390" priority="524">
      <formula>$AH193=0</formula>
    </cfRule>
  </conditionalFormatting>
  <conditionalFormatting sqref="A60">
    <cfRule type="expression" dxfId="3389" priority="523">
      <formula>$AH60=0</formula>
    </cfRule>
  </conditionalFormatting>
  <conditionalFormatting sqref="A96">
    <cfRule type="expression" dxfId="3388" priority="522">
      <formula>$AH96=0</formula>
    </cfRule>
  </conditionalFormatting>
  <conditionalFormatting sqref="AD101:AF101 E101:Y101">
    <cfRule type="expression" dxfId="3387" priority="518">
      <formula>E$9&gt;=20/24</formula>
    </cfRule>
    <cfRule type="expression" dxfId="3386" priority="519">
      <formula>AND(E$9&gt;=14/24,E$9&lt;20/24)</formula>
    </cfRule>
    <cfRule type="expression" dxfId="3385" priority="520">
      <formula>AND(E$9&gt;=8/24,E$9&lt;14/24)</formula>
    </cfRule>
    <cfRule type="expression" dxfId="3384" priority="521">
      <formula>E$9&lt;8/24</formula>
    </cfRule>
  </conditionalFormatting>
  <conditionalFormatting sqref="AL45">
    <cfRule type="iconSet" priority="5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383" priority="540">
      <formula>C$9&gt;=20/24</formula>
    </cfRule>
    <cfRule type="expression" dxfId="3382" priority="541">
      <formula>AND(C$9&gt;=14/24,C$9&lt;20/24)</formula>
    </cfRule>
    <cfRule type="expression" dxfId="3381" priority="542">
      <formula>AND(C$9&gt;=8/24,C$9&lt;14/24)</formula>
    </cfRule>
    <cfRule type="expression" dxfId="3380" priority="543">
      <formula>C$9&lt;8/24</formula>
    </cfRule>
  </conditionalFormatting>
  <conditionalFormatting sqref="A236">
    <cfRule type="expression" dxfId="3379" priority="544">
      <formula>$AH236=0</formula>
    </cfRule>
  </conditionalFormatting>
  <conditionalFormatting sqref="AG248">
    <cfRule type="expression" dxfId="3378" priority="545">
      <formula>B$9&gt;=20/24</formula>
    </cfRule>
    <cfRule type="expression" dxfId="3377" priority="546">
      <formula>AND(B$9&gt;=14/24,B$9&lt;20/24)</formula>
    </cfRule>
    <cfRule type="expression" dxfId="3376" priority="547">
      <formula>AND(B$9&gt;=8/24,B$9&lt;14/24)</formula>
    </cfRule>
    <cfRule type="expression" dxfId="3375" priority="548">
      <formula>B$9&lt;8/24</formula>
    </cfRule>
  </conditionalFormatting>
  <conditionalFormatting sqref="S8">
    <cfRule type="expression" dxfId="3374" priority="513">
      <formula>U$9&gt;=20/24</formula>
    </cfRule>
    <cfRule type="expression" dxfId="3373" priority="514">
      <formula>AND(U$9&gt;=14/24,U$9&lt;20/24)</formula>
    </cfRule>
    <cfRule type="expression" dxfId="3372" priority="515">
      <formula>AND(U$9&gt;=8/24,U$9&lt;14/24)</formula>
    </cfRule>
    <cfRule type="expression" dxfId="3371" priority="516">
      <formula>U$9&lt;8/24</formula>
    </cfRule>
  </conditionalFormatting>
  <conditionalFormatting sqref="AB8">
    <cfRule type="expression" dxfId="3370" priority="509">
      <formula>AD$9&gt;=20/24</formula>
    </cfRule>
    <cfRule type="expression" dxfId="3369" priority="510">
      <formula>AND(AD$9&gt;=14/24,AD$9&lt;20/24)</formula>
    </cfRule>
    <cfRule type="expression" dxfId="3368" priority="511">
      <formula>AND(AD$9&gt;=8/24,AD$9&lt;14/24)</formula>
    </cfRule>
    <cfRule type="expression" dxfId="3367" priority="512">
      <formula>AD$9&lt;8/24</formula>
    </cfRule>
  </conditionalFormatting>
  <conditionalFormatting sqref="AH248:AX248">
    <cfRule type="expression" dxfId="3366" priority="549">
      <formula>AG$9&gt;=20/24</formula>
    </cfRule>
    <cfRule type="expression" dxfId="3365" priority="550">
      <formula>AND(AG$9&gt;=14/24,AG$9&lt;20/24)</formula>
    </cfRule>
    <cfRule type="expression" dxfId="3364" priority="551">
      <formula>AND(AG$9&gt;=8/24,AG$9&lt;14/24)</formula>
    </cfRule>
    <cfRule type="expression" dxfId="3363" priority="552">
      <formula>AG$9&lt;8/24</formula>
    </cfRule>
  </conditionalFormatting>
  <conditionalFormatting sqref="T248">
    <cfRule type="expression" dxfId="3362" priority="553">
      <formula>AX$9&gt;=20/24</formula>
    </cfRule>
    <cfRule type="expression" dxfId="3361" priority="554">
      <formula>AND(AX$9&gt;=14/24,AX$9&lt;20/24)</formula>
    </cfRule>
    <cfRule type="expression" dxfId="3360" priority="555">
      <formula>AND(AX$9&gt;=8/24,AX$9&lt;14/24)</formula>
    </cfRule>
    <cfRule type="expression" dxfId="3359" priority="556">
      <formula>AX$9&lt;8/24</formula>
    </cfRule>
  </conditionalFormatting>
  <conditionalFormatting sqref="A117:A119">
    <cfRule type="expression" dxfId="3358" priority="508">
      <formula>$AH117=0</formula>
    </cfRule>
  </conditionalFormatting>
  <conditionalFormatting sqref="E73:AF73">
    <cfRule type="expression" dxfId="3357" priority="504">
      <formula>E$9&gt;=20/24</formula>
    </cfRule>
    <cfRule type="expression" dxfId="3356" priority="505">
      <formula>AND(E$9&gt;=14/24,E$9&lt;20/24)</formula>
    </cfRule>
    <cfRule type="expression" dxfId="3355" priority="506">
      <formula>AND(E$9&gt;=8/24,E$9&lt;14/24)</formula>
    </cfRule>
    <cfRule type="expression" dxfId="3354" priority="507">
      <formula>E$9&lt;8/24</formula>
    </cfRule>
  </conditionalFormatting>
  <conditionalFormatting sqref="M55:R55">
    <cfRule type="expression" dxfId="3353" priority="500">
      <formula>M$9&gt;=20/24</formula>
    </cfRule>
    <cfRule type="expression" dxfId="3352" priority="501">
      <formula>AND(M$9&gt;=14/24,M$9&lt;20/24)</formula>
    </cfRule>
    <cfRule type="expression" dxfId="3351" priority="502">
      <formula>AND(M$9&gt;=8/24,M$9&lt;14/24)</formula>
    </cfRule>
    <cfRule type="expression" dxfId="3350" priority="503">
      <formula>M$9&lt;8/24</formula>
    </cfRule>
  </conditionalFormatting>
  <conditionalFormatting sqref="E88:AF88 X98:AF98 AE102:AF108 X49:AF49 P102:Z108 AA69:AF71">
    <cfRule type="expression" dxfId="3349" priority="495">
      <formula>E$9&gt;=20/24</formula>
    </cfRule>
    <cfRule type="expression" dxfId="3348" priority="496">
      <formula>AND(E$9&gt;=14/24,E$9&lt;20/24)</formula>
    </cfRule>
    <cfRule type="expression" dxfId="3347" priority="497">
      <formula>AND(E$9&gt;=8/24,E$9&lt;14/24)</formula>
    </cfRule>
    <cfRule type="expression" dxfId="3346" priority="498">
      <formula>E$9&lt;8/24</formula>
    </cfRule>
  </conditionalFormatting>
  <conditionalFormatting sqref="X49:AF49 AA69:AF71">
    <cfRule type="expression" dxfId="3345" priority="494">
      <formula>X49&gt;$AG49</formula>
    </cfRule>
  </conditionalFormatting>
  <conditionalFormatting sqref="S55:Y55 S58:V58 W56:Y59 Z55:Z59 AA55:AF60">
    <cfRule type="expression" dxfId="3344" priority="490">
      <formula>S$9&gt;=20/24</formula>
    </cfRule>
    <cfRule type="expression" dxfId="3343" priority="491">
      <formula>AND(S$9&gt;=14/24,S$9&lt;20/24)</formula>
    </cfRule>
    <cfRule type="expression" dxfId="3342" priority="492">
      <formula>AND(S$9&gt;=8/24,S$9&lt;14/24)</formula>
    </cfRule>
    <cfRule type="expression" dxfId="3341" priority="493">
      <formula>S$9&lt;8/24</formula>
    </cfRule>
  </conditionalFormatting>
  <conditionalFormatting sqref="S55:Y55 S58:V58 W56:Y59 Z55:Z59 AA55:AF60">
    <cfRule type="expression" dxfId="3340" priority="489">
      <formula>S55&gt;$AG55</formula>
    </cfRule>
  </conditionalFormatting>
  <conditionalFormatting sqref="C99:AF99 K90:AF90">
    <cfRule type="expression" dxfId="3339" priority="485">
      <formula>C$9&gt;=20/24</formula>
    </cfRule>
    <cfRule type="expression" dxfId="3338" priority="486">
      <formula>AND(C$9&gt;=14/24,C$9&lt;20/24)</formula>
    </cfRule>
    <cfRule type="expression" dxfId="3337" priority="487">
      <formula>AND(C$9&gt;=8/24,C$9&lt;14/24)</formula>
    </cfRule>
    <cfRule type="expression" dxfId="3336" priority="488">
      <formula>C$9&lt;8/24</formula>
    </cfRule>
  </conditionalFormatting>
  <conditionalFormatting sqref="T49:W49">
    <cfRule type="expression" dxfId="3335" priority="481">
      <formula>T$9&gt;=20/24</formula>
    </cfRule>
    <cfRule type="expression" dxfId="3334" priority="482">
      <formula>AND(T$9&gt;=14/24,T$9&lt;20/24)</formula>
    </cfRule>
    <cfRule type="expression" dxfId="3333" priority="483">
      <formula>AND(T$9&gt;=8/24,T$9&lt;14/24)</formula>
    </cfRule>
    <cfRule type="expression" dxfId="3332" priority="484">
      <formula>T$9&lt;8/24</formula>
    </cfRule>
  </conditionalFormatting>
  <conditionalFormatting sqref="T49:W49">
    <cfRule type="expression" dxfId="3331" priority="480">
      <formula>T49&gt;$AG49</formula>
    </cfRule>
  </conditionalFormatting>
  <conditionalFormatting sqref="F56:L57 M57:O57">
    <cfRule type="expression" dxfId="3330" priority="476">
      <formula>F$9&gt;=20/24</formula>
    </cfRule>
    <cfRule type="expression" dxfId="3329" priority="477">
      <formula>AND(F$9&gt;=14/24,F$9&lt;20/24)</formula>
    </cfRule>
    <cfRule type="expression" dxfId="3328" priority="478">
      <formula>AND(F$9&gt;=8/24,F$9&lt;14/24)</formula>
    </cfRule>
    <cfRule type="expression" dxfId="3327" priority="479">
      <formula>F$9&lt;8/24</formula>
    </cfRule>
  </conditionalFormatting>
  <conditionalFormatting sqref="F55:L55">
    <cfRule type="expression" dxfId="3326" priority="472">
      <formula>F$9&gt;=20/24</formula>
    </cfRule>
    <cfRule type="expression" dxfId="3325" priority="473">
      <formula>AND(F$9&gt;=14/24,F$9&lt;20/24)</formula>
    </cfRule>
    <cfRule type="expression" dxfId="3324" priority="474">
      <formula>AND(F$9&gt;=8/24,F$9&lt;14/24)</formula>
    </cfRule>
    <cfRule type="expression" dxfId="3323" priority="475">
      <formula>F$9&lt;8/24</formula>
    </cfRule>
  </conditionalFormatting>
  <conditionalFormatting sqref="F55:L57 M57:O57">
    <cfRule type="expression" dxfId="3322" priority="471">
      <formula>F55&gt;$AG55</formula>
    </cfRule>
  </conditionalFormatting>
  <conditionalFormatting sqref="AG72 AG89 E102:O108">
    <cfRule type="expression" dxfId="3321" priority="467">
      <formula>E$9&gt;=20/24</formula>
    </cfRule>
    <cfRule type="expression" dxfId="3320" priority="468">
      <formula>AND(E$9&gt;=14/24,E$9&lt;20/24)</formula>
    </cfRule>
    <cfRule type="expression" dxfId="3319" priority="469">
      <formula>AND(E$9&gt;=8/24,E$9&lt;14/24)</formula>
    </cfRule>
    <cfRule type="expression" dxfId="3318" priority="470">
      <formula>E$9&lt;8/24</formula>
    </cfRule>
  </conditionalFormatting>
  <conditionalFormatting sqref="AG50 AG68 AG72">
    <cfRule type="expression" dxfId="3317" priority="466">
      <formula>AG50&gt;$AG50</formula>
    </cfRule>
  </conditionalFormatting>
  <conditionalFormatting sqref="A45">
    <cfRule type="expression" dxfId="3316" priority="460">
      <formula>$AH45=0</formula>
    </cfRule>
  </conditionalFormatting>
  <conditionalFormatting sqref="X93:AF97">
    <cfRule type="expression" dxfId="3315" priority="456">
      <formula>X$9&gt;=20/24</formula>
    </cfRule>
    <cfRule type="expression" dxfId="3314" priority="457">
      <formula>AND(X$9&gt;=14/24,X$9&lt;20/24)</formula>
    </cfRule>
    <cfRule type="expression" dxfId="3313" priority="458">
      <formula>AND(X$9&gt;=8/24,X$9&lt;14/24)</formula>
    </cfRule>
    <cfRule type="expression" dxfId="3312" priority="459">
      <formula>X$9&lt;8/24</formula>
    </cfRule>
  </conditionalFormatting>
  <conditionalFormatting sqref="AL47 AL43 AL24:AL34 AL40:AL41 AL19:AL22 AL36:AL38 AL7:AL17">
    <cfRule type="iconSet" priority="557">
      <iconSet iconSet="3TrafficLights2" reverse="1">
        <cfvo type="percent" val="0"/>
        <cfvo type="num" val="1"/>
        <cfvo type="num" val="1"/>
      </iconSet>
    </cfRule>
  </conditionalFormatting>
  <conditionalFormatting sqref="F51:O51 P51:AF53">
    <cfRule type="expression" dxfId="3311" priority="452">
      <formula>F$9&gt;=20/24</formula>
    </cfRule>
    <cfRule type="expression" dxfId="3310" priority="453">
      <formula>AND(F$9&gt;=14/24,F$9&lt;20/24)</formula>
    </cfRule>
    <cfRule type="expression" dxfId="3309" priority="454">
      <formula>AND(F$9&gt;=8/24,F$9&lt;14/24)</formula>
    </cfRule>
    <cfRule type="expression" dxfId="3308" priority="455">
      <formula>F$9&lt;8/24</formula>
    </cfRule>
  </conditionalFormatting>
  <conditionalFormatting sqref="F51:O51 P51:AF53">
    <cfRule type="expression" dxfId="3307" priority="451">
      <formula>F51&gt;$AG51</formula>
    </cfRule>
  </conditionalFormatting>
  <conditionalFormatting sqref="AG54">
    <cfRule type="expression" dxfId="3306" priority="447">
      <formula>AG$9&gt;=20/24</formula>
    </cfRule>
    <cfRule type="expression" dxfId="3305" priority="448">
      <formula>AND(AG$9&gt;=14/24,AG$9&lt;20/24)</formula>
    </cfRule>
    <cfRule type="expression" dxfId="3304" priority="449">
      <formula>AND(AG$9&gt;=8/24,AG$9&lt;14/24)</formula>
    </cfRule>
    <cfRule type="expression" dxfId="3303" priority="450">
      <formula>AG$9&lt;8/24</formula>
    </cfRule>
  </conditionalFormatting>
  <conditionalFormatting sqref="AG54">
    <cfRule type="expression" dxfId="3302" priority="446">
      <formula>AG54&gt;$AG54</formula>
    </cfRule>
  </conditionalFormatting>
  <conditionalFormatting sqref="C109:AF109">
    <cfRule type="expression" dxfId="3301" priority="442">
      <formula>C$9&gt;=20/24</formula>
    </cfRule>
    <cfRule type="expression" dxfId="3300" priority="443">
      <formula>AND(C$9&gt;=14/24,C$9&lt;20/24)</formula>
    </cfRule>
    <cfRule type="expression" dxfId="3299" priority="444">
      <formula>AND(C$9&gt;=8/24,C$9&lt;14/24)</formula>
    </cfRule>
    <cfRule type="expression" dxfId="3298" priority="445">
      <formula>C$9&lt;8/24</formula>
    </cfRule>
  </conditionalFormatting>
  <conditionalFormatting sqref="AL42">
    <cfRule type="iconSet" priority="441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3297" priority="440">
      <formula>$AH42=0</formula>
    </cfRule>
  </conditionalFormatting>
  <conditionalFormatting sqref="A92">
    <cfRule type="expression" dxfId="3296" priority="438">
      <formula>$AH92=0</formula>
    </cfRule>
  </conditionalFormatting>
  <conditionalFormatting sqref="A89">
    <cfRule type="expression" dxfId="3295" priority="439">
      <formula>$AH89=0</formula>
    </cfRule>
  </conditionalFormatting>
  <conditionalFormatting sqref="D112:AF112">
    <cfRule type="expression" dxfId="3294" priority="434">
      <formula>D$9&gt;=20/24</formula>
    </cfRule>
    <cfRule type="expression" dxfId="3293" priority="435">
      <formula>AND(D$9&gt;=14/24,D$9&lt;20/24)</formula>
    </cfRule>
    <cfRule type="expression" dxfId="3292" priority="436">
      <formula>AND(D$9&gt;=8/24,D$9&lt;14/24)</formula>
    </cfRule>
    <cfRule type="expression" dxfId="3291" priority="437">
      <formula>D$9&lt;8/24</formula>
    </cfRule>
  </conditionalFormatting>
  <conditionalFormatting sqref="A112">
    <cfRule type="expression" dxfId="3290" priority="433">
      <formula>$AH112=0</formula>
    </cfRule>
  </conditionalFormatting>
  <conditionalFormatting sqref="A23">
    <cfRule type="expression" dxfId="3289" priority="431">
      <formula>$AH23=0</formula>
    </cfRule>
  </conditionalFormatting>
  <conditionalFormatting sqref="AL23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3288" priority="429">
      <formula>$AH39=0</formula>
    </cfRule>
  </conditionalFormatting>
  <conditionalFormatting sqref="AL39">
    <cfRule type="iconSet" priority="430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3287" priority="425">
      <formula>Z$9&gt;=20/24</formula>
    </cfRule>
    <cfRule type="expression" dxfId="3286" priority="426">
      <formula>AND(Z$9&gt;=14/24,Z$9&lt;20/24)</formula>
    </cfRule>
    <cfRule type="expression" dxfId="3285" priority="427">
      <formula>AND(Z$9&gt;=8/24,Z$9&lt;14/24)</formula>
    </cfRule>
    <cfRule type="expression" dxfId="3284" priority="428">
      <formula>Z$9&lt;8/24</formula>
    </cfRule>
  </conditionalFormatting>
  <conditionalFormatting sqref="AA102:AD108">
    <cfRule type="expression" dxfId="3283" priority="421">
      <formula>AA$9&gt;=20/24</formula>
    </cfRule>
    <cfRule type="expression" dxfId="3282" priority="422">
      <formula>AND(AA$9&gt;=14/24,AA$9&lt;20/24)</formula>
    </cfRule>
    <cfRule type="expression" dxfId="3281" priority="423">
      <formula>AND(AA$9&gt;=8/24,AA$9&lt;14/24)</formula>
    </cfRule>
    <cfRule type="expression" dxfId="3280" priority="424">
      <formula>AA$9&lt;8/24</formula>
    </cfRule>
  </conditionalFormatting>
  <conditionalFormatting sqref="C111 C113:C119 X27:Z27 X19:Z24 AA19:AF30 AA36:AF45 AA32:AF34">
    <cfRule type="expression" dxfId="3279" priority="417">
      <formula>C$9&gt;=20/24</formula>
    </cfRule>
    <cfRule type="expression" dxfId="3278" priority="418">
      <formula>AND(C$9&gt;=14/24,C$9&lt;20/24)</formula>
    </cfRule>
    <cfRule type="expression" dxfId="3277" priority="419">
      <formula>AND(C$9&gt;=8/24,C$9&lt;14/24)</formula>
    </cfRule>
    <cfRule type="expression" dxfId="3276" priority="420">
      <formula>C$9&lt;8/24</formula>
    </cfRule>
  </conditionalFormatting>
  <conditionalFormatting sqref="F49:S49">
    <cfRule type="expression" dxfId="3275" priority="413">
      <formula>F$9&gt;=20/24</formula>
    </cfRule>
    <cfRule type="expression" dxfId="3274" priority="414">
      <formula>AND(F$9&gt;=14/24,F$9&lt;20/24)</formula>
    </cfRule>
    <cfRule type="expression" dxfId="3273" priority="415">
      <formula>AND(F$9&gt;=8/24,F$9&lt;14/24)</formula>
    </cfRule>
    <cfRule type="expression" dxfId="3272" priority="416">
      <formula>F$9&lt;8/24</formula>
    </cfRule>
  </conditionalFormatting>
  <conditionalFormatting sqref="F49:S49 X27:Z27 X19:Z24 AA19:AF30 AA36:AF45 AA32:AF34">
    <cfRule type="expression" dxfId="3271" priority="412">
      <formula>F19&gt;$AG19</formula>
    </cfRule>
  </conditionalFormatting>
  <conditionalFormatting sqref="C101:D101">
    <cfRule type="expression" dxfId="3270" priority="408">
      <formula>C$9&gt;=20/24</formula>
    </cfRule>
    <cfRule type="expression" dxfId="3269" priority="409">
      <formula>AND(C$9&gt;=14/24,C$9&lt;20/24)</formula>
    </cfRule>
    <cfRule type="expression" dxfId="3268" priority="410">
      <formula>AND(C$9&gt;=8/24,C$9&lt;14/24)</formula>
    </cfRule>
    <cfRule type="expression" dxfId="3267" priority="411">
      <formula>C$9&lt;8/24</formula>
    </cfRule>
  </conditionalFormatting>
  <conditionalFormatting sqref="E85:AF87 C98:W98 C85:D88 J69:Z71 E76:AF78">
    <cfRule type="expression" dxfId="3266" priority="404">
      <formula>C$9&gt;=20/24</formula>
    </cfRule>
    <cfRule type="expression" dxfId="3265" priority="405">
      <formula>AND(C$9&gt;=14/24,C$9&lt;20/24)</formula>
    </cfRule>
    <cfRule type="expression" dxfId="3264" priority="406">
      <formula>AND(C$9&gt;=8/24,C$9&lt;14/24)</formula>
    </cfRule>
    <cfRule type="expression" dxfId="3263" priority="407">
      <formula>C$9&lt;8/24</formula>
    </cfRule>
  </conditionalFormatting>
  <conditionalFormatting sqref="J69:Z71">
    <cfRule type="expression" dxfId="3262" priority="403">
      <formula>J69&gt;$AG69</formula>
    </cfRule>
  </conditionalFormatting>
  <conditionalFormatting sqref="C73:D73">
    <cfRule type="expression" dxfId="3261" priority="345">
      <formula>C$9&gt;=20/24</formula>
    </cfRule>
    <cfRule type="expression" dxfId="3260" priority="346">
      <formula>AND(C$9&gt;=14/24,C$9&lt;20/24)</formula>
    </cfRule>
    <cfRule type="expression" dxfId="3259" priority="347">
      <formula>AND(C$9&gt;=8/24,C$9&lt;14/24)</formula>
    </cfRule>
    <cfRule type="expression" dxfId="3258" priority="348">
      <formula>C$9&lt;8/24</formula>
    </cfRule>
  </conditionalFormatting>
  <conditionalFormatting sqref="C72:AF72 C89:AF89 C91:AF91 C100:AF100">
    <cfRule type="expression" dxfId="3257" priority="399">
      <formula>C$9&gt;=20/24</formula>
    </cfRule>
    <cfRule type="expression" dxfId="3256" priority="400">
      <formula>AND(C$9&gt;=14/24,C$9&lt;20/24)</formula>
    </cfRule>
    <cfRule type="expression" dxfId="3255" priority="401">
      <formula>AND(C$9&gt;=8/24,C$9&lt;14/24)</formula>
    </cfRule>
    <cfRule type="expression" dxfId="3254" priority="402">
      <formula>C$9&lt;8/24</formula>
    </cfRule>
  </conditionalFormatting>
  <conditionalFormatting sqref="F67:AF68 C72:AF72">
    <cfRule type="expression" dxfId="3253" priority="398">
      <formula>C67&gt;$AG67</formula>
    </cfRule>
  </conditionalFormatting>
  <conditionalFormatting sqref="C84:AF84">
    <cfRule type="expression" dxfId="3252" priority="394">
      <formula>C$9&gt;=20/24</formula>
    </cfRule>
    <cfRule type="expression" dxfId="3251" priority="395">
      <formula>AND(C$9&gt;=14/24,C$9&lt;20/24)</formula>
    </cfRule>
    <cfRule type="expression" dxfId="3250" priority="396">
      <formula>AND(C$9&gt;=8/24,C$9&lt;14/24)</formula>
    </cfRule>
    <cfRule type="expression" dxfId="3249" priority="397">
      <formula>C$9&lt;8/24</formula>
    </cfRule>
  </conditionalFormatting>
  <conditionalFormatting sqref="C93:W97">
    <cfRule type="expression" dxfId="3248" priority="390">
      <formula>C$9&gt;=20/24</formula>
    </cfRule>
    <cfRule type="expression" dxfId="3247" priority="391">
      <formula>AND(C$9&gt;=14/24,C$9&lt;20/24)</formula>
    </cfRule>
    <cfRule type="expression" dxfId="3246" priority="392">
      <formula>AND(C$9&gt;=8/24,C$9&lt;14/24)</formula>
    </cfRule>
    <cfRule type="expression" dxfId="3245" priority="393">
      <formula>C$9&lt;8/24</formula>
    </cfRule>
  </conditionalFormatting>
  <conditionalFormatting sqref="F54:AF54">
    <cfRule type="expression" dxfId="3244" priority="386">
      <formula>F$9&gt;=20/24</formula>
    </cfRule>
    <cfRule type="expression" dxfId="3243" priority="387">
      <formula>AND(F$9&gt;=14/24,F$9&lt;20/24)</formula>
    </cfRule>
    <cfRule type="expression" dxfId="3242" priority="388">
      <formula>AND(F$9&gt;=8/24,F$9&lt;14/24)</formula>
    </cfRule>
    <cfRule type="expression" dxfId="3241" priority="389">
      <formula>F$9&lt;8/24</formula>
    </cfRule>
  </conditionalFormatting>
  <conditionalFormatting sqref="F54:AF54">
    <cfRule type="expression" dxfId="3240" priority="385">
      <formula>F54&gt;$AG54</formula>
    </cfRule>
  </conditionalFormatting>
  <conditionalFormatting sqref="C112">
    <cfRule type="expression" dxfId="3239" priority="377">
      <formula>C$9&gt;=20/24</formula>
    </cfRule>
    <cfRule type="expression" dxfId="3238" priority="378">
      <formula>AND(C$9&gt;=14/24,C$9&lt;20/24)</formula>
    </cfRule>
    <cfRule type="expression" dxfId="3237" priority="379">
      <formula>AND(C$9&gt;=8/24,C$9&lt;14/24)</formula>
    </cfRule>
    <cfRule type="expression" dxfId="3236" priority="380">
      <formula>C$9&lt;8/24</formula>
    </cfRule>
  </conditionalFormatting>
  <conditionalFormatting sqref="AA61:AF66">
    <cfRule type="expression" dxfId="3235" priority="373">
      <formula>AA$9&gt;=20/24</formula>
    </cfRule>
    <cfRule type="expression" dxfId="3234" priority="374">
      <formula>AND(AA$9&gt;=14/24,AA$9&lt;20/24)</formula>
    </cfRule>
    <cfRule type="expression" dxfId="3233" priority="375">
      <formula>AND(AA$9&gt;=8/24,AA$9&lt;14/24)</formula>
    </cfRule>
    <cfRule type="expression" dxfId="3232" priority="376">
      <formula>AA$9&lt;8/24</formula>
    </cfRule>
  </conditionalFormatting>
  <conditionalFormatting sqref="AA61:AF66">
    <cfRule type="expression" dxfId="3231" priority="372">
      <formula>AA61&gt;$AG61</formula>
    </cfRule>
  </conditionalFormatting>
  <conditionalFormatting sqref="AA47:AF47">
    <cfRule type="expression" dxfId="3230" priority="371">
      <formula>AA47&gt;$AG47</formula>
    </cfRule>
  </conditionalFormatting>
  <conditionalFormatting sqref="X13:AF13">
    <cfRule type="expression" dxfId="3229" priority="367">
      <formula>X$9&gt;=20/24</formula>
    </cfRule>
    <cfRule type="expression" dxfId="3228" priority="368">
      <formula>AND(X$9&gt;=14/24,X$9&lt;20/24)</formula>
    </cfRule>
    <cfRule type="expression" dxfId="3227" priority="369">
      <formula>AND(X$9&gt;=8/24,X$9&lt;14/24)</formula>
    </cfRule>
    <cfRule type="expression" dxfId="3226" priority="370">
      <formula>X$9&lt;8/24</formula>
    </cfRule>
  </conditionalFormatting>
  <conditionalFormatting sqref="X13:AF13">
    <cfRule type="expression" dxfId="3225" priority="366">
      <formula>X13&gt;$AG13</formula>
    </cfRule>
  </conditionalFormatting>
  <conditionalFormatting sqref="AA47:AF47">
    <cfRule type="expression" dxfId="3224" priority="362">
      <formula>AA$9&gt;=20/24</formula>
    </cfRule>
    <cfRule type="expression" dxfId="3223" priority="363">
      <formula>AND(AA$9&gt;=14/24,AA$9&lt;20/24)</formula>
    </cfRule>
    <cfRule type="expression" dxfId="3222" priority="364">
      <formula>AND(AA$9&gt;=8/24,AA$9&lt;14/24)</formula>
    </cfRule>
    <cfRule type="expression" dxfId="3221" priority="365">
      <formula>AA$9&lt;8/24</formula>
    </cfRule>
  </conditionalFormatting>
  <conditionalFormatting sqref="E79:AF83">
    <cfRule type="expression" dxfId="3220" priority="358">
      <formula>E$9&gt;=20/24</formula>
    </cfRule>
    <cfRule type="expression" dxfId="3219" priority="359">
      <formula>AND(E$9&gt;=14/24,E$9&lt;20/24)</formula>
    </cfRule>
    <cfRule type="expression" dxfId="3218" priority="360">
      <formula>AND(E$9&gt;=8/24,E$9&lt;14/24)</formula>
    </cfRule>
    <cfRule type="expression" dxfId="3217" priority="361">
      <formula>E$9&lt;8/24</formula>
    </cfRule>
  </conditionalFormatting>
  <conditionalFormatting sqref="AL80:AN80 AL86:AN86 AN81:AN82">
    <cfRule type="expression" dxfId="3216" priority="354">
      <formula>AL$9&gt;=20/24</formula>
    </cfRule>
    <cfRule type="expression" dxfId="3215" priority="355">
      <formula>AND(AL$9&gt;=14/24,AL$9&lt;20/24)</formula>
    </cfRule>
    <cfRule type="expression" dxfId="3214" priority="356">
      <formula>AND(AL$9&gt;=8/24,AL$9&lt;14/24)</formula>
    </cfRule>
    <cfRule type="expression" dxfId="3213" priority="357">
      <formula>AL$9&lt;8/24</formula>
    </cfRule>
  </conditionalFormatting>
  <conditionalFormatting sqref="AN83:AN84">
    <cfRule type="expression" dxfId="3212" priority="350">
      <formula>AN$9&gt;=20/24</formula>
    </cfRule>
    <cfRule type="expression" dxfId="3211" priority="351">
      <formula>AND(AN$9&gt;=14/24,AN$9&lt;20/24)</formula>
    </cfRule>
    <cfRule type="expression" dxfId="3210" priority="352">
      <formula>AND(AN$9&gt;=8/24,AN$9&lt;14/24)</formula>
    </cfRule>
    <cfRule type="expression" dxfId="3209" priority="353">
      <formula>AN$9&lt;8/24</formula>
    </cfRule>
  </conditionalFormatting>
  <conditionalFormatting sqref="AL81:AM85">
    <cfRule type="expression" dxfId="3208" priority="558">
      <formula>AJ$9&gt;=20/24</formula>
    </cfRule>
    <cfRule type="expression" dxfId="3207" priority="559">
      <formula>AND(AJ$9&gt;=14/24,AJ$9&lt;20/24)</formula>
    </cfRule>
    <cfRule type="expression" dxfId="3206" priority="560">
      <formula>AND(AJ$9&gt;=8/24,AJ$9&lt;14/24)</formula>
    </cfRule>
    <cfRule type="expression" dxfId="3205" priority="561">
      <formula>AJ$9&lt;8/24</formula>
    </cfRule>
  </conditionalFormatting>
  <conditionalFormatting sqref="A120">
    <cfRule type="expression" dxfId="3204" priority="349">
      <formula>$AH120=0</formula>
    </cfRule>
  </conditionalFormatting>
  <conditionalFormatting sqref="C74:D76 C102:D108">
    <cfRule type="expression" dxfId="3203" priority="336">
      <formula>C$9&gt;=20/24</formula>
    </cfRule>
    <cfRule type="expression" dxfId="3202" priority="337">
      <formula>AND(C$9&gt;=14/24,C$9&lt;20/24)</formula>
    </cfRule>
    <cfRule type="expression" dxfId="3201" priority="338">
      <formula>AND(C$9&gt;=8/24,C$9&lt;14/24)</formula>
    </cfRule>
    <cfRule type="expression" dxfId="3200" priority="339">
      <formula>C$9&lt;8/24</formula>
    </cfRule>
  </conditionalFormatting>
  <conditionalFormatting sqref="C90:J90">
    <cfRule type="expression" dxfId="3199" priority="331">
      <formula>C$9&gt;=20/24</formula>
    </cfRule>
    <cfRule type="expression" dxfId="3198" priority="332">
      <formula>AND(C$9&gt;=14/24,C$9&lt;20/24)</formula>
    </cfRule>
    <cfRule type="expression" dxfId="3197" priority="333">
      <formula>AND(C$9&gt;=8/24,C$9&lt;14/24)</formula>
    </cfRule>
    <cfRule type="expression" dxfId="3196" priority="334">
      <formula>C$9&lt;8/24</formula>
    </cfRule>
  </conditionalFormatting>
  <conditionalFormatting sqref="AA48:AF48">
    <cfRule type="expression" dxfId="3195" priority="327">
      <formula>AA$9&gt;=20/24</formula>
    </cfRule>
    <cfRule type="expression" dxfId="3194" priority="328">
      <formula>AND(AA$9&gt;=14/24,AA$9&lt;20/24)</formula>
    </cfRule>
    <cfRule type="expression" dxfId="3193" priority="329">
      <formula>AND(AA$9&gt;=8/24,AA$9&lt;14/24)</formula>
    </cfRule>
    <cfRule type="expression" dxfId="3192" priority="330">
      <formula>AA$9&lt;8/24</formula>
    </cfRule>
  </conditionalFormatting>
  <conditionalFormatting sqref="AA48:AF48">
    <cfRule type="expression" dxfId="3191" priority="326">
      <formula>AA48&gt;$AG48</formula>
    </cfRule>
  </conditionalFormatting>
  <conditionalFormatting sqref="P60:Z60">
    <cfRule type="expression" dxfId="3190" priority="322">
      <formula>P$9&gt;=20/24</formula>
    </cfRule>
    <cfRule type="expression" dxfId="3189" priority="323">
      <formula>AND(P$9&gt;=14/24,P$9&lt;20/24)</formula>
    </cfRule>
    <cfRule type="expression" dxfId="3188" priority="324">
      <formula>AND(P$9&gt;=8/24,P$9&lt;14/24)</formula>
    </cfRule>
    <cfRule type="expression" dxfId="3187" priority="325">
      <formula>P$9&lt;8/24</formula>
    </cfRule>
  </conditionalFormatting>
  <conditionalFormatting sqref="P60:Z60">
    <cfRule type="expression" dxfId="3186" priority="321">
      <formula>P60&gt;$AG60</formula>
    </cfRule>
  </conditionalFormatting>
  <conditionalFormatting sqref="C69:I71">
    <cfRule type="expression" dxfId="3185" priority="251">
      <formula>C$9&gt;=20/24</formula>
    </cfRule>
    <cfRule type="expression" dxfId="3184" priority="252">
      <formula>AND(C$9&gt;=14/24,C$9&lt;20/24)</formula>
    </cfRule>
    <cfRule type="expression" dxfId="3183" priority="253">
      <formula>AND(C$9&gt;=8/24,C$9&lt;14/24)</formula>
    </cfRule>
    <cfRule type="expression" dxfId="3182" priority="254">
      <formula>C$9&lt;8/24</formula>
    </cfRule>
  </conditionalFormatting>
  <conditionalFormatting sqref="C60:O60">
    <cfRule type="expression" dxfId="3181" priority="242">
      <formula>C$9&gt;=20/24</formula>
    </cfRule>
    <cfRule type="expression" dxfId="3180" priority="243">
      <formula>AND(C$9&gt;=14/24,C$9&lt;20/24)</formula>
    </cfRule>
    <cfRule type="expression" dxfId="3179" priority="244">
      <formula>AND(C$9&gt;=8/24,C$9&lt;14/24)</formula>
    </cfRule>
    <cfRule type="expression" dxfId="3178" priority="245">
      <formula>C$9&lt;8/24</formula>
    </cfRule>
  </conditionalFormatting>
  <conditionalFormatting sqref="C77:D78">
    <cfRule type="expression" dxfId="3177" priority="317">
      <formula>C$9&gt;=20/24</formula>
    </cfRule>
    <cfRule type="expression" dxfId="3176" priority="318">
      <formula>AND(C$9&gt;=14/24,C$9&lt;20/24)</formula>
    </cfRule>
    <cfRule type="expression" dxfId="3175" priority="319">
      <formula>AND(C$9&gt;=8/24,C$9&lt;14/24)</formula>
    </cfRule>
    <cfRule type="expression" dxfId="3174" priority="320">
      <formula>C$9&lt;8/24</formula>
    </cfRule>
  </conditionalFormatting>
  <conditionalFormatting sqref="F50:AF50">
    <cfRule type="expression" dxfId="3173" priority="316">
      <formula>F50&gt;$AG50</formula>
    </cfRule>
  </conditionalFormatting>
  <conditionalFormatting sqref="P61:Z66">
    <cfRule type="expression" dxfId="3172" priority="312">
      <formula>P$9&gt;=20/24</formula>
    </cfRule>
    <cfRule type="expression" dxfId="3171" priority="313">
      <formula>AND(P$9&gt;=14/24,P$9&lt;20/24)</formula>
    </cfRule>
    <cfRule type="expression" dxfId="3170" priority="314">
      <formula>AND(P$9&gt;=8/24,P$9&lt;14/24)</formula>
    </cfRule>
    <cfRule type="expression" dxfId="3169" priority="315">
      <formula>P$9&lt;8/24</formula>
    </cfRule>
  </conditionalFormatting>
  <conditionalFormatting sqref="P61:Z66">
    <cfRule type="expression" dxfId="3168" priority="311">
      <formula>P61&gt;$AG61</formula>
    </cfRule>
  </conditionalFormatting>
  <conditionalFormatting sqref="C79:D83">
    <cfRule type="expression" dxfId="3167" priority="307">
      <formula>C$9&gt;=20/24</formula>
    </cfRule>
    <cfRule type="expression" dxfId="3166" priority="308">
      <formula>AND(C$9&gt;=14/24,C$9&lt;20/24)</formula>
    </cfRule>
    <cfRule type="expression" dxfId="3165" priority="309">
      <formula>AND(C$9&gt;=8/24,C$9&lt;14/24)</formula>
    </cfRule>
    <cfRule type="expression" dxfId="3164" priority="310">
      <formula>C$9&lt;8/24</formula>
    </cfRule>
  </conditionalFormatting>
  <conditionalFormatting sqref="A11">
    <cfRule type="expression" dxfId="3163" priority="306">
      <formula>$AH11=0</formula>
    </cfRule>
  </conditionalFormatting>
  <conditionalFormatting sqref="AA11:AF11">
    <cfRule type="expression" dxfId="3162" priority="302">
      <formula>AA$9&gt;=20/24</formula>
    </cfRule>
    <cfRule type="expression" dxfId="3161" priority="303">
      <formula>AND(AA$9&gt;=14/24,AA$9&lt;20/24)</formula>
    </cfRule>
    <cfRule type="expression" dxfId="3160" priority="304">
      <formula>AND(AA$9&gt;=8/24,AA$9&lt;14/24)</formula>
    </cfRule>
    <cfRule type="expression" dxfId="3159" priority="305">
      <formula>AA$9&lt;8/24</formula>
    </cfRule>
  </conditionalFormatting>
  <conditionalFormatting sqref="AA11:AF11">
    <cfRule type="expression" dxfId="3158" priority="301">
      <formula>AA11&gt;$AG11</formula>
    </cfRule>
  </conditionalFormatting>
  <conditionalFormatting sqref="A18">
    <cfRule type="expression" dxfId="3157" priority="299">
      <formula>$AH18=0</formula>
    </cfRule>
  </conditionalFormatting>
  <conditionalFormatting sqref="AL18">
    <cfRule type="iconSet" priority="300">
      <iconSet iconSet="3TrafficLights2" reverse="1">
        <cfvo type="percent" val="0"/>
        <cfvo type="num" val="1"/>
        <cfvo type="num" val="1"/>
      </iconSet>
    </cfRule>
  </conditionalFormatting>
  <conditionalFormatting sqref="X18:AF18">
    <cfRule type="expression" dxfId="3156" priority="295">
      <formula>X$9&gt;=20/24</formula>
    </cfRule>
    <cfRule type="expression" dxfId="3155" priority="296">
      <formula>AND(X$9&gt;=14/24,X$9&lt;20/24)</formula>
    </cfRule>
    <cfRule type="expression" dxfId="3154" priority="297">
      <formula>AND(X$9&gt;=8/24,X$9&lt;14/24)</formula>
    </cfRule>
    <cfRule type="expression" dxfId="3153" priority="298">
      <formula>X$9&lt;8/24</formula>
    </cfRule>
  </conditionalFormatting>
  <conditionalFormatting sqref="X18:AF18">
    <cfRule type="expression" dxfId="3152" priority="294">
      <formula>X18&gt;$AG18</formula>
    </cfRule>
  </conditionalFormatting>
  <conditionalFormatting sqref="A35">
    <cfRule type="expression" dxfId="3151" priority="292">
      <formula>$AH35=0</formula>
    </cfRule>
  </conditionalFormatting>
  <conditionalFormatting sqref="AL35">
    <cfRule type="iconSet" priority="293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3150" priority="288">
      <formula>AA$9&gt;=20/24</formula>
    </cfRule>
    <cfRule type="expression" dxfId="3149" priority="289">
      <formula>AND(AA$9&gt;=14/24,AA$9&lt;20/24)</formula>
    </cfRule>
    <cfRule type="expression" dxfId="3148" priority="290">
      <formula>AND(AA$9&gt;=8/24,AA$9&lt;14/24)</formula>
    </cfRule>
    <cfRule type="expression" dxfId="3147" priority="291">
      <formula>AA$9&lt;8/24</formula>
    </cfRule>
  </conditionalFormatting>
  <conditionalFormatting sqref="AA35:AF35">
    <cfRule type="expression" dxfId="3146" priority="287">
      <formula>AA35&gt;$AG35</formula>
    </cfRule>
  </conditionalFormatting>
  <conditionalFormatting sqref="A46">
    <cfRule type="expression" dxfId="3145" priority="285">
      <formula>$AH46=0</formula>
    </cfRule>
  </conditionalFormatting>
  <conditionalFormatting sqref="AL46">
    <cfRule type="iconSet" priority="286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3144" priority="284">
      <formula>AA46&gt;$AG46</formula>
    </cfRule>
  </conditionalFormatting>
  <conditionalFormatting sqref="AA46:AF46">
    <cfRule type="expression" dxfId="3143" priority="280">
      <formula>AA$9&gt;=20/24</formula>
    </cfRule>
    <cfRule type="expression" dxfId="3142" priority="281">
      <formula>AND(AA$9&gt;=14/24,AA$9&lt;20/24)</formula>
    </cfRule>
    <cfRule type="expression" dxfId="3141" priority="282">
      <formula>AND(AA$9&gt;=8/24,AA$9&lt;14/24)</formula>
    </cfRule>
    <cfRule type="expression" dxfId="3140" priority="283">
      <formula>AA$9&lt;8/24</formula>
    </cfRule>
  </conditionalFormatting>
  <conditionalFormatting sqref="D120:AF120">
    <cfRule type="expression" dxfId="3139" priority="276">
      <formula>D$9&gt;=20/24</formula>
    </cfRule>
    <cfRule type="expression" dxfId="3138" priority="277">
      <formula>AND(D$9&gt;=14/24,D$9&lt;20/24)</formula>
    </cfRule>
    <cfRule type="expression" dxfId="3137" priority="278">
      <formula>AND(D$9&gt;=8/24,D$9&lt;14/24)</formula>
    </cfRule>
    <cfRule type="expression" dxfId="3136" priority="279">
      <formula>D$9&lt;8/24</formula>
    </cfRule>
  </conditionalFormatting>
  <conditionalFormatting sqref="C120">
    <cfRule type="expression" dxfId="3135" priority="272">
      <formula>C$9&gt;=20/24</formula>
    </cfRule>
    <cfRule type="expression" dxfId="3134" priority="273">
      <formula>AND(C$9&gt;=14/24,C$9&lt;20/24)</formula>
    </cfRule>
    <cfRule type="expression" dxfId="3133" priority="274">
      <formula>AND(C$9&gt;=8/24,C$9&lt;14/24)</formula>
    </cfRule>
    <cfRule type="expression" dxfId="3132" priority="275">
      <formula>C$9&lt;8/24</formula>
    </cfRule>
  </conditionalFormatting>
  <conditionalFormatting sqref="C56:E59 F58:O59">
    <cfRule type="expression" dxfId="3131" priority="260">
      <formula>C$9&gt;=20/24</formula>
    </cfRule>
    <cfRule type="expression" dxfId="3130" priority="261">
      <formula>AND(C$9&gt;=14/24,C$9&lt;20/24)</formula>
    </cfRule>
    <cfRule type="expression" dxfId="3129" priority="262">
      <formula>AND(C$9&gt;=8/24,C$9&lt;14/24)</formula>
    </cfRule>
    <cfRule type="expression" dxfId="3128" priority="263">
      <formula>C$9&lt;8/24</formula>
    </cfRule>
  </conditionalFormatting>
  <conditionalFormatting sqref="C55:E55">
    <cfRule type="expression" dxfId="3127" priority="256">
      <formula>C$9&gt;=20/24</formula>
    </cfRule>
    <cfRule type="expression" dxfId="3126" priority="257">
      <formula>AND(C$9&gt;=14/24,C$9&lt;20/24)</formula>
    </cfRule>
    <cfRule type="expression" dxfId="3125" priority="258">
      <formula>AND(C$9&gt;=8/24,C$9&lt;14/24)</formula>
    </cfRule>
    <cfRule type="expression" dxfId="3124" priority="259">
      <formula>C$9&lt;8/24</formula>
    </cfRule>
  </conditionalFormatting>
  <conditionalFormatting sqref="C55:E59 F58:O59">
    <cfRule type="expression" dxfId="3123" priority="255">
      <formula>C55&gt;$AG55</formula>
    </cfRule>
  </conditionalFormatting>
  <conditionalFormatting sqref="C69:I71">
    <cfRule type="expression" dxfId="3122" priority="250">
      <formula>C69&gt;$AG69</formula>
    </cfRule>
  </conditionalFormatting>
  <conditionalFormatting sqref="C60:O60">
    <cfRule type="expression" dxfId="3121" priority="241">
      <formula>C60&gt;$AG60</formula>
    </cfRule>
  </conditionalFormatting>
  <conditionalFormatting sqref="P19:W34 X25:Z26 X28:Z34 AA31:AF31">
    <cfRule type="expression" dxfId="3120" priority="220">
      <formula>P$9&gt;=20/24</formula>
    </cfRule>
    <cfRule type="expression" dxfId="3119" priority="221">
      <formula>AND(P$9&gt;=14/24,P$9&lt;20/24)</formula>
    </cfRule>
    <cfRule type="expression" dxfId="3118" priority="222">
      <formula>AND(P$9&gt;=8/24,P$9&lt;14/24)</formula>
    </cfRule>
    <cfRule type="expression" dxfId="3117" priority="223">
      <formula>P$9&lt;8/24</formula>
    </cfRule>
  </conditionalFormatting>
  <conditionalFormatting sqref="P19:W34 X25:Z26 X28:Z34 AA31:AF31">
    <cfRule type="expression" dxfId="3116" priority="219">
      <formula>P19&gt;$AG19</formula>
    </cfRule>
  </conditionalFormatting>
  <conditionalFormatting sqref="C67:E68">
    <cfRule type="expression" dxfId="3115" priority="210">
      <formula>C67&gt;$AG67</formula>
    </cfRule>
  </conditionalFormatting>
  <conditionalFormatting sqref="C54:E54">
    <cfRule type="expression" dxfId="3114" priority="202">
      <formula>C$9&gt;=20/24</formula>
    </cfRule>
    <cfRule type="expression" dxfId="3113" priority="203">
      <formula>AND(C$9&gt;=14/24,C$9&lt;20/24)</formula>
    </cfRule>
    <cfRule type="expression" dxfId="3112" priority="204">
      <formula>AND(C$9&gt;=8/24,C$9&lt;14/24)</formula>
    </cfRule>
    <cfRule type="expression" dxfId="3111" priority="205">
      <formula>C$9&lt;8/24</formula>
    </cfRule>
  </conditionalFormatting>
  <conditionalFormatting sqref="C54:E54">
    <cfRule type="expression" dxfId="3110" priority="201">
      <formula>C54&gt;$AG54</formula>
    </cfRule>
  </conditionalFormatting>
  <conditionalFormatting sqref="C61:O66">
    <cfRule type="expression" dxfId="3109" priority="193">
      <formula>C$9&gt;=20/24</formula>
    </cfRule>
    <cfRule type="expression" dxfId="3108" priority="194">
      <formula>AND(C$9&gt;=14/24,C$9&lt;20/24)</formula>
    </cfRule>
    <cfRule type="expression" dxfId="3107" priority="195">
      <formula>AND(C$9&gt;=8/24,C$9&lt;14/24)</formula>
    </cfRule>
    <cfRule type="expression" dxfId="3106" priority="196">
      <formula>C$9&lt;8/24</formula>
    </cfRule>
  </conditionalFormatting>
  <conditionalFormatting sqref="C61:O66">
    <cfRule type="expression" dxfId="3105" priority="192">
      <formula>C61&gt;$AG61</formula>
    </cfRule>
  </conditionalFormatting>
  <conditionalFormatting sqref="P47:Z47">
    <cfRule type="expression" dxfId="3104" priority="191">
      <formula>P47&gt;$AG47</formula>
    </cfRule>
  </conditionalFormatting>
  <conditionalFormatting sqref="P13:W13">
    <cfRule type="expression" dxfId="3103" priority="187">
      <formula>P$9&gt;=20/24</formula>
    </cfRule>
    <cfRule type="expression" dxfId="3102" priority="188">
      <formula>AND(P$9&gt;=14/24,P$9&lt;20/24)</formula>
    </cfRule>
    <cfRule type="expression" dxfId="3101" priority="189">
      <formula>AND(P$9&gt;=8/24,P$9&lt;14/24)</formula>
    </cfRule>
    <cfRule type="expression" dxfId="3100" priority="190">
      <formula>P$9&lt;8/24</formula>
    </cfRule>
  </conditionalFormatting>
  <conditionalFormatting sqref="P13:W13">
    <cfRule type="expression" dxfId="3099" priority="186">
      <formula>P13&gt;$AG13</formula>
    </cfRule>
  </conditionalFormatting>
  <conditionalFormatting sqref="P47:Z47">
    <cfRule type="expression" dxfId="3098" priority="182">
      <formula>P$9&gt;=20/24</formula>
    </cfRule>
    <cfRule type="expression" dxfId="3097" priority="183">
      <formula>AND(P$9&gt;=14/24,P$9&lt;20/24)</formula>
    </cfRule>
    <cfRule type="expression" dxfId="3096" priority="184">
      <formula>AND(P$9&gt;=8/24,P$9&lt;14/24)</formula>
    </cfRule>
    <cfRule type="expression" dxfId="3095" priority="185">
      <formula>P$9&lt;8/24</formula>
    </cfRule>
  </conditionalFormatting>
  <conditionalFormatting sqref="P48:Z48">
    <cfRule type="expression" dxfId="3094" priority="178">
      <formula>P$9&gt;=20/24</formula>
    </cfRule>
    <cfRule type="expression" dxfId="3093" priority="179">
      <formula>AND(P$9&gt;=14/24,P$9&lt;20/24)</formula>
    </cfRule>
    <cfRule type="expression" dxfId="3092" priority="180">
      <formula>AND(P$9&gt;=8/24,P$9&lt;14/24)</formula>
    </cfRule>
    <cfRule type="expression" dxfId="3091" priority="181">
      <formula>P$9&lt;8/24</formula>
    </cfRule>
  </conditionalFormatting>
  <conditionalFormatting sqref="P48:Z48">
    <cfRule type="expression" dxfId="3090" priority="177">
      <formula>P48&gt;$AG48</formula>
    </cfRule>
  </conditionalFormatting>
  <conditionalFormatting sqref="P11:Z11">
    <cfRule type="expression" dxfId="3089" priority="172">
      <formula>P$9&gt;=20/24</formula>
    </cfRule>
    <cfRule type="expression" dxfId="3088" priority="173">
      <formula>AND(P$9&gt;=14/24,P$9&lt;20/24)</formula>
    </cfRule>
    <cfRule type="expression" dxfId="3087" priority="174">
      <formula>AND(P$9&gt;=8/24,P$9&lt;14/24)</formula>
    </cfRule>
    <cfRule type="expression" dxfId="3086" priority="175">
      <formula>P$9&lt;8/24</formula>
    </cfRule>
  </conditionalFormatting>
  <conditionalFormatting sqref="P11:Z11">
    <cfRule type="expression" dxfId="3085" priority="171">
      <formula>P11&gt;$AG11</formula>
    </cfRule>
  </conditionalFormatting>
  <conditionalFormatting sqref="P18:W18">
    <cfRule type="expression" dxfId="3084" priority="167">
      <formula>P$9&gt;=20/24</formula>
    </cfRule>
    <cfRule type="expression" dxfId="3083" priority="168">
      <formula>AND(P$9&gt;=14/24,P$9&lt;20/24)</formula>
    </cfRule>
    <cfRule type="expression" dxfId="3082" priority="169">
      <formula>AND(P$9&gt;=8/24,P$9&lt;14/24)</formula>
    </cfRule>
    <cfRule type="expression" dxfId="3081" priority="170">
      <formula>P$9&lt;8/24</formula>
    </cfRule>
  </conditionalFormatting>
  <conditionalFormatting sqref="P18:W18">
    <cfRule type="expression" dxfId="3080" priority="166">
      <formula>P18&gt;$AG18</formula>
    </cfRule>
  </conditionalFormatting>
  <conditionalFormatting sqref="P35:Z35">
    <cfRule type="expression" dxfId="3079" priority="162">
      <formula>P$9&gt;=20/24</formula>
    </cfRule>
    <cfRule type="expression" dxfId="3078" priority="163">
      <formula>AND(P$9&gt;=14/24,P$9&lt;20/24)</formula>
    </cfRule>
    <cfRule type="expression" dxfId="3077" priority="164">
      <formula>AND(P$9&gt;=8/24,P$9&lt;14/24)</formula>
    </cfRule>
    <cfRule type="expression" dxfId="3076" priority="165">
      <formula>P$9&lt;8/24</formula>
    </cfRule>
  </conditionalFormatting>
  <conditionalFormatting sqref="P35:Z35">
    <cfRule type="expression" dxfId="3075" priority="161">
      <formula>P35&gt;$AG35</formula>
    </cfRule>
  </conditionalFormatting>
  <conditionalFormatting sqref="P46:Z46">
    <cfRule type="expression" dxfId="3074" priority="160">
      <formula>P46&gt;$AG46</formula>
    </cfRule>
  </conditionalFormatting>
  <conditionalFormatting sqref="P46:Z46">
    <cfRule type="expression" dxfId="3073" priority="156">
      <formula>P$9&gt;=20/24</formula>
    </cfRule>
    <cfRule type="expression" dxfId="3072" priority="157">
      <formula>AND(P$9&gt;=14/24,P$9&lt;20/24)</formula>
    </cfRule>
    <cfRule type="expression" dxfId="3071" priority="158">
      <formula>AND(P$9&gt;=8/24,P$9&lt;14/24)</formula>
    </cfRule>
    <cfRule type="expression" dxfId="3070" priority="159">
      <formula>P$9&lt;8/24</formula>
    </cfRule>
  </conditionalFormatting>
  <conditionalFormatting sqref="B111 B113:B119 B12:O12 B14:O17">
    <cfRule type="expression" dxfId="3069" priority="122">
      <formula>B$9&gt;=20/24</formula>
    </cfRule>
    <cfRule type="expression" dxfId="3068" priority="123">
      <formula>AND(B$9&gt;=14/24,B$9&lt;20/24)</formula>
    </cfRule>
    <cfRule type="expression" dxfId="3067" priority="124">
      <formula>AND(B$9&gt;=8/24,B$9&lt;14/24)</formula>
    </cfRule>
    <cfRule type="expression" dxfId="3066" priority="125">
      <formula>B$9&lt;8/24</formula>
    </cfRule>
  </conditionalFormatting>
  <conditionalFormatting sqref="B12:O12 B14:O17">
    <cfRule type="expression" dxfId="3065" priority="121">
      <formula>B12&gt;$AG12</formula>
    </cfRule>
  </conditionalFormatting>
  <conditionalFormatting sqref="B101">
    <cfRule type="expression" dxfId="3064" priority="117">
      <formula>B$9&gt;=20/24</formula>
    </cfRule>
    <cfRule type="expression" dxfId="3063" priority="118">
      <formula>AND(B$9&gt;=14/24,B$9&lt;20/24)</formula>
    </cfRule>
    <cfRule type="expression" dxfId="3062" priority="119">
      <formula>AND(B$9&gt;=8/24,B$9&lt;14/24)</formula>
    </cfRule>
    <cfRule type="expression" dxfId="3061" priority="120">
      <formula>B$9&lt;8/24</formula>
    </cfRule>
  </conditionalFormatting>
  <conditionalFormatting sqref="B98 B102:B108 B88 B69:B71 B74:B75 B49:E49">
    <cfRule type="expression" dxfId="3060" priority="113">
      <formula>B$9&gt;=20/24</formula>
    </cfRule>
    <cfRule type="expression" dxfId="3059" priority="114">
      <formula>AND(B$9&gt;=14/24,B$9&lt;20/24)</formula>
    </cfRule>
    <cfRule type="expression" dxfId="3058" priority="115">
      <formula>AND(B$9&gt;=8/24,B$9&lt;14/24)</formula>
    </cfRule>
    <cfRule type="expression" dxfId="3057" priority="116">
      <formula>B$9&lt;8/24</formula>
    </cfRule>
  </conditionalFormatting>
  <conditionalFormatting sqref="B69:B71 B49:E49">
    <cfRule type="expression" dxfId="3056" priority="112">
      <formula>B49&gt;$AG49</formula>
    </cfRule>
  </conditionalFormatting>
  <conditionalFormatting sqref="B55:B60">
    <cfRule type="expression" dxfId="3055" priority="108">
      <formula>B$9&gt;=20/24</formula>
    </cfRule>
    <cfRule type="expression" dxfId="3054" priority="109">
      <formula>AND(B$9&gt;=14/24,B$9&lt;20/24)</formula>
    </cfRule>
    <cfRule type="expression" dxfId="3053" priority="110">
      <formula>AND(B$9&gt;=8/24,B$9&lt;14/24)</formula>
    </cfRule>
    <cfRule type="expression" dxfId="3052" priority="111">
      <formula>B$9&lt;8/24</formula>
    </cfRule>
  </conditionalFormatting>
  <conditionalFormatting sqref="B55:B60">
    <cfRule type="expression" dxfId="3051" priority="107">
      <formula>B55&gt;$AG55</formula>
    </cfRule>
  </conditionalFormatting>
  <conditionalFormatting sqref="B99 B90">
    <cfRule type="expression" dxfId="3050" priority="103">
      <formula>B$9&gt;=20/24</formula>
    </cfRule>
    <cfRule type="expression" dxfId="3049" priority="104">
      <formula>AND(B$9&gt;=14/24,B$9&lt;20/24)</formula>
    </cfRule>
    <cfRule type="expression" dxfId="3048" priority="105">
      <formula>AND(B$9&gt;=8/24,B$9&lt;14/24)</formula>
    </cfRule>
    <cfRule type="expression" dxfId="3047" priority="106">
      <formula>B$9&lt;8/24</formula>
    </cfRule>
  </conditionalFormatting>
  <conditionalFormatting sqref="B93:B97">
    <cfRule type="expression" dxfId="3046" priority="99">
      <formula>B$9&gt;=20/24</formula>
    </cfRule>
    <cfRule type="expression" dxfId="3045" priority="100">
      <formula>AND(B$9&gt;=14/24,B$9&lt;20/24)</formula>
    </cfRule>
    <cfRule type="expression" dxfId="3044" priority="101">
      <formula>AND(B$9&gt;=8/24,B$9&lt;14/24)</formula>
    </cfRule>
    <cfRule type="expression" dxfId="3043" priority="102">
      <formula>B$9&lt;8/24</formula>
    </cfRule>
  </conditionalFormatting>
  <conditionalFormatting sqref="B51:E53 F52:O53">
    <cfRule type="expression" dxfId="3042" priority="95">
      <formula>B$9&gt;=20/24</formula>
    </cfRule>
    <cfRule type="expression" dxfId="3041" priority="96">
      <formula>AND(B$9&gt;=14/24,B$9&lt;20/24)</formula>
    </cfRule>
    <cfRule type="expression" dxfId="3040" priority="97">
      <formula>AND(B$9&gt;=8/24,B$9&lt;14/24)</formula>
    </cfRule>
    <cfRule type="expression" dxfId="3039" priority="98">
      <formula>B$9&lt;8/24</formula>
    </cfRule>
  </conditionalFormatting>
  <conditionalFormatting sqref="B51:E53 F52:O53">
    <cfRule type="expression" dxfId="3038" priority="94">
      <formula>B51&gt;$AG51</formula>
    </cfRule>
  </conditionalFormatting>
  <conditionalFormatting sqref="B109">
    <cfRule type="expression" dxfId="3037" priority="90">
      <formula>B$9&gt;=20/24</formula>
    </cfRule>
    <cfRule type="expression" dxfId="3036" priority="91">
      <formula>AND(B$9&gt;=14/24,B$9&lt;20/24)</formula>
    </cfRule>
    <cfRule type="expression" dxfId="3035" priority="92">
      <formula>AND(B$9&gt;=8/24,B$9&lt;14/24)</formula>
    </cfRule>
    <cfRule type="expression" dxfId="3034" priority="93">
      <formula>B$9&lt;8/24</formula>
    </cfRule>
  </conditionalFormatting>
  <conditionalFormatting sqref="B112">
    <cfRule type="expression" dxfId="3033" priority="86">
      <formula>B$9&gt;=20/24</formula>
    </cfRule>
    <cfRule type="expression" dxfId="3032" priority="87">
      <formula>AND(B$9&gt;=14/24,B$9&lt;20/24)</formula>
    </cfRule>
    <cfRule type="expression" dxfId="3031" priority="88">
      <formula>AND(B$9&gt;=8/24,B$9&lt;14/24)</formula>
    </cfRule>
    <cfRule type="expression" dxfId="3030" priority="89">
      <formula>B$9&lt;8/24</formula>
    </cfRule>
  </conditionalFormatting>
  <conditionalFormatting sqref="B32:O34 B19:O30 B36:O45">
    <cfRule type="expression" dxfId="3029" priority="82">
      <formula>B$9&gt;=20/24</formula>
    </cfRule>
    <cfRule type="expression" dxfId="3028" priority="83">
      <formula>AND(B$9&gt;=14/24,B$9&lt;20/24)</formula>
    </cfRule>
    <cfRule type="expression" dxfId="3027" priority="84">
      <formula>AND(B$9&gt;=8/24,B$9&lt;14/24)</formula>
    </cfRule>
    <cfRule type="expression" dxfId="3026" priority="85">
      <formula>B$9&lt;8/24</formula>
    </cfRule>
  </conditionalFormatting>
  <conditionalFormatting sqref="B32:O34 B19:O30 B36:O45">
    <cfRule type="expression" dxfId="3025" priority="81">
      <formula>B19&gt;$AG19</formula>
    </cfRule>
  </conditionalFormatting>
  <conditionalFormatting sqref="B85:B87 B76:B78">
    <cfRule type="expression" dxfId="3024" priority="77">
      <formula>B$9&gt;=20/24</formula>
    </cfRule>
    <cfRule type="expression" dxfId="3023" priority="78">
      <formula>AND(B$9&gt;=14/24,B$9&lt;20/24)</formula>
    </cfRule>
    <cfRule type="expression" dxfId="3022" priority="79">
      <formula>AND(B$9&gt;=8/24,B$9&lt;14/24)</formula>
    </cfRule>
    <cfRule type="expression" dxfId="3021" priority="80">
      <formula>B$9&lt;8/24</formula>
    </cfRule>
  </conditionalFormatting>
  <conditionalFormatting sqref="B91 B100 B89 B72">
    <cfRule type="expression" dxfId="3020" priority="73">
      <formula>B$9&gt;=20/24</formula>
    </cfRule>
    <cfRule type="expression" dxfId="3019" priority="74">
      <formula>AND(B$9&gt;=14/24,B$9&lt;20/24)</formula>
    </cfRule>
    <cfRule type="expression" dxfId="3018" priority="75">
      <formula>AND(B$9&gt;=8/24,B$9&lt;14/24)</formula>
    </cfRule>
    <cfRule type="expression" dxfId="3017" priority="76">
      <formula>B$9&lt;8/24</formula>
    </cfRule>
  </conditionalFormatting>
  <conditionalFormatting sqref="B72 B67:B68">
    <cfRule type="expression" dxfId="3016" priority="72">
      <formula>B67&gt;$AG67</formula>
    </cfRule>
  </conditionalFormatting>
  <conditionalFormatting sqref="B84">
    <cfRule type="expression" dxfId="3015" priority="68">
      <formula>B$9&gt;=20/24</formula>
    </cfRule>
    <cfRule type="expression" dxfId="3014" priority="69">
      <formula>AND(B$9&gt;=14/24,B$9&lt;20/24)</formula>
    </cfRule>
    <cfRule type="expression" dxfId="3013" priority="70">
      <formula>AND(B$9&gt;=8/24,B$9&lt;14/24)</formula>
    </cfRule>
    <cfRule type="expression" dxfId="3012" priority="71">
      <formula>B$9&lt;8/24</formula>
    </cfRule>
  </conditionalFormatting>
  <conditionalFormatting sqref="B54">
    <cfRule type="expression" dxfId="3011" priority="64">
      <formula>B$9&gt;=20/24</formula>
    </cfRule>
    <cfRule type="expression" dxfId="3010" priority="65">
      <formula>AND(B$9&gt;=14/24,B$9&lt;20/24)</formula>
    </cfRule>
    <cfRule type="expression" dxfId="3009" priority="66">
      <formula>AND(B$9&gt;=8/24,B$9&lt;14/24)</formula>
    </cfRule>
    <cfRule type="expression" dxfId="3008" priority="67">
      <formula>B$9&lt;8/24</formula>
    </cfRule>
  </conditionalFormatting>
  <conditionalFormatting sqref="B54">
    <cfRule type="expression" dxfId="3007" priority="63">
      <formula>B54&gt;$AG54</formula>
    </cfRule>
  </conditionalFormatting>
  <conditionalFormatting sqref="B61:B66">
    <cfRule type="expression" dxfId="3006" priority="55">
      <formula>B$9&gt;=20/24</formula>
    </cfRule>
    <cfRule type="expression" dxfId="3005" priority="56">
      <formula>AND(B$9&gt;=14/24,B$9&lt;20/24)</formula>
    </cfRule>
    <cfRule type="expression" dxfId="3004" priority="57">
      <formula>AND(B$9&gt;=8/24,B$9&lt;14/24)</formula>
    </cfRule>
    <cfRule type="expression" dxfId="3003" priority="58">
      <formula>B$9&lt;8/24</formula>
    </cfRule>
  </conditionalFormatting>
  <conditionalFormatting sqref="B61:B66">
    <cfRule type="expression" dxfId="3002" priority="54">
      <formula>B61&gt;$AG61</formula>
    </cfRule>
  </conditionalFormatting>
  <conditionalFormatting sqref="B47:O47">
    <cfRule type="expression" dxfId="3001" priority="53">
      <formula>B47&gt;$AG47</formula>
    </cfRule>
  </conditionalFormatting>
  <conditionalFormatting sqref="B13:O13">
    <cfRule type="expression" dxfId="3000" priority="49">
      <formula>B$9&gt;=20/24</formula>
    </cfRule>
    <cfRule type="expression" dxfId="2999" priority="50">
      <formula>AND(B$9&gt;=14/24,B$9&lt;20/24)</formula>
    </cfRule>
    <cfRule type="expression" dxfId="2998" priority="51">
      <formula>AND(B$9&gt;=8/24,B$9&lt;14/24)</formula>
    </cfRule>
    <cfRule type="expression" dxfId="2997" priority="52">
      <formula>B$9&lt;8/24</formula>
    </cfRule>
  </conditionalFormatting>
  <conditionalFormatting sqref="B13:O13">
    <cfRule type="expression" dxfId="2996" priority="48">
      <formula>B13&gt;$AG13</formula>
    </cfRule>
  </conditionalFormatting>
  <conditionalFormatting sqref="B47:O47">
    <cfRule type="expression" dxfId="2995" priority="44">
      <formula>B$9&gt;=20/24</formula>
    </cfRule>
    <cfRule type="expression" dxfId="2994" priority="45">
      <formula>AND(B$9&gt;=14/24,B$9&lt;20/24)</formula>
    </cfRule>
    <cfRule type="expression" dxfId="2993" priority="46">
      <formula>AND(B$9&gt;=8/24,B$9&lt;14/24)</formula>
    </cfRule>
    <cfRule type="expression" dxfId="2992" priority="47">
      <formula>B$9&lt;8/24</formula>
    </cfRule>
  </conditionalFormatting>
  <conditionalFormatting sqref="B79:B83">
    <cfRule type="expression" dxfId="2991" priority="40">
      <formula>B$9&gt;=20/24</formula>
    </cfRule>
    <cfRule type="expression" dxfId="2990" priority="41">
      <formula>AND(B$9&gt;=14/24,B$9&lt;20/24)</formula>
    </cfRule>
    <cfRule type="expression" dxfId="2989" priority="42">
      <formula>AND(B$9&gt;=8/24,B$9&lt;14/24)</formula>
    </cfRule>
    <cfRule type="expression" dxfId="2988" priority="43">
      <formula>B$9&lt;8/24</formula>
    </cfRule>
  </conditionalFormatting>
  <conditionalFormatting sqref="B48:O48">
    <cfRule type="expression" dxfId="2987" priority="36">
      <formula>B$9&gt;=20/24</formula>
    </cfRule>
    <cfRule type="expression" dxfId="2986" priority="37">
      <formula>AND(B$9&gt;=14/24,B$9&lt;20/24)</formula>
    </cfRule>
    <cfRule type="expression" dxfId="2985" priority="38">
      <formula>AND(B$9&gt;=8/24,B$9&lt;14/24)</formula>
    </cfRule>
    <cfRule type="expression" dxfId="2984" priority="39">
      <formula>B$9&lt;8/24</formula>
    </cfRule>
  </conditionalFormatting>
  <conditionalFormatting sqref="B48:O48">
    <cfRule type="expression" dxfId="2983" priority="35">
      <formula>B48&gt;$AG48</formula>
    </cfRule>
  </conditionalFormatting>
  <conditionalFormatting sqref="B50:E50">
    <cfRule type="expression" dxfId="2982" priority="34">
      <formula>B50&gt;$AG50</formula>
    </cfRule>
  </conditionalFormatting>
  <conditionalFormatting sqref="B11:O11">
    <cfRule type="expression" dxfId="2981" priority="30">
      <formula>B$9&gt;=20/24</formula>
    </cfRule>
    <cfRule type="expression" dxfId="2980" priority="31">
      <formula>AND(B$9&gt;=14/24,B$9&lt;20/24)</formula>
    </cfRule>
    <cfRule type="expression" dxfId="2979" priority="32">
      <formula>AND(B$9&gt;=8/24,B$9&lt;14/24)</formula>
    </cfRule>
    <cfRule type="expression" dxfId="2978" priority="33">
      <formula>B$9&lt;8/24</formula>
    </cfRule>
  </conditionalFormatting>
  <conditionalFormatting sqref="B11:O11">
    <cfRule type="expression" dxfId="2977" priority="29">
      <formula>B11&gt;$AG11</formula>
    </cfRule>
  </conditionalFormatting>
  <conditionalFormatting sqref="B18:O18">
    <cfRule type="expression" dxfId="2976" priority="25">
      <formula>B$9&gt;=20/24</formula>
    </cfRule>
    <cfRule type="expression" dxfId="2975" priority="26">
      <formula>AND(B$9&gt;=14/24,B$9&lt;20/24)</formula>
    </cfRule>
    <cfRule type="expression" dxfId="2974" priority="27">
      <formula>AND(B$9&gt;=8/24,B$9&lt;14/24)</formula>
    </cfRule>
    <cfRule type="expression" dxfId="2973" priority="28">
      <formula>B$9&lt;8/24</formula>
    </cfRule>
  </conditionalFormatting>
  <conditionalFormatting sqref="B18:O18">
    <cfRule type="expression" dxfId="2972" priority="24">
      <formula>B18&gt;$AG18</formula>
    </cfRule>
  </conditionalFormatting>
  <conditionalFormatting sqref="B35:O35">
    <cfRule type="expression" dxfId="2971" priority="20">
      <formula>B$9&gt;=20/24</formula>
    </cfRule>
    <cfRule type="expression" dxfId="2970" priority="21">
      <formula>AND(B$9&gt;=14/24,B$9&lt;20/24)</formula>
    </cfRule>
    <cfRule type="expression" dxfId="2969" priority="22">
      <formula>AND(B$9&gt;=8/24,B$9&lt;14/24)</formula>
    </cfRule>
    <cfRule type="expression" dxfId="2968" priority="23">
      <formula>B$9&lt;8/24</formula>
    </cfRule>
  </conditionalFormatting>
  <conditionalFormatting sqref="B35:O35">
    <cfRule type="expression" dxfId="2967" priority="19">
      <formula>B35&gt;$AG35</formula>
    </cfRule>
  </conditionalFormatting>
  <conditionalFormatting sqref="B46:O46">
    <cfRule type="expression" dxfId="2966" priority="18">
      <formula>B46&gt;$AG46</formula>
    </cfRule>
  </conditionalFormatting>
  <conditionalFormatting sqref="B46:O46">
    <cfRule type="expression" dxfId="2965" priority="14">
      <formula>B$9&gt;=20/24</formula>
    </cfRule>
    <cfRule type="expression" dxfId="2964" priority="15">
      <formula>AND(B$9&gt;=14/24,B$9&lt;20/24)</formula>
    </cfRule>
    <cfRule type="expression" dxfId="2963" priority="16">
      <formula>AND(B$9&gt;=8/24,B$9&lt;14/24)</formula>
    </cfRule>
    <cfRule type="expression" dxfId="2962" priority="17">
      <formula>B$9&lt;8/24</formula>
    </cfRule>
  </conditionalFormatting>
  <conditionalFormatting sqref="B120">
    <cfRule type="expression" dxfId="2961" priority="10">
      <formula>B$9&gt;=20/24</formula>
    </cfRule>
    <cfRule type="expression" dxfId="2960" priority="11">
      <formula>AND(B$9&gt;=14/24,B$9&lt;20/24)</formula>
    </cfRule>
    <cfRule type="expression" dxfId="2959" priority="12">
      <formula>AND(B$9&gt;=8/24,B$9&lt;14/24)</formula>
    </cfRule>
    <cfRule type="expression" dxfId="2958" priority="13">
      <formula>B$9&lt;8/24</formula>
    </cfRule>
  </conditionalFormatting>
  <conditionalFormatting sqref="B31:O31">
    <cfRule type="expression" dxfId="2957" priority="6">
      <formula>B$9&gt;=20/24</formula>
    </cfRule>
    <cfRule type="expression" dxfId="2956" priority="7">
      <formula>AND(B$9&gt;=14/24,B$9&lt;20/24)</formula>
    </cfRule>
    <cfRule type="expression" dxfId="2955" priority="8">
      <formula>AND(B$9&gt;=8/24,B$9&lt;14/24)</formula>
    </cfRule>
    <cfRule type="expression" dxfId="2954" priority="9">
      <formula>B$9&lt;8/24</formula>
    </cfRule>
  </conditionalFormatting>
  <conditionalFormatting sqref="B31:O31">
    <cfRule type="expression" dxfId="2953" priority="5">
      <formula>B31&gt;$AG31</formula>
    </cfRule>
  </conditionalFormatting>
  <conditionalFormatting sqref="B73">
    <cfRule type="expression" dxfId="2952" priority="1">
      <formula>B$9&gt;=20/24</formula>
    </cfRule>
    <cfRule type="expression" dxfId="2951" priority="2">
      <formula>AND(B$9&gt;=14/24,B$9&lt;20/24)</formula>
    </cfRule>
    <cfRule type="expression" dxfId="2950" priority="3">
      <formula>AND(B$9&gt;=8/24,B$9&lt;14/24)</formula>
    </cfRule>
    <cfRule type="expression" dxfId="2949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81" id="{3AD3ED4E-63EE-44D2-B908-45E03B5A812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2" id="{C8BCC811-0EA1-45B8-8388-B4028138A7B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3" id="{908A79AF-5E65-46DC-BBA8-D09255CF74C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84" id="{9DA0A9E7-EBDE-45BB-80C1-690357A7D7C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59" id="{0C83D72E-8744-45BC-97AD-F3825993716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0" id="{B26856B2-FE00-4DD4-BA25-91A862C0E7A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1" id="{0F98BA54-3DE6-4D6C-BF39-278721322EA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2" id="{4D9A948D-3565-4EA9-85C6-EE290422777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498D-ACAA-4CB6-815C-43D3DD259741}">
  <sheetPr codeName="Sheet32"/>
  <dimension ref="A1:CJ281"/>
  <sheetViews>
    <sheetView zoomScaleNormal="100" workbookViewId="0">
      <pane xSplit="1" ySplit="10" topLeftCell="G11" activePane="bottomRight" state="frozen"/>
      <selection pane="topRight" activeCell="B1" sqref="B1"/>
      <selection pane="bottomLeft" activeCell="A11" sqref="A11"/>
      <selection pane="bottomRight" activeCell="A115" sqref="A11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7.7109375" style="1" customWidth="1"/>
    <col min="19" max="19" width="8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2080/02/28</v>
      </c>
      <c r="C4" s="191"/>
      <c r="D4" s="191"/>
      <c r="E4" s="192" t="str">
        <f ca="1">"2079/"&amp;"12/"&amp;INT(MID(CELL("filename",G6),FIND("]",CELL("filename",G6))+1,200))</f>
        <v>2079/12/28</v>
      </c>
      <c r="F4" s="192"/>
      <c r="G4" s="192"/>
      <c r="H4" s="192" t="str">
        <f ca="1">TEXT(E4,"dddd")</f>
        <v>Thursday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83.7</v>
      </c>
      <c r="C5" s="30">
        <f t="shared" si="0"/>
        <v>83.7</v>
      </c>
      <c r="D5" s="30">
        <f t="shared" si="0"/>
        <v>87</v>
      </c>
      <c r="E5" s="30">
        <f t="shared" si="0"/>
        <v>92</v>
      </c>
      <c r="F5" s="30">
        <f t="shared" si="0"/>
        <v>83.4</v>
      </c>
      <c r="G5" s="30">
        <f t="shared" si="0"/>
        <v>85.2</v>
      </c>
      <c r="H5" s="30">
        <f t="shared" si="0"/>
        <v>121.4</v>
      </c>
      <c r="I5" s="30">
        <f t="shared" si="0"/>
        <v>252</v>
      </c>
      <c r="J5" s="30">
        <f t="shared" si="0"/>
        <v>261.3</v>
      </c>
      <c r="K5" s="30">
        <f t="shared" si="0"/>
        <v>282.89999999999998</v>
      </c>
      <c r="L5" s="30">
        <f t="shared" si="0"/>
        <v>289.39999999999998</v>
      </c>
      <c r="M5" s="30">
        <f t="shared" si="0"/>
        <v>282.39999999999998</v>
      </c>
      <c r="N5" s="30">
        <f t="shared" si="0"/>
        <v>269</v>
      </c>
      <c r="O5" s="30">
        <f t="shared" si="0"/>
        <v>252</v>
      </c>
      <c r="P5" s="30">
        <f>Q84</f>
        <v>226.89999999999998</v>
      </c>
      <c r="Q5" s="30">
        <f t="shared" si="0"/>
        <v>260.10000000000002</v>
      </c>
      <c r="R5" s="30">
        <f t="shared" si="0"/>
        <v>261.10000000000002</v>
      </c>
      <c r="S5" s="30">
        <f t="shared" si="0"/>
        <v>224.3</v>
      </c>
      <c r="T5" s="30">
        <f t="shared" si="0"/>
        <v>0</v>
      </c>
      <c r="U5" s="30">
        <f t="shared" si="0"/>
        <v>256.20000000000005</v>
      </c>
      <c r="V5" s="30">
        <f t="shared" si="0"/>
        <v>146.19999999999999</v>
      </c>
      <c r="W5" s="30">
        <f t="shared" si="0"/>
        <v>158.30000000000001</v>
      </c>
      <c r="X5" s="30">
        <f t="shared" si="0"/>
        <v>158.30000000000001</v>
      </c>
      <c r="Y5" s="30">
        <f t="shared" si="0"/>
        <v>66.8</v>
      </c>
      <c r="Z5" s="30">
        <f t="shared" si="0"/>
        <v>72.400000000000006</v>
      </c>
      <c r="AA5" s="30">
        <f t="shared" si="0"/>
        <v>75</v>
      </c>
      <c r="AB5" s="30">
        <f t="shared" si="0"/>
        <v>76</v>
      </c>
      <c r="AC5" s="30">
        <f t="shared" si="0"/>
        <v>74.900000000000006</v>
      </c>
      <c r="AD5" s="30">
        <f t="shared" si="0"/>
        <v>78</v>
      </c>
      <c r="AE5" s="30">
        <f t="shared" si="0"/>
        <v>78.2</v>
      </c>
      <c r="AF5" s="30">
        <f>B84</f>
        <v>83.7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1762MW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Load=1570</v>
      </c>
      <c r="B7" s="35">
        <f t="shared" ref="B7:AF7" si="1">B91</f>
        <v>1804.94</v>
      </c>
      <c r="C7" s="35">
        <f t="shared" si="1"/>
        <v>1868.94</v>
      </c>
      <c r="D7" s="35">
        <f t="shared" si="1"/>
        <v>1817.94</v>
      </c>
      <c r="E7" s="35">
        <f t="shared" si="1"/>
        <v>1752.6399999999999</v>
      </c>
      <c r="F7" s="35">
        <f t="shared" si="1"/>
        <v>1686.0400000000002</v>
      </c>
      <c r="G7" s="35">
        <f t="shared" si="1"/>
        <v>1704.7400000000002</v>
      </c>
      <c r="H7" s="35">
        <f t="shared" si="1"/>
        <v>1658.8400000000004</v>
      </c>
      <c r="I7" s="35">
        <f t="shared" si="1"/>
        <v>1704.44</v>
      </c>
      <c r="J7" s="35">
        <f t="shared" si="1"/>
        <v>1625.94</v>
      </c>
      <c r="K7" s="35">
        <f t="shared" si="1"/>
        <v>1701.14</v>
      </c>
      <c r="L7" s="35">
        <f t="shared" si="1"/>
        <v>1711.3400000000001</v>
      </c>
      <c r="M7" s="35">
        <f t="shared" si="1"/>
        <v>1734.2400000000002</v>
      </c>
      <c r="N7" s="35">
        <f>N91</f>
        <v>1762.04</v>
      </c>
      <c r="O7" s="35">
        <f t="shared" si="1"/>
        <v>1874.3400000000001</v>
      </c>
      <c r="P7" s="35">
        <f t="shared" si="1"/>
        <v>1855.04</v>
      </c>
      <c r="Q7" s="35">
        <f t="shared" si="1"/>
        <v>1947.15</v>
      </c>
      <c r="R7" s="35">
        <f t="shared" si="1"/>
        <v>1966.75</v>
      </c>
      <c r="S7" s="35">
        <f t="shared" si="1"/>
        <v>1898.5500000000002</v>
      </c>
      <c r="T7" s="35">
        <f t="shared" si="1"/>
        <v>1815.99</v>
      </c>
      <c r="U7" s="35">
        <f t="shared" si="1"/>
        <v>1570.0900000000001</v>
      </c>
      <c r="V7" s="35">
        <f t="shared" si="1"/>
        <v>1870.29</v>
      </c>
      <c r="W7" s="35">
        <f t="shared" si="1"/>
        <v>1717.09</v>
      </c>
      <c r="X7" s="35">
        <f t="shared" si="1"/>
        <v>1677.8899999999999</v>
      </c>
      <c r="Y7" s="35">
        <f t="shared" si="1"/>
        <v>1675.1899999999998</v>
      </c>
      <c r="Z7" s="35">
        <f t="shared" si="1"/>
        <v>1581.6899999999998</v>
      </c>
      <c r="AA7" s="35">
        <f t="shared" si="1"/>
        <v>1969.5900000000001</v>
      </c>
      <c r="AB7" s="35">
        <f t="shared" si="1"/>
        <v>1937.59</v>
      </c>
      <c r="AC7" s="35">
        <f t="shared" si="1"/>
        <v>1874.19</v>
      </c>
      <c r="AD7" s="35">
        <f t="shared" si="1"/>
        <v>1813.0900000000001</v>
      </c>
      <c r="AE7" s="35">
        <f t="shared" si="1"/>
        <v>1780.19</v>
      </c>
      <c r="AF7" s="35">
        <f t="shared" si="1"/>
        <v>1725.89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25.2</v>
      </c>
      <c r="C11" s="45">
        <v>25.2</v>
      </c>
      <c r="D11" s="45">
        <v>25.2</v>
      </c>
      <c r="E11" s="45">
        <v>25.2</v>
      </c>
      <c r="F11" s="45">
        <v>27</v>
      </c>
      <c r="G11" s="45">
        <v>27</v>
      </c>
      <c r="H11" s="45">
        <v>27</v>
      </c>
      <c r="I11" s="45">
        <v>27</v>
      </c>
      <c r="J11" s="45">
        <v>27</v>
      </c>
      <c r="K11" s="45">
        <v>27</v>
      </c>
      <c r="L11" s="45">
        <v>27</v>
      </c>
      <c r="M11" s="45">
        <v>30.5</v>
      </c>
      <c r="N11" s="45">
        <v>30.5</v>
      </c>
      <c r="O11" s="45">
        <v>30.5</v>
      </c>
      <c r="P11" s="45">
        <v>30.5</v>
      </c>
      <c r="Q11" s="45">
        <v>30.5</v>
      </c>
      <c r="R11" s="45">
        <v>30.5</v>
      </c>
      <c r="S11" s="45">
        <v>30.5</v>
      </c>
      <c r="T11" s="45">
        <v>30.5</v>
      </c>
      <c r="U11" s="45">
        <v>30.5</v>
      </c>
      <c r="V11" s="45">
        <v>30.5</v>
      </c>
      <c r="W11" s="45">
        <v>30.5</v>
      </c>
      <c r="X11" s="45">
        <v>30.5</v>
      </c>
      <c r="Y11" s="45">
        <v>30.5</v>
      </c>
      <c r="Z11" s="45">
        <v>30.5</v>
      </c>
      <c r="AA11" s="45">
        <v>30.5</v>
      </c>
      <c r="AB11" s="45">
        <v>30.5</v>
      </c>
      <c r="AC11" s="45">
        <v>30.5</v>
      </c>
      <c r="AD11" s="45">
        <v>30.5</v>
      </c>
      <c r="AE11" s="45">
        <v>30.5</v>
      </c>
      <c r="AF11" s="45">
        <v>30.5</v>
      </c>
      <c r="AG11" s="46">
        <v>86</v>
      </c>
      <c r="AH11" s="47">
        <f t="shared" ref="AH11:AH76" si="2">MAX(B11:AF11)</f>
        <v>30.5</v>
      </c>
      <c r="AI11" s="48">
        <f t="shared" ref="AI11:AI76" si="3">MIN(B11:AF11)</f>
        <v>25.2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40</v>
      </c>
      <c r="C12" s="45">
        <v>40</v>
      </c>
      <c r="D12" s="45">
        <v>40</v>
      </c>
      <c r="E12" s="45">
        <v>40</v>
      </c>
      <c r="F12" s="45">
        <v>42</v>
      </c>
      <c r="G12" s="45">
        <v>29.5</v>
      </c>
      <c r="H12" s="45">
        <v>29.5</v>
      </c>
      <c r="I12" s="45">
        <v>29.5</v>
      </c>
      <c r="J12" s="45">
        <v>29.5</v>
      </c>
      <c r="K12" s="45">
        <v>29.5</v>
      </c>
      <c r="L12" s="45">
        <v>29.5</v>
      </c>
      <c r="M12" s="45">
        <v>29.5</v>
      </c>
      <c r="N12" s="45">
        <v>29.5</v>
      </c>
      <c r="O12" s="45">
        <v>29.5</v>
      </c>
      <c r="P12" s="45">
        <v>29.5</v>
      </c>
      <c r="Q12" s="45">
        <v>29.5</v>
      </c>
      <c r="R12" s="45">
        <v>29.5</v>
      </c>
      <c r="S12" s="45">
        <v>29.5</v>
      </c>
      <c r="T12" s="45">
        <v>29.5</v>
      </c>
      <c r="U12" s="45">
        <v>29.5</v>
      </c>
      <c r="V12" s="45">
        <v>29.5</v>
      </c>
      <c r="W12" s="45">
        <v>29.5</v>
      </c>
      <c r="X12" s="45">
        <v>29.5</v>
      </c>
      <c r="Y12" s="45">
        <v>29.5</v>
      </c>
      <c r="Z12" s="45">
        <v>29.5</v>
      </c>
      <c r="AA12" s="45">
        <v>29.5</v>
      </c>
      <c r="AB12" s="45">
        <v>29.5</v>
      </c>
      <c r="AC12" s="45">
        <v>29.5</v>
      </c>
      <c r="AD12" s="45">
        <v>29.5</v>
      </c>
      <c r="AE12" s="45">
        <v>29.5</v>
      </c>
      <c r="AF12" s="45">
        <v>16</v>
      </c>
      <c r="AG12" s="50">
        <v>54</v>
      </c>
      <c r="AH12" s="47">
        <f t="shared" si="2"/>
        <v>42</v>
      </c>
      <c r="AI12" s="48">
        <f t="shared" si="3"/>
        <v>16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23.2</v>
      </c>
      <c r="C13" s="45">
        <v>23.2</v>
      </c>
      <c r="D13" s="45">
        <v>23.2</v>
      </c>
      <c r="E13" s="45">
        <v>23.2</v>
      </c>
      <c r="F13" s="45">
        <v>27.6</v>
      </c>
      <c r="G13" s="45">
        <v>28.7</v>
      </c>
      <c r="H13" s="45">
        <v>28.7</v>
      </c>
      <c r="I13" s="45">
        <v>28.7</v>
      </c>
      <c r="J13" s="45">
        <v>28.7</v>
      </c>
      <c r="K13" s="45">
        <v>28.7</v>
      </c>
      <c r="L13" s="45">
        <v>28.7</v>
      </c>
      <c r="M13" s="45">
        <v>28.7</v>
      </c>
      <c r="N13" s="45">
        <v>28.7</v>
      </c>
      <c r="O13" s="45">
        <v>28.7</v>
      </c>
      <c r="P13" s="45">
        <v>28.7</v>
      </c>
      <c r="Q13" s="45">
        <v>28.7</v>
      </c>
      <c r="R13" s="45">
        <v>28.7</v>
      </c>
      <c r="S13" s="45">
        <v>28.7</v>
      </c>
      <c r="T13" s="45">
        <v>28.7</v>
      </c>
      <c r="U13" s="45">
        <v>28.3</v>
      </c>
      <c r="V13" s="45">
        <v>28.3</v>
      </c>
      <c r="W13" s="45">
        <v>28.3</v>
      </c>
      <c r="X13" s="45">
        <v>28.3</v>
      </c>
      <c r="Y13" s="45">
        <v>28.3</v>
      </c>
      <c r="Z13" s="45">
        <v>28.3</v>
      </c>
      <c r="AA13" s="45">
        <v>35.1</v>
      </c>
      <c r="AB13" s="45">
        <v>22</v>
      </c>
      <c r="AC13" s="45">
        <v>16.7</v>
      </c>
      <c r="AD13" s="45">
        <v>16.7</v>
      </c>
      <c r="AE13" s="45">
        <v>16.7</v>
      </c>
      <c r="AF13" s="45">
        <v>16.7</v>
      </c>
      <c r="AG13" s="46">
        <v>52.4</v>
      </c>
      <c r="AH13" s="47">
        <f t="shared" si="2"/>
        <v>35.1</v>
      </c>
      <c r="AI13" s="48">
        <f t="shared" si="3"/>
        <v>16.7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50.5</v>
      </c>
      <c r="C14" s="58">
        <v>50.5</v>
      </c>
      <c r="D14" s="58">
        <v>50.5</v>
      </c>
      <c r="E14" s="58">
        <v>50.5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>
        <v>50.4</v>
      </c>
      <c r="O14" s="58">
        <v>50.4</v>
      </c>
      <c r="P14" s="58">
        <v>50.4</v>
      </c>
      <c r="Q14" s="58">
        <v>50.5</v>
      </c>
      <c r="R14" s="58">
        <v>50.5</v>
      </c>
      <c r="S14" s="58">
        <v>50.5</v>
      </c>
      <c r="T14" s="58">
        <v>50.5</v>
      </c>
      <c r="U14" s="58">
        <v>50.9</v>
      </c>
      <c r="V14" s="58">
        <v>50.9</v>
      </c>
      <c r="W14" s="58">
        <v>50.9</v>
      </c>
      <c r="X14" s="58">
        <v>50.9</v>
      </c>
      <c r="Y14" s="58">
        <v>50.9</v>
      </c>
      <c r="Z14" s="58">
        <v>50.9</v>
      </c>
      <c r="AA14" s="45">
        <v>50.7</v>
      </c>
      <c r="AB14" s="45">
        <v>50.7</v>
      </c>
      <c r="AC14" s="45">
        <v>50.6</v>
      </c>
      <c r="AD14" s="45">
        <v>50.6</v>
      </c>
      <c r="AE14" s="45">
        <v>50.6</v>
      </c>
      <c r="AF14" s="45">
        <v>50.6</v>
      </c>
      <c r="AG14" s="50">
        <v>50</v>
      </c>
      <c r="AH14" s="47">
        <f t="shared" si="2"/>
        <v>50.9</v>
      </c>
      <c r="AI14" s="48">
        <f t="shared" si="3"/>
        <v>50.4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36.4</v>
      </c>
      <c r="C15" s="45">
        <v>36.4</v>
      </c>
      <c r="D15" s="45">
        <v>36.4</v>
      </c>
      <c r="E15" s="45">
        <v>36.4</v>
      </c>
      <c r="F15" s="45">
        <v>40.200000000000003</v>
      </c>
      <c r="G15" s="45">
        <v>40.200000000000003</v>
      </c>
      <c r="H15" s="45">
        <v>40.200000000000003</v>
      </c>
      <c r="I15" s="45">
        <v>39</v>
      </c>
      <c r="J15" s="45">
        <v>39</v>
      </c>
      <c r="K15" s="45">
        <v>39</v>
      </c>
      <c r="L15" s="45">
        <v>39</v>
      </c>
      <c r="M15" s="45">
        <v>39</v>
      </c>
      <c r="N15" s="45">
        <v>39</v>
      </c>
      <c r="O15" s="45">
        <v>39</v>
      </c>
      <c r="P15" s="45">
        <v>39</v>
      </c>
      <c r="Q15" s="45">
        <v>39</v>
      </c>
      <c r="R15" s="45">
        <v>39</v>
      </c>
      <c r="S15" s="45">
        <v>39</v>
      </c>
      <c r="T15" s="45">
        <v>39</v>
      </c>
      <c r="U15" s="45">
        <v>29</v>
      </c>
      <c r="V15" s="45">
        <v>29</v>
      </c>
      <c r="W15" s="45">
        <v>29</v>
      </c>
      <c r="X15" s="45">
        <v>29</v>
      </c>
      <c r="Y15" s="45">
        <v>29</v>
      </c>
      <c r="Z15" s="45">
        <v>29</v>
      </c>
      <c r="AA15" s="45">
        <v>42.6</v>
      </c>
      <c r="AB15" s="45">
        <v>42.6</v>
      </c>
      <c r="AC15" s="45">
        <v>46</v>
      </c>
      <c r="AD15" s="45">
        <v>46</v>
      </c>
      <c r="AE15" s="45">
        <v>46</v>
      </c>
      <c r="AF15" s="45">
        <v>46</v>
      </c>
      <c r="AG15" s="50">
        <v>45</v>
      </c>
      <c r="AH15" s="47">
        <f t="shared" si="2"/>
        <v>46</v>
      </c>
      <c r="AI15" s="48">
        <f t="shared" si="3"/>
        <v>29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41</v>
      </c>
      <c r="C16" s="45">
        <v>41</v>
      </c>
      <c r="D16" s="45">
        <v>41</v>
      </c>
      <c r="E16" s="45">
        <v>41</v>
      </c>
      <c r="F16" s="45">
        <v>41</v>
      </c>
      <c r="G16" s="45">
        <v>41</v>
      </c>
      <c r="H16" s="45">
        <v>41</v>
      </c>
      <c r="I16" s="45">
        <v>41</v>
      </c>
      <c r="J16" s="45">
        <v>41</v>
      </c>
      <c r="K16" s="45">
        <v>41</v>
      </c>
      <c r="L16" s="45">
        <v>41</v>
      </c>
      <c r="M16" s="45">
        <v>41</v>
      </c>
      <c r="N16" s="45">
        <v>41</v>
      </c>
      <c r="O16" s="45">
        <v>41</v>
      </c>
      <c r="P16" s="45">
        <v>41</v>
      </c>
      <c r="Q16" s="45">
        <v>41</v>
      </c>
      <c r="R16" s="45">
        <v>41</v>
      </c>
      <c r="S16" s="45">
        <v>41</v>
      </c>
      <c r="T16" s="45">
        <v>41</v>
      </c>
      <c r="U16" s="45">
        <v>41</v>
      </c>
      <c r="V16" s="45">
        <v>41</v>
      </c>
      <c r="W16" s="45">
        <v>41</v>
      </c>
      <c r="X16" s="45">
        <v>41</v>
      </c>
      <c r="Y16" s="45">
        <v>41</v>
      </c>
      <c r="Z16" s="45">
        <v>41</v>
      </c>
      <c r="AA16" s="45">
        <v>41</v>
      </c>
      <c r="AB16" s="45">
        <v>41</v>
      </c>
      <c r="AC16" s="45">
        <v>41</v>
      </c>
      <c r="AD16" s="45">
        <v>41</v>
      </c>
      <c r="AE16" s="45">
        <v>41</v>
      </c>
      <c r="AF16" s="45">
        <v>41</v>
      </c>
      <c r="AG16" s="50">
        <v>44</v>
      </c>
      <c r="AH16" s="47">
        <f>MAX(B16:AG16)</f>
        <v>44</v>
      </c>
      <c r="AI16" s="48">
        <f>MIN(B16:AG16)</f>
        <v>41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34</v>
      </c>
      <c r="C17" s="45">
        <v>34</v>
      </c>
      <c r="D17" s="45">
        <v>34</v>
      </c>
      <c r="E17" s="45">
        <v>34</v>
      </c>
      <c r="F17" s="45">
        <v>34</v>
      </c>
      <c r="G17" s="45">
        <v>33</v>
      </c>
      <c r="H17" s="45">
        <v>33</v>
      </c>
      <c r="I17" s="45">
        <v>32</v>
      </c>
      <c r="J17" s="45">
        <v>32</v>
      </c>
      <c r="K17" s="45">
        <v>32</v>
      </c>
      <c r="L17" s="45">
        <v>32</v>
      </c>
      <c r="M17" s="45">
        <v>32</v>
      </c>
      <c r="N17" s="45">
        <v>32</v>
      </c>
      <c r="O17" s="45">
        <v>32</v>
      </c>
      <c r="P17" s="45">
        <v>32</v>
      </c>
      <c r="Q17" s="45">
        <v>32</v>
      </c>
      <c r="R17" s="45">
        <v>32</v>
      </c>
      <c r="S17" s="45">
        <v>32</v>
      </c>
      <c r="T17" s="45">
        <v>32</v>
      </c>
      <c r="U17" s="45">
        <v>32</v>
      </c>
      <c r="V17" s="45">
        <v>32</v>
      </c>
      <c r="W17" s="45">
        <v>32</v>
      </c>
      <c r="X17" s="45">
        <v>32</v>
      </c>
      <c r="Y17" s="45">
        <v>32</v>
      </c>
      <c r="Z17" s="45">
        <v>32</v>
      </c>
      <c r="AA17" s="45">
        <v>30.1</v>
      </c>
      <c r="AB17" s="45">
        <v>30.1</v>
      </c>
      <c r="AC17" s="45">
        <v>36.5</v>
      </c>
      <c r="AD17" s="45">
        <v>36.5</v>
      </c>
      <c r="AE17" s="45">
        <v>36.5</v>
      </c>
      <c r="AF17" s="45">
        <v>36.5</v>
      </c>
      <c r="AG17" s="50">
        <v>42</v>
      </c>
      <c r="AH17" s="47">
        <f t="shared" si="2"/>
        <v>36.5</v>
      </c>
      <c r="AI17" s="48">
        <f t="shared" si="3"/>
        <v>30.1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14.4</v>
      </c>
      <c r="C19" s="45">
        <v>14.4</v>
      </c>
      <c r="D19" s="45">
        <v>14.4</v>
      </c>
      <c r="E19" s="45">
        <v>14.4</v>
      </c>
      <c r="F19" s="45">
        <v>14.4</v>
      </c>
      <c r="G19" s="45">
        <v>14.4</v>
      </c>
      <c r="H19" s="45">
        <v>14.4</v>
      </c>
      <c r="I19" s="45">
        <v>14.4</v>
      </c>
      <c r="J19" s="45">
        <v>14.4</v>
      </c>
      <c r="K19" s="45">
        <v>14.4</v>
      </c>
      <c r="L19" s="45">
        <v>14.4</v>
      </c>
      <c r="M19" s="45">
        <v>14.4</v>
      </c>
      <c r="N19" s="45">
        <v>14.4</v>
      </c>
      <c r="O19" s="45">
        <v>14.4</v>
      </c>
      <c r="P19" s="45">
        <v>14.4</v>
      </c>
      <c r="Q19" s="45">
        <v>14.4</v>
      </c>
      <c r="R19" s="45">
        <v>14.4</v>
      </c>
      <c r="S19" s="45">
        <v>14.4</v>
      </c>
      <c r="T19" s="45">
        <v>14.4</v>
      </c>
      <c r="U19" s="45">
        <v>14.4</v>
      </c>
      <c r="V19" s="45">
        <v>14.4</v>
      </c>
      <c r="W19" s="45">
        <v>14.4</v>
      </c>
      <c r="X19" s="45">
        <v>14.4</v>
      </c>
      <c r="Y19" s="45">
        <v>14.4</v>
      </c>
      <c r="Z19" s="45">
        <v>14.4</v>
      </c>
      <c r="AA19" s="45">
        <v>14.4</v>
      </c>
      <c r="AB19" s="45">
        <v>14.4</v>
      </c>
      <c r="AC19" s="45">
        <v>14.4</v>
      </c>
      <c r="AD19" s="45">
        <v>14.4</v>
      </c>
      <c r="AE19" s="45">
        <v>14.4</v>
      </c>
      <c r="AF19" s="45">
        <v>14.4</v>
      </c>
      <c r="AG19" s="50">
        <v>36</v>
      </c>
      <c r="AH19" s="47">
        <f t="shared" si="2"/>
        <v>14.4</v>
      </c>
      <c r="AI19" s="48">
        <f t="shared" si="3"/>
        <v>14.4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27</v>
      </c>
      <c r="C20" s="45">
        <v>27</v>
      </c>
      <c r="D20" s="45">
        <v>27</v>
      </c>
      <c r="E20" s="45">
        <v>27</v>
      </c>
      <c r="F20" s="45">
        <v>23</v>
      </c>
      <c r="G20" s="45">
        <v>22.6</v>
      </c>
      <c r="H20" s="45">
        <v>22.6</v>
      </c>
      <c r="I20" s="45">
        <v>22.6</v>
      </c>
      <c r="J20" s="45">
        <v>22.6</v>
      </c>
      <c r="K20" s="45">
        <v>22.6</v>
      </c>
      <c r="L20" s="45">
        <v>22.6</v>
      </c>
      <c r="M20" s="45">
        <v>22.6</v>
      </c>
      <c r="N20" s="45">
        <v>22.6</v>
      </c>
      <c r="O20" s="45">
        <v>22.6</v>
      </c>
      <c r="P20" s="45">
        <v>22.6</v>
      </c>
      <c r="Q20" s="45">
        <v>22.6</v>
      </c>
      <c r="R20" s="45">
        <v>22.6</v>
      </c>
      <c r="S20" s="45">
        <v>22.6</v>
      </c>
      <c r="T20" s="45">
        <v>22.6</v>
      </c>
      <c r="U20" s="45">
        <v>22.6</v>
      </c>
      <c r="V20" s="45">
        <v>22.6</v>
      </c>
      <c r="W20" s="45">
        <v>22.6</v>
      </c>
      <c r="X20" s="45">
        <v>22.6</v>
      </c>
      <c r="Y20" s="45">
        <v>22.6</v>
      </c>
      <c r="Z20" s="45">
        <v>22.6</v>
      </c>
      <c r="AA20" s="45">
        <v>22.4</v>
      </c>
      <c r="AB20" s="45">
        <v>22.4</v>
      </c>
      <c r="AC20" s="45">
        <v>20</v>
      </c>
      <c r="AD20" s="45">
        <v>20</v>
      </c>
      <c r="AE20" s="45">
        <v>20</v>
      </c>
      <c r="AF20" s="45">
        <v>10</v>
      </c>
      <c r="AG20" s="51">
        <v>30</v>
      </c>
      <c r="AH20" s="47">
        <f t="shared" si="2"/>
        <v>27</v>
      </c>
      <c r="AI20" s="48">
        <f t="shared" si="3"/>
        <v>10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13.2</v>
      </c>
      <c r="C21" s="45">
        <v>13.2</v>
      </c>
      <c r="D21" s="45">
        <v>13.2</v>
      </c>
      <c r="E21" s="45">
        <v>13.2</v>
      </c>
      <c r="F21" s="45">
        <v>16</v>
      </c>
      <c r="G21" s="45">
        <v>16.8</v>
      </c>
      <c r="H21" s="45">
        <v>16.8</v>
      </c>
      <c r="I21" s="45">
        <v>17.3</v>
      </c>
      <c r="J21" s="45">
        <v>17.3</v>
      </c>
      <c r="K21" s="45">
        <v>17.3</v>
      </c>
      <c r="L21" s="45">
        <v>17.3</v>
      </c>
      <c r="M21" s="45">
        <v>17.3</v>
      </c>
      <c r="N21" s="45">
        <v>17.3</v>
      </c>
      <c r="O21" s="45">
        <v>17.3</v>
      </c>
      <c r="P21" s="45">
        <v>17.3</v>
      </c>
      <c r="Q21" s="45">
        <v>17.3</v>
      </c>
      <c r="R21" s="45">
        <v>17.3</v>
      </c>
      <c r="S21" s="45">
        <v>17.3</v>
      </c>
      <c r="T21" s="45">
        <v>17.3</v>
      </c>
      <c r="U21" s="45">
        <v>17.3</v>
      </c>
      <c r="V21" s="45">
        <v>17.3</v>
      </c>
      <c r="W21" s="45">
        <v>17.3</v>
      </c>
      <c r="X21" s="45">
        <v>17.3</v>
      </c>
      <c r="Y21" s="45">
        <v>17.3</v>
      </c>
      <c r="Z21" s="45">
        <v>17.3</v>
      </c>
      <c r="AA21" s="45">
        <v>15</v>
      </c>
      <c r="AB21" s="45">
        <v>15</v>
      </c>
      <c r="AC21" s="45">
        <v>15</v>
      </c>
      <c r="AD21" s="45">
        <v>15</v>
      </c>
      <c r="AE21" s="45">
        <v>15</v>
      </c>
      <c r="AF21" s="45">
        <v>15</v>
      </c>
      <c r="AG21" s="50">
        <v>24.2</v>
      </c>
      <c r="AH21" s="47">
        <f t="shared" si="2"/>
        <v>17.3</v>
      </c>
      <c r="AI21" s="48">
        <f t="shared" si="3"/>
        <v>13.2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16</v>
      </c>
      <c r="C22" s="45">
        <v>16</v>
      </c>
      <c r="D22" s="45">
        <v>16</v>
      </c>
      <c r="E22" s="45">
        <v>16</v>
      </c>
      <c r="F22" s="45">
        <v>16</v>
      </c>
      <c r="G22" s="45">
        <v>16</v>
      </c>
      <c r="H22" s="45">
        <v>16</v>
      </c>
      <c r="I22" s="45">
        <v>16</v>
      </c>
      <c r="J22" s="45">
        <v>16</v>
      </c>
      <c r="K22" s="45">
        <v>16</v>
      </c>
      <c r="L22" s="45">
        <v>16</v>
      </c>
      <c r="M22" s="45">
        <v>16</v>
      </c>
      <c r="N22" s="45">
        <v>16</v>
      </c>
      <c r="O22" s="45">
        <v>16</v>
      </c>
      <c r="P22" s="45">
        <v>16</v>
      </c>
      <c r="Q22" s="45">
        <v>16</v>
      </c>
      <c r="R22" s="45">
        <v>16</v>
      </c>
      <c r="S22" s="45">
        <v>16</v>
      </c>
      <c r="T22" s="45">
        <v>16</v>
      </c>
      <c r="U22" s="45">
        <v>16</v>
      </c>
      <c r="V22" s="45">
        <v>16</v>
      </c>
      <c r="W22" s="45">
        <v>16</v>
      </c>
      <c r="X22" s="45">
        <v>16</v>
      </c>
      <c r="Y22" s="45">
        <v>16</v>
      </c>
      <c r="Z22" s="45">
        <v>16</v>
      </c>
      <c r="AA22" s="45">
        <v>16</v>
      </c>
      <c r="AB22" s="45">
        <v>16</v>
      </c>
      <c r="AC22" s="45">
        <v>16</v>
      </c>
      <c r="AD22" s="45">
        <v>16</v>
      </c>
      <c r="AE22" s="45">
        <v>16</v>
      </c>
      <c r="AF22" s="45">
        <v>16</v>
      </c>
      <c r="AG22" s="50">
        <v>28</v>
      </c>
      <c r="AH22" s="47">
        <f t="shared" si="2"/>
        <v>16</v>
      </c>
      <c r="AI22" s="48">
        <f t="shared" si="3"/>
        <v>16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15</v>
      </c>
      <c r="C23" s="45">
        <v>15</v>
      </c>
      <c r="D23" s="45">
        <v>15</v>
      </c>
      <c r="E23" s="45">
        <v>15</v>
      </c>
      <c r="F23" s="45">
        <v>16</v>
      </c>
      <c r="G23" s="45">
        <v>16</v>
      </c>
      <c r="H23" s="45">
        <v>16</v>
      </c>
      <c r="I23" s="45">
        <v>16</v>
      </c>
      <c r="J23" s="45">
        <v>16</v>
      </c>
      <c r="K23" s="45">
        <v>16</v>
      </c>
      <c r="L23" s="45">
        <v>16</v>
      </c>
      <c r="M23" s="45">
        <v>16</v>
      </c>
      <c r="N23" s="45">
        <v>16</v>
      </c>
      <c r="O23" s="45">
        <v>16</v>
      </c>
      <c r="P23" s="45">
        <v>16</v>
      </c>
      <c r="Q23" s="45">
        <v>16</v>
      </c>
      <c r="R23" s="45">
        <v>16</v>
      </c>
      <c r="S23" s="45">
        <v>16</v>
      </c>
      <c r="T23" s="45">
        <v>16</v>
      </c>
      <c r="U23" s="45">
        <v>16</v>
      </c>
      <c r="V23" s="45">
        <v>16</v>
      </c>
      <c r="W23" s="45">
        <v>16</v>
      </c>
      <c r="X23" s="45">
        <v>16</v>
      </c>
      <c r="Y23" s="45">
        <v>16</v>
      </c>
      <c r="Z23" s="45">
        <v>16</v>
      </c>
      <c r="AA23" s="45">
        <v>21</v>
      </c>
      <c r="AB23" s="45">
        <v>21</v>
      </c>
      <c r="AC23" s="45">
        <v>21</v>
      </c>
      <c r="AD23" s="45">
        <v>21</v>
      </c>
      <c r="AE23" s="45">
        <v>21</v>
      </c>
      <c r="AF23" s="45">
        <v>9</v>
      </c>
      <c r="AG23" s="51">
        <v>30</v>
      </c>
      <c r="AH23" s="47">
        <f t="shared" si="2"/>
        <v>21</v>
      </c>
      <c r="AI23" s="48">
        <f t="shared" si="3"/>
        <v>9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19</v>
      </c>
      <c r="C24" s="45">
        <v>19</v>
      </c>
      <c r="D24" s="45">
        <v>19</v>
      </c>
      <c r="E24" s="45">
        <v>19</v>
      </c>
      <c r="F24" s="45">
        <v>18.5</v>
      </c>
      <c r="G24" s="45">
        <v>18.5</v>
      </c>
      <c r="H24" s="45">
        <v>18.5</v>
      </c>
      <c r="I24" s="45">
        <v>16.899999999999999</v>
      </c>
      <c r="J24" s="45">
        <v>16.899999999999999</v>
      </c>
      <c r="K24" s="45">
        <v>16.899999999999999</v>
      </c>
      <c r="L24" s="45">
        <v>16.899999999999999</v>
      </c>
      <c r="M24" s="45">
        <v>16.899999999999999</v>
      </c>
      <c r="N24" s="45">
        <v>16.899999999999999</v>
      </c>
      <c r="O24" s="45">
        <v>16.899999999999999</v>
      </c>
      <c r="P24" s="45">
        <v>16.899999999999999</v>
      </c>
      <c r="Q24" s="45">
        <v>16.899999999999999</v>
      </c>
      <c r="R24" s="45">
        <v>16.899999999999999</v>
      </c>
      <c r="S24" s="45">
        <v>16.899999999999999</v>
      </c>
      <c r="T24" s="45">
        <v>16.899999999999999</v>
      </c>
      <c r="U24" s="45">
        <v>16.899999999999999</v>
      </c>
      <c r="V24" s="45">
        <v>16.899999999999999</v>
      </c>
      <c r="W24" s="45">
        <v>16.899999999999999</v>
      </c>
      <c r="X24" s="45">
        <v>16.899999999999999</v>
      </c>
      <c r="Y24" s="45">
        <v>16.899999999999999</v>
      </c>
      <c r="Z24" s="45">
        <v>16.899999999999999</v>
      </c>
      <c r="AA24" s="45">
        <v>16.899999999999999</v>
      </c>
      <c r="AB24" s="45">
        <v>16.899999999999999</v>
      </c>
      <c r="AC24" s="45">
        <v>16.899999999999999</v>
      </c>
      <c r="AD24" s="45">
        <v>16.899999999999999</v>
      </c>
      <c r="AE24" s="45">
        <v>16.899999999999999</v>
      </c>
      <c r="AF24" s="45">
        <v>16.899999999999999</v>
      </c>
      <c r="AG24" s="50">
        <v>25</v>
      </c>
      <c r="AH24" s="47">
        <f t="shared" si="2"/>
        <v>19</v>
      </c>
      <c r="AI24" s="48">
        <f t="shared" si="3"/>
        <v>16.899999999999999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14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50">
        <v>25</v>
      </c>
      <c r="AH26" s="47">
        <f t="shared" si="2"/>
        <v>25</v>
      </c>
      <c r="AI26" s="48">
        <f t="shared" si="3"/>
        <v>25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20</v>
      </c>
      <c r="AB27" s="45">
        <v>20</v>
      </c>
      <c r="AC27" s="45">
        <v>20</v>
      </c>
      <c r="AD27" s="45">
        <v>20</v>
      </c>
      <c r="AE27" s="45">
        <v>20</v>
      </c>
      <c r="AF27" s="45">
        <v>7</v>
      </c>
      <c r="AG27" s="50">
        <v>25</v>
      </c>
      <c r="AH27" s="47">
        <f t="shared" si="2"/>
        <v>20</v>
      </c>
      <c r="AI27" s="48">
        <f t="shared" si="3"/>
        <v>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7.3</v>
      </c>
      <c r="C28" s="45">
        <v>7.3</v>
      </c>
      <c r="D28" s="45">
        <v>7.3</v>
      </c>
      <c r="E28" s="45">
        <v>7.3</v>
      </c>
      <c r="F28" s="45">
        <v>7.3</v>
      </c>
      <c r="G28" s="45">
        <v>7.3</v>
      </c>
      <c r="H28" s="45">
        <v>7.3</v>
      </c>
      <c r="I28" s="45">
        <v>7.3</v>
      </c>
      <c r="J28" s="45">
        <v>7.3</v>
      </c>
      <c r="K28" s="45">
        <v>7.3</v>
      </c>
      <c r="L28" s="45">
        <v>7.3</v>
      </c>
      <c r="M28" s="45">
        <v>7.3</v>
      </c>
      <c r="N28" s="45">
        <v>7.3</v>
      </c>
      <c r="O28" s="45">
        <v>7.3</v>
      </c>
      <c r="P28" s="45">
        <v>7.3</v>
      </c>
      <c r="Q28" s="45">
        <v>7.3</v>
      </c>
      <c r="R28" s="45">
        <v>7.3</v>
      </c>
      <c r="S28" s="45">
        <v>7.3</v>
      </c>
      <c r="T28" s="45">
        <v>7.3</v>
      </c>
      <c r="U28" s="45">
        <v>7.3</v>
      </c>
      <c r="V28" s="45">
        <v>7.3</v>
      </c>
      <c r="W28" s="45">
        <v>7.3</v>
      </c>
      <c r="X28" s="45">
        <v>7.3</v>
      </c>
      <c r="Y28" s="45">
        <v>7.3</v>
      </c>
      <c r="Z28" s="45">
        <v>7.3</v>
      </c>
      <c r="AA28" s="45">
        <v>7.3</v>
      </c>
      <c r="AB28" s="45">
        <v>7.3</v>
      </c>
      <c r="AC28" s="45">
        <v>7.3</v>
      </c>
      <c r="AD28" s="45">
        <v>7.3</v>
      </c>
      <c r="AE28" s="45">
        <v>7.3</v>
      </c>
      <c r="AF28" s="45">
        <v>7.3</v>
      </c>
      <c r="AG28" s="50">
        <v>23.5</v>
      </c>
      <c r="AH28" s="47">
        <f t="shared" si="2"/>
        <v>7.3</v>
      </c>
      <c r="AI28" s="48">
        <f t="shared" si="3"/>
        <v>7.3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3.5</v>
      </c>
      <c r="C29" s="45">
        <v>3.5</v>
      </c>
      <c r="D29" s="45">
        <v>3.5</v>
      </c>
      <c r="E29" s="45">
        <v>3.5</v>
      </c>
      <c r="F29" s="45">
        <v>3.5</v>
      </c>
      <c r="G29" s="45">
        <v>3.5</v>
      </c>
      <c r="H29" s="45">
        <v>3.5</v>
      </c>
      <c r="I29" s="45">
        <v>3.5</v>
      </c>
      <c r="J29" s="45">
        <v>3.5</v>
      </c>
      <c r="K29" s="45">
        <v>3.5</v>
      </c>
      <c r="L29" s="45">
        <v>3.5</v>
      </c>
      <c r="M29" s="45">
        <v>3.5</v>
      </c>
      <c r="N29" s="45">
        <v>3.5</v>
      </c>
      <c r="O29" s="45">
        <v>3.5</v>
      </c>
      <c r="P29" s="45">
        <v>3.5</v>
      </c>
      <c r="Q29" s="45">
        <v>3.5</v>
      </c>
      <c r="R29" s="45">
        <v>3.5</v>
      </c>
      <c r="S29" s="45">
        <v>3.5</v>
      </c>
      <c r="T29" s="45">
        <v>3.5</v>
      </c>
      <c r="U29" s="45">
        <v>3.5</v>
      </c>
      <c r="V29" s="45">
        <v>3.5</v>
      </c>
      <c r="W29" s="45">
        <v>3.5</v>
      </c>
      <c r="X29" s="45">
        <v>3.5</v>
      </c>
      <c r="Y29" s="45">
        <v>3.5</v>
      </c>
      <c r="Z29" s="45">
        <v>3.5</v>
      </c>
      <c r="AA29" s="45">
        <v>3.5</v>
      </c>
      <c r="AB29" s="45">
        <v>3.5</v>
      </c>
      <c r="AC29" s="45">
        <v>3.5</v>
      </c>
      <c r="AD29" s="45">
        <v>3.5</v>
      </c>
      <c r="AE29" s="45">
        <v>3.5</v>
      </c>
      <c r="AF29" s="45">
        <v>3.5</v>
      </c>
      <c r="AG29" s="50">
        <v>22.2</v>
      </c>
      <c r="AH29" s="47">
        <f t="shared" si="2"/>
        <v>3.5</v>
      </c>
      <c r="AI29" s="48">
        <f t="shared" si="3"/>
        <v>3.5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50">
        <v>22</v>
      </c>
      <c r="AH31" s="47">
        <f t="shared" si="2"/>
        <v>4.5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5.4</v>
      </c>
      <c r="C32" s="45">
        <v>5.4</v>
      </c>
      <c r="D32" s="45">
        <v>5.4</v>
      </c>
      <c r="E32" s="45">
        <v>5.4</v>
      </c>
      <c r="F32" s="45">
        <v>6</v>
      </c>
      <c r="G32" s="45">
        <v>7</v>
      </c>
      <c r="H32" s="45">
        <v>7</v>
      </c>
      <c r="I32" s="45">
        <v>7</v>
      </c>
      <c r="J32" s="45">
        <v>7</v>
      </c>
      <c r="K32" s="45">
        <v>7</v>
      </c>
      <c r="L32" s="45">
        <v>7</v>
      </c>
      <c r="M32" s="45">
        <v>7</v>
      </c>
      <c r="N32" s="45">
        <v>7</v>
      </c>
      <c r="O32" s="45">
        <v>7</v>
      </c>
      <c r="P32" s="45">
        <v>7</v>
      </c>
      <c r="Q32" s="45">
        <v>7</v>
      </c>
      <c r="R32" s="45">
        <v>7</v>
      </c>
      <c r="S32" s="45">
        <v>7</v>
      </c>
      <c r="T32" s="45">
        <v>7</v>
      </c>
      <c r="U32" s="45">
        <v>7</v>
      </c>
      <c r="V32" s="45">
        <v>7</v>
      </c>
      <c r="W32" s="45">
        <v>7</v>
      </c>
      <c r="X32" s="45">
        <v>7</v>
      </c>
      <c r="Y32" s="45">
        <v>7</v>
      </c>
      <c r="Z32" s="45">
        <v>7</v>
      </c>
      <c r="AA32" s="45">
        <v>7</v>
      </c>
      <c r="AB32" s="45">
        <v>7</v>
      </c>
      <c r="AC32" s="45">
        <v>9</v>
      </c>
      <c r="AD32" s="45">
        <v>9</v>
      </c>
      <c r="AE32" s="45">
        <v>9</v>
      </c>
      <c r="AF32" s="45">
        <v>9</v>
      </c>
      <c r="AG32" s="50">
        <v>22</v>
      </c>
      <c r="AH32" s="47">
        <f t="shared" si="2"/>
        <v>9</v>
      </c>
      <c r="AI32" s="48">
        <f t="shared" si="3"/>
        <v>5.4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19</v>
      </c>
      <c r="C33" s="45">
        <v>19</v>
      </c>
      <c r="D33" s="45">
        <v>19</v>
      </c>
      <c r="E33" s="45">
        <v>19</v>
      </c>
      <c r="F33" s="45">
        <v>19</v>
      </c>
      <c r="G33" s="45">
        <v>19</v>
      </c>
      <c r="H33" s="45">
        <v>19</v>
      </c>
      <c r="I33" s="45">
        <v>19</v>
      </c>
      <c r="J33" s="45">
        <v>19</v>
      </c>
      <c r="K33" s="45">
        <v>19</v>
      </c>
      <c r="L33" s="45">
        <v>19</v>
      </c>
      <c r="M33" s="45">
        <v>19</v>
      </c>
      <c r="N33" s="45">
        <v>19</v>
      </c>
      <c r="O33" s="45">
        <v>19</v>
      </c>
      <c r="P33" s="45">
        <v>19</v>
      </c>
      <c r="Q33" s="45">
        <v>19</v>
      </c>
      <c r="R33" s="45">
        <v>19</v>
      </c>
      <c r="S33" s="45">
        <v>19</v>
      </c>
      <c r="T33" s="45">
        <v>19</v>
      </c>
      <c r="U33" s="45">
        <v>19</v>
      </c>
      <c r="V33" s="45">
        <v>19</v>
      </c>
      <c r="W33" s="45">
        <v>19</v>
      </c>
      <c r="X33" s="45">
        <v>19</v>
      </c>
      <c r="Y33" s="45">
        <v>19</v>
      </c>
      <c r="Z33" s="45">
        <v>19</v>
      </c>
      <c r="AA33" s="45">
        <v>19</v>
      </c>
      <c r="AB33" s="45">
        <v>10</v>
      </c>
      <c r="AC33" s="45">
        <v>10</v>
      </c>
      <c r="AD33" s="45">
        <v>10</v>
      </c>
      <c r="AE33" s="45">
        <v>10</v>
      </c>
      <c r="AF33" s="45">
        <v>10</v>
      </c>
      <c r="AG33" s="50">
        <v>20</v>
      </c>
      <c r="AH33" s="47">
        <f t="shared" si="2"/>
        <v>19</v>
      </c>
      <c r="AI33" s="48">
        <f t="shared" si="3"/>
        <v>10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8.6</v>
      </c>
      <c r="C34" s="45">
        <v>8.6</v>
      </c>
      <c r="D34" s="45">
        <v>8.6</v>
      </c>
      <c r="E34" s="45">
        <v>8.6</v>
      </c>
      <c r="F34" s="45">
        <v>8.6</v>
      </c>
      <c r="G34" s="45">
        <v>8.6</v>
      </c>
      <c r="H34" s="45">
        <v>8.6</v>
      </c>
      <c r="I34" s="45">
        <v>8.6</v>
      </c>
      <c r="J34" s="45">
        <v>8.6</v>
      </c>
      <c r="K34" s="45">
        <v>8.6</v>
      </c>
      <c r="L34" s="45">
        <v>8.6</v>
      </c>
      <c r="M34" s="45">
        <v>8.6</v>
      </c>
      <c r="N34" s="45">
        <v>8.6</v>
      </c>
      <c r="O34" s="45">
        <v>8.6</v>
      </c>
      <c r="P34" s="45">
        <v>8.6</v>
      </c>
      <c r="Q34" s="45">
        <v>8.6</v>
      </c>
      <c r="R34" s="45">
        <v>8.6</v>
      </c>
      <c r="S34" s="45">
        <v>8.6</v>
      </c>
      <c r="T34" s="45">
        <v>8.6</v>
      </c>
      <c r="U34" s="45">
        <v>8.6</v>
      </c>
      <c r="V34" s="45">
        <v>8.6</v>
      </c>
      <c r="W34" s="45">
        <v>8.6</v>
      </c>
      <c r="X34" s="45">
        <v>8.6</v>
      </c>
      <c r="Y34" s="45">
        <v>8.6</v>
      </c>
      <c r="Z34" s="45">
        <v>8.6</v>
      </c>
      <c r="AA34" s="45">
        <v>8.6</v>
      </c>
      <c r="AB34" s="45">
        <v>8.6</v>
      </c>
      <c r="AC34" s="45">
        <v>8.6</v>
      </c>
      <c r="AD34" s="45">
        <v>8.6</v>
      </c>
      <c r="AE34" s="45">
        <v>8.6</v>
      </c>
      <c r="AF34" s="45">
        <v>8.6</v>
      </c>
      <c r="AG34" s="50">
        <v>18</v>
      </c>
      <c r="AH34" s="47">
        <f t="shared" si="2"/>
        <v>8.6</v>
      </c>
      <c r="AI34" s="48">
        <f t="shared" si="3"/>
        <v>8.6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50">
        <v>13</v>
      </c>
      <c r="AH38" s="47">
        <f t="shared" si="2"/>
        <v>6</v>
      </c>
      <c r="AI38" s="48">
        <f t="shared" si="3"/>
        <v>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9</v>
      </c>
      <c r="C39" s="45">
        <v>9</v>
      </c>
      <c r="D39" s="45">
        <v>8</v>
      </c>
      <c r="E39" s="45">
        <v>8</v>
      </c>
      <c r="F39" s="45">
        <v>8</v>
      </c>
      <c r="G39" s="45">
        <v>8</v>
      </c>
      <c r="H39" s="45">
        <v>8</v>
      </c>
      <c r="I39" s="45">
        <v>8</v>
      </c>
      <c r="J39" s="45">
        <v>8</v>
      </c>
      <c r="K39" s="45">
        <v>8</v>
      </c>
      <c r="L39" s="45">
        <v>8</v>
      </c>
      <c r="M39" s="45">
        <v>8</v>
      </c>
      <c r="N39" s="45">
        <v>8</v>
      </c>
      <c r="O39" s="45">
        <v>8</v>
      </c>
      <c r="P39" s="45">
        <v>8</v>
      </c>
      <c r="Q39" s="45">
        <v>8</v>
      </c>
      <c r="R39" s="45">
        <v>8</v>
      </c>
      <c r="S39" s="45">
        <v>8</v>
      </c>
      <c r="T39" s="45">
        <v>8</v>
      </c>
      <c r="U39" s="45">
        <v>8</v>
      </c>
      <c r="V39" s="45">
        <v>8</v>
      </c>
      <c r="W39" s="45">
        <v>8</v>
      </c>
      <c r="X39" s="45">
        <v>8</v>
      </c>
      <c r="Y39" s="45">
        <v>8</v>
      </c>
      <c r="Z39" s="45">
        <v>8</v>
      </c>
      <c r="AA39" s="45">
        <v>10</v>
      </c>
      <c r="AB39" s="45">
        <v>10</v>
      </c>
      <c r="AC39" s="45">
        <v>10</v>
      </c>
      <c r="AD39" s="45">
        <v>10</v>
      </c>
      <c r="AE39" s="45">
        <v>10</v>
      </c>
      <c r="AF39" s="45">
        <v>4</v>
      </c>
      <c r="AG39" s="50">
        <v>12</v>
      </c>
      <c r="AH39" s="47">
        <f t="shared" si="2"/>
        <v>10</v>
      </c>
      <c r="AI39" s="48">
        <f t="shared" si="3"/>
        <v>4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>
        <v>3.6</v>
      </c>
      <c r="N45" s="45">
        <v>3.6</v>
      </c>
      <c r="O45" s="45">
        <v>3.6</v>
      </c>
      <c r="P45" s="45">
        <v>3.6</v>
      </c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3.6</v>
      </c>
      <c r="AB45" s="45">
        <v>3.6</v>
      </c>
      <c r="AC45" s="45">
        <v>3.6</v>
      </c>
      <c r="AD45" s="45">
        <v>3.6</v>
      </c>
      <c r="AE45" s="45">
        <v>3.6</v>
      </c>
      <c r="AF45" s="45">
        <v>3.6</v>
      </c>
      <c r="AG45" s="54">
        <v>10</v>
      </c>
      <c r="AH45" s="47">
        <f t="shared" si="2"/>
        <v>3.6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7</v>
      </c>
      <c r="C46" s="45">
        <v>7</v>
      </c>
      <c r="D46" s="45">
        <v>7</v>
      </c>
      <c r="E46" s="45">
        <v>7</v>
      </c>
      <c r="F46" s="45">
        <v>7</v>
      </c>
      <c r="G46" s="45">
        <v>7</v>
      </c>
      <c r="H46" s="45">
        <v>7</v>
      </c>
      <c r="I46" s="45">
        <v>7</v>
      </c>
      <c r="J46" s="45">
        <v>7</v>
      </c>
      <c r="K46" s="45">
        <v>7</v>
      </c>
      <c r="L46" s="45">
        <v>7</v>
      </c>
      <c r="M46" s="45">
        <v>7</v>
      </c>
      <c r="N46" s="45">
        <v>7</v>
      </c>
      <c r="O46" s="45">
        <v>7</v>
      </c>
      <c r="P46" s="45">
        <v>7</v>
      </c>
      <c r="Q46" s="45">
        <v>7</v>
      </c>
      <c r="R46" s="45">
        <v>7</v>
      </c>
      <c r="S46" s="45">
        <v>7</v>
      </c>
      <c r="T46" s="45">
        <v>7</v>
      </c>
      <c r="U46" s="45">
        <v>7</v>
      </c>
      <c r="V46" s="45">
        <v>7</v>
      </c>
      <c r="W46" s="45">
        <v>7</v>
      </c>
      <c r="X46" s="45">
        <v>7</v>
      </c>
      <c r="Y46" s="45">
        <v>7</v>
      </c>
      <c r="Z46" s="45">
        <v>7</v>
      </c>
      <c r="AA46" s="45">
        <v>7</v>
      </c>
      <c r="AB46" s="45">
        <v>7</v>
      </c>
      <c r="AC46" s="45">
        <v>7</v>
      </c>
      <c r="AD46" s="45">
        <v>7</v>
      </c>
      <c r="AE46" s="45">
        <v>7</v>
      </c>
      <c r="AF46" s="45">
        <v>7</v>
      </c>
      <c r="AG46" s="54">
        <v>10</v>
      </c>
      <c r="AH46" s="47">
        <f t="shared" si="2"/>
        <v>7</v>
      </c>
      <c r="AI46" s="48">
        <f t="shared" si="3"/>
        <v>7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6.8</v>
      </c>
      <c r="C47" s="45">
        <v>6.8</v>
      </c>
      <c r="D47" s="45">
        <v>6.8</v>
      </c>
      <c r="E47" s="45">
        <v>6.8</v>
      </c>
      <c r="F47" s="45">
        <v>6.8</v>
      </c>
      <c r="G47" s="45">
        <v>6.8</v>
      </c>
      <c r="H47" s="45">
        <v>6.8</v>
      </c>
      <c r="I47" s="45">
        <v>6.8</v>
      </c>
      <c r="J47" s="45">
        <v>6.8</v>
      </c>
      <c r="K47" s="45">
        <v>6.8</v>
      </c>
      <c r="L47" s="45">
        <v>6.8</v>
      </c>
      <c r="M47" s="45">
        <v>6.8</v>
      </c>
      <c r="N47" s="45">
        <v>6.8</v>
      </c>
      <c r="O47" s="45">
        <v>6.8</v>
      </c>
      <c r="P47" s="45">
        <v>6.8</v>
      </c>
      <c r="Q47" s="45">
        <v>6.8</v>
      </c>
      <c r="R47" s="45">
        <v>6.8</v>
      </c>
      <c r="S47" s="45">
        <v>6.8</v>
      </c>
      <c r="T47" s="45">
        <v>6.8</v>
      </c>
      <c r="U47" s="45">
        <v>6.8</v>
      </c>
      <c r="V47" s="45">
        <v>6.8</v>
      </c>
      <c r="W47" s="45">
        <v>6.8</v>
      </c>
      <c r="X47" s="45">
        <v>6.8</v>
      </c>
      <c r="Y47" s="45">
        <v>6.8</v>
      </c>
      <c r="Z47" s="45">
        <v>6.8</v>
      </c>
      <c r="AA47" s="45">
        <v>6.8</v>
      </c>
      <c r="AB47" s="45">
        <v>6.8</v>
      </c>
      <c r="AC47" s="45">
        <v>6.8</v>
      </c>
      <c r="AD47" s="45">
        <v>6.8</v>
      </c>
      <c r="AE47" s="45">
        <v>6.8</v>
      </c>
      <c r="AF47" s="45">
        <v>6.8</v>
      </c>
      <c r="AG47" s="54">
        <v>10</v>
      </c>
      <c r="AH47" s="47">
        <f t="shared" si="2"/>
        <v>6.8</v>
      </c>
      <c r="AI47" s="48">
        <f t="shared" si="3"/>
        <v>6.8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230</v>
      </c>
      <c r="C48" s="56">
        <v>230</v>
      </c>
      <c r="D48" s="56">
        <v>230</v>
      </c>
      <c r="E48" s="56">
        <v>230</v>
      </c>
      <c r="F48" s="56">
        <v>230</v>
      </c>
      <c r="G48" s="56">
        <v>230</v>
      </c>
      <c r="H48" s="56">
        <v>230</v>
      </c>
      <c r="I48" s="56">
        <v>230</v>
      </c>
      <c r="J48" s="56">
        <v>230</v>
      </c>
      <c r="K48" s="56">
        <v>230</v>
      </c>
      <c r="L48" s="56">
        <v>230</v>
      </c>
      <c r="M48" s="56">
        <v>230</v>
      </c>
      <c r="N48" s="56">
        <v>230</v>
      </c>
      <c r="O48" s="56">
        <v>230</v>
      </c>
      <c r="P48" s="56">
        <v>230</v>
      </c>
      <c r="Q48" s="56">
        <v>230</v>
      </c>
      <c r="R48" s="56">
        <v>230</v>
      </c>
      <c r="S48" s="56">
        <v>230</v>
      </c>
      <c r="T48" s="56">
        <v>230</v>
      </c>
      <c r="U48" s="56">
        <v>230</v>
      </c>
      <c r="V48" s="56">
        <v>230</v>
      </c>
      <c r="W48" s="56">
        <v>230</v>
      </c>
      <c r="X48" s="56">
        <v>230</v>
      </c>
      <c r="Y48" s="56">
        <v>230</v>
      </c>
      <c r="Z48" s="56">
        <v>230</v>
      </c>
      <c r="AA48" s="56">
        <v>230</v>
      </c>
      <c r="AB48" s="56">
        <v>230</v>
      </c>
      <c r="AC48" s="56">
        <v>230</v>
      </c>
      <c r="AD48" s="56">
        <v>230</v>
      </c>
      <c r="AE48" s="56">
        <v>230</v>
      </c>
      <c r="AF48" s="56">
        <v>230</v>
      </c>
      <c r="AG48" s="54">
        <v>85</v>
      </c>
      <c r="AH48" s="47">
        <f t="shared" si="2"/>
        <v>230</v>
      </c>
      <c r="AI48" s="48">
        <f t="shared" si="3"/>
        <v>230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>
        <v>99</v>
      </c>
      <c r="G49" s="58">
        <f>69+41</f>
        <v>110</v>
      </c>
      <c r="H49" s="58">
        <f>69+41</f>
        <v>110</v>
      </c>
      <c r="I49" s="58">
        <f>59+58</f>
        <v>117</v>
      </c>
      <c r="J49" s="58">
        <f>52+46</f>
        <v>98</v>
      </c>
      <c r="K49" s="58">
        <f t="shared" ref="K49:P49" si="4">53+49</f>
        <v>102</v>
      </c>
      <c r="L49" s="58">
        <f t="shared" si="4"/>
        <v>102</v>
      </c>
      <c r="M49" s="58">
        <f t="shared" si="4"/>
        <v>102</v>
      </c>
      <c r="N49" s="58">
        <f t="shared" si="4"/>
        <v>102</v>
      </c>
      <c r="O49" s="58">
        <f t="shared" si="4"/>
        <v>102</v>
      </c>
      <c r="P49" s="58">
        <f t="shared" si="4"/>
        <v>102</v>
      </c>
      <c r="Q49" s="58">
        <v>96</v>
      </c>
      <c r="R49" s="58">
        <v>96</v>
      </c>
      <c r="S49" s="58">
        <v>96</v>
      </c>
      <c r="T49" s="58">
        <v>96</v>
      </c>
      <c r="U49" s="58">
        <v>85</v>
      </c>
      <c r="V49" s="58">
        <v>85</v>
      </c>
      <c r="W49" s="58">
        <v>85</v>
      </c>
      <c r="X49" s="58">
        <v>85</v>
      </c>
      <c r="Y49" s="58">
        <v>85</v>
      </c>
      <c r="Z49" s="58">
        <v>85</v>
      </c>
      <c r="AA49" s="56">
        <v>85</v>
      </c>
      <c r="AB49" s="56">
        <v>85</v>
      </c>
      <c r="AC49" s="56"/>
      <c r="AD49" s="56"/>
      <c r="AE49" s="56"/>
      <c r="AF49" s="56"/>
      <c r="AG49" s="54">
        <v>240</v>
      </c>
      <c r="AH49" s="47">
        <f t="shared" si="2"/>
        <v>117</v>
      </c>
      <c r="AI49" s="48">
        <f t="shared" si="3"/>
        <v>85</v>
      </c>
      <c r="AK49" s="49"/>
    </row>
    <row r="50" spans="1:41" ht="15.75" thickBot="1" x14ac:dyDescent="0.3">
      <c r="A50" s="59" t="s">
        <v>56</v>
      </c>
      <c r="B50" s="60">
        <f t="shared" ref="B50:AF50" si="5">SUM(B11:B48)</f>
        <v>787.5</v>
      </c>
      <c r="C50" s="60">
        <f t="shared" si="5"/>
        <v>787.5</v>
      </c>
      <c r="D50" s="60">
        <f t="shared" si="5"/>
        <v>786.5</v>
      </c>
      <c r="E50" s="60">
        <f t="shared" si="5"/>
        <v>786.5</v>
      </c>
      <c r="F50" s="60">
        <f t="shared" si="5"/>
        <v>798.30000000000007</v>
      </c>
      <c r="G50" s="60">
        <f t="shared" si="5"/>
        <v>787.30000000000007</v>
      </c>
      <c r="H50" s="60">
        <f t="shared" si="5"/>
        <v>787.30000000000007</v>
      </c>
      <c r="I50" s="60">
        <f t="shared" si="5"/>
        <v>784.00000000000011</v>
      </c>
      <c r="J50" s="60">
        <f t="shared" si="5"/>
        <v>784.00000000000011</v>
      </c>
      <c r="K50" s="60">
        <f t="shared" si="5"/>
        <v>784.00000000000011</v>
      </c>
      <c r="L50" s="60">
        <f t="shared" si="5"/>
        <v>784.00000000000011</v>
      </c>
      <c r="M50" s="60">
        <f t="shared" si="5"/>
        <v>787.50000000000011</v>
      </c>
      <c r="N50" s="60">
        <f t="shared" si="5"/>
        <v>787.50000000000011</v>
      </c>
      <c r="O50" s="60">
        <f t="shared" si="5"/>
        <v>787.50000000000011</v>
      </c>
      <c r="P50" s="60">
        <f t="shared" si="5"/>
        <v>787.50000000000011</v>
      </c>
      <c r="Q50" s="60">
        <f t="shared" si="5"/>
        <v>787.6</v>
      </c>
      <c r="R50" s="60">
        <f t="shared" si="5"/>
        <v>787.6</v>
      </c>
      <c r="S50" s="60">
        <f t="shared" si="5"/>
        <v>787.6</v>
      </c>
      <c r="T50" s="60">
        <f t="shared" si="5"/>
        <v>787.6</v>
      </c>
      <c r="U50" s="60">
        <f t="shared" si="5"/>
        <v>777.6</v>
      </c>
      <c r="V50" s="60">
        <f t="shared" si="5"/>
        <v>777.6</v>
      </c>
      <c r="W50" s="60">
        <f t="shared" si="5"/>
        <v>777.6</v>
      </c>
      <c r="X50" s="60">
        <f t="shared" si="5"/>
        <v>777.6</v>
      </c>
      <c r="Y50" s="60">
        <f t="shared" si="5"/>
        <v>777.6</v>
      </c>
      <c r="Z50" s="60">
        <f t="shared" si="5"/>
        <v>777.6</v>
      </c>
      <c r="AA50" s="60">
        <f>SUM(AA11:AA48)</f>
        <v>806.4</v>
      </c>
      <c r="AB50" s="60">
        <f t="shared" si="5"/>
        <v>784.3</v>
      </c>
      <c r="AC50" s="60">
        <f t="shared" si="5"/>
        <v>788.30000000000007</v>
      </c>
      <c r="AD50" s="60">
        <f t="shared" si="5"/>
        <v>788.30000000000007</v>
      </c>
      <c r="AE50" s="60">
        <f t="shared" si="5"/>
        <v>788.30000000000007</v>
      </c>
      <c r="AF50" s="60">
        <f t="shared" si="5"/>
        <v>733.80000000000007</v>
      </c>
      <c r="AG50" s="61">
        <f>SUM(AG13:AG48)</f>
        <v>922.14</v>
      </c>
      <c r="AH50" s="47">
        <f t="shared" si="2"/>
        <v>806.4</v>
      </c>
      <c r="AI50" s="48">
        <f t="shared" si="3"/>
        <v>733.80000000000007</v>
      </c>
      <c r="AK50" s="49"/>
    </row>
    <row r="51" spans="1:41" x14ac:dyDescent="0.25">
      <c r="A51" s="62" t="s">
        <v>57</v>
      </c>
      <c r="B51" s="45">
        <v>370</v>
      </c>
      <c r="C51" s="45">
        <v>430</v>
      </c>
      <c r="D51" s="45">
        <v>430</v>
      </c>
      <c r="E51" s="45">
        <v>420</v>
      </c>
      <c r="F51" s="45">
        <v>360</v>
      </c>
      <c r="G51" s="45">
        <v>375</v>
      </c>
      <c r="H51" s="45">
        <v>335</v>
      </c>
      <c r="I51" s="45">
        <v>330</v>
      </c>
      <c r="J51" s="45">
        <v>110</v>
      </c>
      <c r="K51" s="45">
        <v>90</v>
      </c>
      <c r="L51" s="45">
        <v>125</v>
      </c>
      <c r="M51" s="45">
        <v>140</v>
      </c>
      <c r="N51" s="63">
        <v>160</v>
      </c>
      <c r="O51" s="63">
        <v>220</v>
      </c>
      <c r="P51" s="63">
        <v>232</v>
      </c>
      <c r="Q51" s="63">
        <v>315</v>
      </c>
      <c r="R51" s="63">
        <v>300</v>
      </c>
      <c r="S51" s="45">
        <v>300</v>
      </c>
      <c r="T51" s="45">
        <v>290</v>
      </c>
      <c r="U51" s="45">
        <v>274.8</v>
      </c>
      <c r="V51" s="45">
        <v>300</v>
      </c>
      <c r="W51" s="45">
        <v>270</v>
      </c>
      <c r="X51" s="45">
        <v>260</v>
      </c>
      <c r="Y51" s="45">
        <v>270</v>
      </c>
      <c r="Z51" s="45">
        <v>270</v>
      </c>
      <c r="AA51" s="45">
        <v>440</v>
      </c>
      <c r="AB51" s="45">
        <v>440</v>
      </c>
      <c r="AC51" s="45">
        <v>456</v>
      </c>
      <c r="AD51" s="45">
        <v>456</v>
      </c>
      <c r="AE51" s="45">
        <v>420</v>
      </c>
      <c r="AF51" s="45">
        <v>420</v>
      </c>
      <c r="AG51" s="51">
        <v>456</v>
      </c>
      <c r="AH51" s="47">
        <f t="shared" si="2"/>
        <v>456</v>
      </c>
      <c r="AI51" s="48">
        <f t="shared" si="3"/>
        <v>90</v>
      </c>
      <c r="AK51" s="49"/>
    </row>
    <row r="52" spans="1:41" x14ac:dyDescent="0.25">
      <c r="A52" s="64" t="s">
        <v>58</v>
      </c>
      <c r="B52" s="65">
        <v>60</v>
      </c>
      <c r="C52" s="65">
        <v>60</v>
      </c>
      <c r="D52" s="65">
        <v>60</v>
      </c>
      <c r="E52" s="65">
        <v>60</v>
      </c>
      <c r="F52" s="65">
        <v>60</v>
      </c>
      <c r="G52" s="65">
        <v>50</v>
      </c>
      <c r="H52" s="65">
        <v>40</v>
      </c>
      <c r="I52" s="65">
        <v>60</v>
      </c>
      <c r="J52" s="65">
        <v>60</v>
      </c>
      <c r="K52" s="65">
        <v>60</v>
      </c>
      <c r="L52" s="65">
        <v>60</v>
      </c>
      <c r="M52" s="65">
        <v>44.2</v>
      </c>
      <c r="N52" s="65">
        <v>44.2</v>
      </c>
      <c r="O52" s="65">
        <v>44.2</v>
      </c>
      <c r="P52" s="65">
        <v>44.2</v>
      </c>
      <c r="Q52" s="65">
        <v>42</v>
      </c>
      <c r="R52" s="65">
        <v>42</v>
      </c>
      <c r="S52" s="65">
        <v>42</v>
      </c>
      <c r="T52" s="65">
        <v>42</v>
      </c>
      <c r="U52" s="65">
        <v>60</v>
      </c>
      <c r="V52" s="65">
        <v>60</v>
      </c>
      <c r="W52" s="65">
        <v>60</v>
      </c>
      <c r="X52" s="65">
        <v>60</v>
      </c>
      <c r="Y52" s="65">
        <v>60</v>
      </c>
      <c r="Z52" s="65">
        <v>60</v>
      </c>
      <c r="AA52" s="65">
        <v>60</v>
      </c>
      <c r="AB52" s="65">
        <v>60</v>
      </c>
      <c r="AC52" s="65">
        <v>60</v>
      </c>
      <c r="AD52" s="65">
        <v>60</v>
      </c>
      <c r="AE52" s="65">
        <v>60</v>
      </c>
      <c r="AF52" s="65">
        <v>60</v>
      </c>
      <c r="AG52" s="54">
        <v>60</v>
      </c>
      <c r="AH52" s="47">
        <f t="shared" si="2"/>
        <v>60</v>
      </c>
      <c r="AI52" s="48">
        <f t="shared" si="3"/>
        <v>40</v>
      </c>
      <c r="AK52" s="49"/>
    </row>
    <row r="53" spans="1:41" ht="15.75" thickBot="1" x14ac:dyDescent="0.3">
      <c r="A53" s="66" t="s">
        <v>59</v>
      </c>
      <c r="B53" s="67">
        <v>22</v>
      </c>
      <c r="C53" s="67">
        <v>22</v>
      </c>
      <c r="D53" s="67">
        <v>22</v>
      </c>
      <c r="E53" s="67">
        <v>22</v>
      </c>
      <c r="F53" s="67">
        <v>22</v>
      </c>
      <c r="G53" s="67">
        <v>22</v>
      </c>
      <c r="H53" s="67">
        <v>22</v>
      </c>
      <c r="I53" s="67">
        <v>22</v>
      </c>
      <c r="J53" s="67">
        <v>22</v>
      </c>
      <c r="K53" s="67">
        <v>22</v>
      </c>
      <c r="L53" s="67">
        <v>22</v>
      </c>
      <c r="M53" s="67">
        <v>22</v>
      </c>
      <c r="N53" s="67">
        <v>22</v>
      </c>
      <c r="O53" s="67">
        <v>22</v>
      </c>
      <c r="P53" s="67">
        <v>22</v>
      </c>
      <c r="Q53" s="67">
        <v>22</v>
      </c>
      <c r="R53" s="67">
        <v>22</v>
      </c>
      <c r="S53" s="67">
        <v>22</v>
      </c>
      <c r="T53" s="67">
        <v>22</v>
      </c>
      <c r="U53" s="67">
        <v>22</v>
      </c>
      <c r="V53" s="67">
        <v>22</v>
      </c>
      <c r="W53" s="67">
        <v>22</v>
      </c>
      <c r="X53" s="67">
        <v>22</v>
      </c>
      <c r="Y53" s="67">
        <v>22</v>
      </c>
      <c r="Z53" s="67">
        <v>22</v>
      </c>
      <c r="AA53" s="67">
        <v>22</v>
      </c>
      <c r="AB53" s="67">
        <v>22</v>
      </c>
      <c r="AC53" s="67">
        <v>22</v>
      </c>
      <c r="AD53" s="67">
        <v>22</v>
      </c>
      <c r="AE53" s="67">
        <v>22</v>
      </c>
      <c r="AF53" s="67">
        <v>22</v>
      </c>
      <c r="AG53" s="68">
        <v>22.1</v>
      </c>
      <c r="AH53" s="47">
        <f t="shared" si="2"/>
        <v>22</v>
      </c>
      <c r="AI53" s="48">
        <f t="shared" si="3"/>
        <v>22</v>
      </c>
      <c r="AK53" s="49"/>
    </row>
    <row r="54" spans="1:41" ht="15.75" thickBot="1" x14ac:dyDescent="0.3">
      <c r="A54" s="69" t="s">
        <v>60</v>
      </c>
      <c r="B54" s="60">
        <f t="shared" ref="B54:AG54" si="6">SUM(B51:B53)</f>
        <v>452</v>
      </c>
      <c r="C54" s="60">
        <f t="shared" si="6"/>
        <v>512</v>
      </c>
      <c r="D54" s="60">
        <f t="shared" si="6"/>
        <v>512</v>
      </c>
      <c r="E54" s="60">
        <f t="shared" si="6"/>
        <v>502</v>
      </c>
      <c r="F54" s="60">
        <f t="shared" si="6"/>
        <v>442</v>
      </c>
      <c r="G54" s="60">
        <f t="shared" si="6"/>
        <v>447</v>
      </c>
      <c r="H54" s="60">
        <f t="shared" si="6"/>
        <v>397</v>
      </c>
      <c r="I54" s="60">
        <f t="shared" si="6"/>
        <v>412</v>
      </c>
      <c r="J54" s="60">
        <f t="shared" si="6"/>
        <v>192</v>
      </c>
      <c r="K54" s="60">
        <f t="shared" si="6"/>
        <v>172</v>
      </c>
      <c r="L54" s="60">
        <f t="shared" si="6"/>
        <v>207</v>
      </c>
      <c r="M54" s="60">
        <f t="shared" si="6"/>
        <v>206.2</v>
      </c>
      <c r="N54" s="60">
        <f t="shared" si="6"/>
        <v>226.2</v>
      </c>
      <c r="O54" s="60">
        <f t="shared" si="6"/>
        <v>286.2</v>
      </c>
      <c r="P54" s="60">
        <f t="shared" si="6"/>
        <v>298.2</v>
      </c>
      <c r="Q54" s="60">
        <f t="shared" si="6"/>
        <v>379</v>
      </c>
      <c r="R54" s="60">
        <f t="shared" si="6"/>
        <v>364</v>
      </c>
      <c r="S54" s="60">
        <f t="shared" si="6"/>
        <v>364</v>
      </c>
      <c r="T54" s="60">
        <f t="shared" si="6"/>
        <v>354</v>
      </c>
      <c r="U54" s="60">
        <f t="shared" si="6"/>
        <v>356.8</v>
      </c>
      <c r="V54" s="60">
        <f t="shared" si="6"/>
        <v>382</v>
      </c>
      <c r="W54" s="60">
        <f t="shared" si="6"/>
        <v>352</v>
      </c>
      <c r="X54" s="60">
        <f t="shared" si="6"/>
        <v>342</v>
      </c>
      <c r="Y54" s="60">
        <f t="shared" si="6"/>
        <v>352</v>
      </c>
      <c r="Z54" s="60">
        <f t="shared" si="6"/>
        <v>352</v>
      </c>
      <c r="AA54" s="60">
        <f>SUM(AA51:AA53)</f>
        <v>522</v>
      </c>
      <c r="AB54" s="60">
        <f t="shared" si="6"/>
        <v>522</v>
      </c>
      <c r="AC54" s="60">
        <f t="shared" si="6"/>
        <v>538</v>
      </c>
      <c r="AD54" s="60">
        <f t="shared" si="6"/>
        <v>538</v>
      </c>
      <c r="AE54" s="60">
        <f t="shared" si="6"/>
        <v>502</v>
      </c>
      <c r="AF54" s="60">
        <f t="shared" si="6"/>
        <v>502</v>
      </c>
      <c r="AG54" s="61">
        <f t="shared" si="6"/>
        <v>538.1</v>
      </c>
      <c r="AH54" s="47">
        <f t="shared" si="2"/>
        <v>538</v>
      </c>
      <c r="AI54" s="48">
        <f t="shared" si="3"/>
        <v>172</v>
      </c>
      <c r="AK54" s="49"/>
    </row>
    <row r="55" spans="1:41" x14ac:dyDescent="0.25">
      <c r="A55" s="44" t="s">
        <v>61</v>
      </c>
      <c r="B55" s="45">
        <v>112</v>
      </c>
      <c r="C55" s="45">
        <v>116</v>
      </c>
      <c r="D55" s="45">
        <v>116</v>
      </c>
      <c r="E55" s="45">
        <v>96.6</v>
      </c>
      <c r="F55" s="45">
        <v>91.9</v>
      </c>
      <c r="G55" s="45">
        <v>116.7</v>
      </c>
      <c r="H55" s="45">
        <v>116.9</v>
      </c>
      <c r="I55" s="45">
        <v>116.9</v>
      </c>
      <c r="J55" s="45">
        <v>126.9</v>
      </c>
      <c r="K55" s="45">
        <v>122.2</v>
      </c>
      <c r="L55" s="45">
        <v>101.6</v>
      </c>
      <c r="M55" s="45">
        <v>92</v>
      </c>
      <c r="N55" s="45">
        <v>106.4</v>
      </c>
      <c r="O55" s="45">
        <v>144</v>
      </c>
      <c r="P55" s="45">
        <v>117</v>
      </c>
      <c r="Q55" s="45">
        <v>143</v>
      </c>
      <c r="R55" s="45">
        <v>144</v>
      </c>
      <c r="S55" s="45">
        <v>144.80000000000001</v>
      </c>
      <c r="T55" s="45">
        <v>144.80000000000001</v>
      </c>
      <c r="U55" s="45">
        <v>123.2</v>
      </c>
      <c r="V55" s="45">
        <v>142</v>
      </c>
      <c r="W55" s="45">
        <v>142.80000000000001</v>
      </c>
      <c r="X55" s="45">
        <v>130</v>
      </c>
      <c r="Y55" s="45">
        <v>122</v>
      </c>
      <c r="Z55" s="45">
        <v>120</v>
      </c>
      <c r="AA55" s="45">
        <v>129.4</v>
      </c>
      <c r="AB55" s="45">
        <v>143</v>
      </c>
      <c r="AC55" s="45">
        <v>143</v>
      </c>
      <c r="AD55" s="45">
        <v>143</v>
      </c>
      <c r="AE55" s="45">
        <v>143</v>
      </c>
      <c r="AF55" s="45">
        <v>143</v>
      </c>
      <c r="AG55" s="51">
        <v>144</v>
      </c>
      <c r="AH55" s="47">
        <f t="shared" si="2"/>
        <v>144.80000000000001</v>
      </c>
      <c r="AI55" s="48">
        <f t="shared" si="3"/>
        <v>91.9</v>
      </c>
      <c r="AK55" s="49"/>
    </row>
    <row r="56" spans="1:41" x14ac:dyDescent="0.25">
      <c r="A56" s="53" t="s">
        <v>62</v>
      </c>
      <c r="B56" s="45">
        <v>71.5</v>
      </c>
      <c r="C56" s="45">
        <v>71.5</v>
      </c>
      <c r="D56" s="45">
        <v>71.5</v>
      </c>
      <c r="E56" s="65">
        <v>69.599999999999994</v>
      </c>
      <c r="F56" s="65">
        <v>71.2</v>
      </c>
      <c r="G56" s="65">
        <v>70.900000000000006</v>
      </c>
      <c r="H56" s="65">
        <v>73.3</v>
      </c>
      <c r="I56" s="65">
        <v>70.599999999999994</v>
      </c>
      <c r="J56" s="65">
        <v>71.900000000000006</v>
      </c>
      <c r="K56" s="65">
        <v>72.099999999999994</v>
      </c>
      <c r="L56" s="65">
        <v>71.2</v>
      </c>
      <c r="M56" s="65">
        <v>72</v>
      </c>
      <c r="N56" s="65">
        <v>71.8</v>
      </c>
      <c r="O56" s="65">
        <v>71.8</v>
      </c>
      <c r="P56" s="65">
        <v>71.3</v>
      </c>
      <c r="Q56" s="65">
        <v>71.2</v>
      </c>
      <c r="R56" s="65">
        <v>69.400000000000006</v>
      </c>
      <c r="S56" s="65">
        <v>69.400000000000006</v>
      </c>
      <c r="T56" s="65">
        <v>69.400000000000006</v>
      </c>
      <c r="U56" s="45">
        <v>69.8</v>
      </c>
      <c r="V56" s="45">
        <v>69.8</v>
      </c>
      <c r="W56" s="45">
        <v>70.900000000000006</v>
      </c>
      <c r="X56" s="45">
        <v>70.900000000000006</v>
      </c>
      <c r="Y56" s="45">
        <v>66.2</v>
      </c>
      <c r="Z56" s="45">
        <v>66.2</v>
      </c>
      <c r="AA56" s="45">
        <v>70.900000000000006</v>
      </c>
      <c r="AB56" s="45">
        <v>70</v>
      </c>
      <c r="AC56" s="45">
        <v>70</v>
      </c>
      <c r="AD56" s="45">
        <v>70</v>
      </c>
      <c r="AE56" s="45">
        <v>70</v>
      </c>
      <c r="AF56" s="45">
        <v>70</v>
      </c>
      <c r="AG56" s="54">
        <v>70</v>
      </c>
      <c r="AH56" s="47">
        <f t="shared" si="2"/>
        <v>73.3</v>
      </c>
      <c r="AI56" s="48">
        <f t="shared" si="3"/>
        <v>66.2</v>
      </c>
      <c r="AK56" s="49"/>
    </row>
    <row r="57" spans="1:41" x14ac:dyDescent="0.25">
      <c r="A57" s="53" t="s">
        <v>63</v>
      </c>
      <c r="B57" s="45">
        <v>69</v>
      </c>
      <c r="C57" s="45">
        <v>69</v>
      </c>
      <c r="D57" s="45">
        <v>69</v>
      </c>
      <c r="E57" s="65">
        <v>61.7</v>
      </c>
      <c r="F57" s="65">
        <v>61.4</v>
      </c>
      <c r="G57" s="65">
        <v>70.2</v>
      </c>
      <c r="H57" s="65">
        <v>69.900000000000006</v>
      </c>
      <c r="I57" s="65">
        <v>70.3</v>
      </c>
      <c r="J57" s="65">
        <v>69.900000000000006</v>
      </c>
      <c r="K57" s="65">
        <v>70.3</v>
      </c>
      <c r="L57" s="65">
        <v>70.400000000000006</v>
      </c>
      <c r="M57" s="65">
        <v>70.7</v>
      </c>
      <c r="N57" s="65">
        <v>71.3</v>
      </c>
      <c r="O57" s="65">
        <v>71.400000000000006</v>
      </c>
      <c r="P57" s="65">
        <v>70.099999999999994</v>
      </c>
      <c r="Q57" s="65">
        <v>69</v>
      </c>
      <c r="R57" s="65">
        <v>70.2</v>
      </c>
      <c r="S57" s="65">
        <v>70.2</v>
      </c>
      <c r="T57" s="65">
        <v>70.2</v>
      </c>
      <c r="U57" s="45">
        <v>69.7</v>
      </c>
      <c r="V57" s="45">
        <v>69.7</v>
      </c>
      <c r="W57" s="45">
        <v>69.2</v>
      </c>
      <c r="X57" s="45">
        <v>69.2</v>
      </c>
      <c r="Y57" s="45">
        <v>69.2</v>
      </c>
      <c r="Z57" s="45">
        <v>69.2</v>
      </c>
      <c r="AA57" s="45">
        <v>69.599999999999994</v>
      </c>
      <c r="AB57" s="45">
        <v>68.3</v>
      </c>
      <c r="AC57" s="45">
        <v>69</v>
      </c>
      <c r="AD57" s="45">
        <v>69</v>
      </c>
      <c r="AE57" s="45">
        <v>69</v>
      </c>
      <c r="AF57" s="45">
        <v>69</v>
      </c>
      <c r="AG57" s="54">
        <v>69</v>
      </c>
      <c r="AH57" s="47">
        <f t="shared" si="2"/>
        <v>71.400000000000006</v>
      </c>
      <c r="AI57" s="48">
        <f t="shared" si="3"/>
        <v>61.4</v>
      </c>
      <c r="AK57" s="49"/>
    </row>
    <row r="58" spans="1:41" x14ac:dyDescent="0.25">
      <c r="A58" s="53" t="s">
        <v>64</v>
      </c>
      <c r="B58" s="45">
        <v>60</v>
      </c>
      <c r="C58" s="45">
        <v>60</v>
      </c>
      <c r="D58" s="45">
        <v>60</v>
      </c>
      <c r="E58" s="56">
        <v>60</v>
      </c>
      <c r="F58" s="56">
        <v>60</v>
      </c>
      <c r="G58" s="56">
        <v>60</v>
      </c>
      <c r="H58" s="56">
        <v>60</v>
      </c>
      <c r="I58" s="56">
        <v>60</v>
      </c>
      <c r="J58" s="56">
        <v>60</v>
      </c>
      <c r="K58" s="56">
        <v>60</v>
      </c>
      <c r="L58" s="56">
        <v>60</v>
      </c>
      <c r="M58" s="56">
        <v>60</v>
      </c>
      <c r="N58" s="56">
        <v>60</v>
      </c>
      <c r="O58" s="56">
        <v>60</v>
      </c>
      <c r="P58" s="56">
        <v>60</v>
      </c>
      <c r="Q58" s="65">
        <v>60.4</v>
      </c>
      <c r="R58" s="65">
        <v>60.4</v>
      </c>
      <c r="S58" s="65">
        <v>60.4</v>
      </c>
      <c r="T58" s="65">
        <v>60.4</v>
      </c>
      <c r="U58" s="45">
        <v>60.4</v>
      </c>
      <c r="V58" s="45">
        <v>60.4</v>
      </c>
      <c r="W58" s="45">
        <v>60.4</v>
      </c>
      <c r="X58" s="45">
        <v>60.4</v>
      </c>
      <c r="Y58" s="45">
        <v>60.4</v>
      </c>
      <c r="Z58" s="45">
        <v>60.4</v>
      </c>
      <c r="AA58" s="45">
        <v>60.4</v>
      </c>
      <c r="AB58" s="45">
        <v>60.4</v>
      </c>
      <c r="AC58" s="45">
        <v>60.4</v>
      </c>
      <c r="AD58" s="45">
        <v>60.4</v>
      </c>
      <c r="AE58" s="45">
        <v>60.4</v>
      </c>
      <c r="AF58" s="45">
        <v>60.4</v>
      </c>
      <c r="AG58" s="54">
        <v>60</v>
      </c>
      <c r="AH58" s="47">
        <f t="shared" si="2"/>
        <v>60.4</v>
      </c>
      <c r="AI58" s="48">
        <f t="shared" si="3"/>
        <v>60</v>
      </c>
      <c r="AK58" s="49"/>
    </row>
    <row r="59" spans="1:41" x14ac:dyDescent="0.25">
      <c r="A59" s="53" t="s">
        <v>65</v>
      </c>
      <c r="B59" s="45">
        <v>15</v>
      </c>
      <c r="C59" s="45">
        <v>15</v>
      </c>
      <c r="D59" s="45">
        <v>15</v>
      </c>
      <c r="E59" s="56">
        <v>15</v>
      </c>
      <c r="F59" s="56">
        <v>15</v>
      </c>
      <c r="G59" s="56">
        <v>15</v>
      </c>
      <c r="H59" s="56">
        <v>15</v>
      </c>
      <c r="I59" s="56">
        <v>15</v>
      </c>
      <c r="J59" s="56">
        <v>15</v>
      </c>
      <c r="K59" s="56">
        <v>15</v>
      </c>
      <c r="L59" s="56">
        <v>10</v>
      </c>
      <c r="M59" s="56">
        <v>10</v>
      </c>
      <c r="N59" s="56">
        <v>10</v>
      </c>
      <c r="O59" s="56">
        <v>10</v>
      </c>
      <c r="P59" s="56">
        <v>10</v>
      </c>
      <c r="Q59" s="65">
        <v>15</v>
      </c>
      <c r="R59" s="65">
        <v>15</v>
      </c>
      <c r="S59" s="65">
        <v>15</v>
      </c>
      <c r="T59" s="65">
        <v>15</v>
      </c>
      <c r="U59" s="45">
        <v>15</v>
      </c>
      <c r="V59" s="45">
        <v>15</v>
      </c>
      <c r="W59" s="45">
        <v>15</v>
      </c>
      <c r="X59" s="45">
        <v>15</v>
      </c>
      <c r="Y59" s="45">
        <v>15</v>
      </c>
      <c r="Z59" s="45">
        <v>15</v>
      </c>
      <c r="AA59" s="45">
        <v>15</v>
      </c>
      <c r="AB59" s="45">
        <v>15</v>
      </c>
      <c r="AC59" s="45">
        <v>15</v>
      </c>
      <c r="AD59" s="45">
        <v>15</v>
      </c>
      <c r="AE59" s="45">
        <v>15</v>
      </c>
      <c r="AF59" s="45">
        <v>15</v>
      </c>
      <c r="AG59" s="54">
        <v>30</v>
      </c>
      <c r="AH59" s="47">
        <f t="shared" si="2"/>
        <v>15</v>
      </c>
      <c r="AI59" s="48">
        <f t="shared" si="3"/>
        <v>10</v>
      </c>
      <c r="AK59" s="49"/>
    </row>
    <row r="60" spans="1:41" x14ac:dyDescent="0.25">
      <c r="A60" s="53" t="s">
        <v>66</v>
      </c>
      <c r="B60" s="45">
        <v>0</v>
      </c>
      <c r="C60" s="45">
        <v>0</v>
      </c>
      <c r="D60" s="45">
        <v>0</v>
      </c>
      <c r="E60" s="4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14.6</v>
      </c>
      <c r="R60" s="65">
        <v>14.6</v>
      </c>
      <c r="S60" s="65">
        <v>14.6</v>
      </c>
      <c r="T60" s="65">
        <v>14.6</v>
      </c>
      <c r="U60" s="65">
        <v>14.6</v>
      </c>
      <c r="V60" s="65">
        <v>14.6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4">
        <v>25</v>
      </c>
      <c r="AH60" s="47">
        <f t="shared" si="2"/>
        <v>14.6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14</v>
      </c>
      <c r="C61" s="65">
        <v>14</v>
      </c>
      <c r="D61" s="65">
        <v>14</v>
      </c>
      <c r="E61" s="65">
        <v>14</v>
      </c>
      <c r="F61" s="65">
        <v>14</v>
      </c>
      <c r="G61" s="65">
        <v>14</v>
      </c>
      <c r="H61" s="65">
        <v>14</v>
      </c>
      <c r="I61" s="65">
        <v>14</v>
      </c>
      <c r="J61" s="65">
        <v>14</v>
      </c>
      <c r="K61" s="65">
        <v>14</v>
      </c>
      <c r="L61" s="65">
        <v>14</v>
      </c>
      <c r="M61" s="65">
        <v>14</v>
      </c>
      <c r="N61" s="65">
        <v>14</v>
      </c>
      <c r="O61" s="65">
        <v>14</v>
      </c>
      <c r="P61" s="65">
        <v>14</v>
      </c>
      <c r="Q61" s="65">
        <v>15.5</v>
      </c>
      <c r="R61" s="65">
        <v>15.5</v>
      </c>
      <c r="S61" s="65">
        <v>15.5</v>
      </c>
      <c r="T61" s="65">
        <v>15.5</v>
      </c>
      <c r="U61" s="65">
        <v>15.5</v>
      </c>
      <c r="V61" s="65">
        <v>15.5</v>
      </c>
      <c r="W61" s="65">
        <v>15.5</v>
      </c>
      <c r="X61" s="65">
        <v>15.5</v>
      </c>
      <c r="Y61" s="65">
        <v>15.5</v>
      </c>
      <c r="Z61" s="65">
        <v>15.5</v>
      </c>
      <c r="AA61" s="65">
        <v>15.5</v>
      </c>
      <c r="AB61" s="65">
        <v>15.5</v>
      </c>
      <c r="AC61" s="65">
        <v>15.5</v>
      </c>
      <c r="AD61" s="65">
        <v>15.5</v>
      </c>
      <c r="AE61" s="65">
        <v>15.5</v>
      </c>
      <c r="AF61" s="65">
        <v>15.5</v>
      </c>
      <c r="AG61" s="54">
        <v>24</v>
      </c>
      <c r="AH61" s="47">
        <f t="shared" si="2"/>
        <v>15.5</v>
      </c>
      <c r="AI61" s="48">
        <f t="shared" si="3"/>
        <v>14</v>
      </c>
      <c r="AK61" s="49"/>
    </row>
    <row r="62" spans="1:41" x14ac:dyDescent="0.25">
      <c r="A62" s="53" t="s">
        <v>68</v>
      </c>
      <c r="B62" s="65">
        <v>1.4</v>
      </c>
      <c r="C62" s="65">
        <v>1.4</v>
      </c>
      <c r="D62" s="65">
        <v>1.4</v>
      </c>
      <c r="E62" s="65">
        <v>1.4</v>
      </c>
      <c r="F62" s="65">
        <v>1.4</v>
      </c>
      <c r="G62" s="65">
        <v>1.4</v>
      </c>
      <c r="H62" s="65">
        <v>1.4</v>
      </c>
      <c r="I62" s="65">
        <v>1.4</v>
      </c>
      <c r="J62" s="65">
        <v>1.4</v>
      </c>
      <c r="K62" s="65">
        <v>1.4</v>
      </c>
      <c r="L62" s="65">
        <v>1.4</v>
      </c>
      <c r="M62" s="65">
        <v>1.4</v>
      </c>
      <c r="N62" s="65">
        <v>1.4</v>
      </c>
      <c r="O62" s="65">
        <v>1.4</v>
      </c>
      <c r="P62" s="65">
        <v>1.4</v>
      </c>
      <c r="Q62" s="65">
        <v>1.4</v>
      </c>
      <c r="R62" s="65">
        <v>1.4</v>
      </c>
      <c r="S62" s="65">
        <v>1.4</v>
      </c>
      <c r="T62" s="65">
        <v>1.4</v>
      </c>
      <c r="U62" s="65">
        <v>1.4</v>
      </c>
      <c r="V62" s="65">
        <v>1.4</v>
      </c>
      <c r="W62" s="65">
        <v>1.4</v>
      </c>
      <c r="X62" s="65">
        <v>1.4</v>
      </c>
      <c r="Y62" s="65">
        <v>1.4</v>
      </c>
      <c r="Z62" s="65">
        <v>1.4</v>
      </c>
      <c r="AA62" s="65">
        <v>1.4</v>
      </c>
      <c r="AB62" s="65">
        <v>1.4</v>
      </c>
      <c r="AC62" s="65">
        <v>1.4</v>
      </c>
      <c r="AD62" s="65">
        <v>1.4</v>
      </c>
      <c r="AE62" s="65">
        <v>1.4</v>
      </c>
      <c r="AF62" s="65">
        <v>1.4</v>
      </c>
      <c r="AG62" s="54">
        <v>15</v>
      </c>
      <c r="AH62" s="47">
        <f t="shared" si="2"/>
        <v>1.4</v>
      </c>
      <c r="AI62" s="48">
        <f t="shared" si="3"/>
        <v>1.4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13</v>
      </c>
      <c r="C63" s="65">
        <v>13</v>
      </c>
      <c r="D63" s="65">
        <v>13</v>
      </c>
      <c r="E63" s="65">
        <v>13</v>
      </c>
      <c r="F63" s="65">
        <v>13</v>
      </c>
      <c r="G63" s="65">
        <v>13</v>
      </c>
      <c r="H63" s="65">
        <v>13</v>
      </c>
      <c r="I63" s="65">
        <v>13</v>
      </c>
      <c r="J63" s="65">
        <v>13</v>
      </c>
      <c r="K63" s="65">
        <v>13</v>
      </c>
      <c r="L63" s="65">
        <v>13</v>
      </c>
      <c r="M63" s="65">
        <v>13</v>
      </c>
      <c r="N63" s="65">
        <v>13</v>
      </c>
      <c r="O63" s="65">
        <v>13</v>
      </c>
      <c r="P63" s="65">
        <v>13</v>
      </c>
      <c r="Q63" s="65">
        <v>12.4</v>
      </c>
      <c r="R63" s="65">
        <v>12.4</v>
      </c>
      <c r="S63" s="65">
        <v>12.4</v>
      </c>
      <c r="T63" s="65">
        <v>12.4</v>
      </c>
      <c r="U63" s="65">
        <v>12.4</v>
      </c>
      <c r="V63" s="65">
        <v>12.4</v>
      </c>
      <c r="W63" s="65">
        <v>12.4</v>
      </c>
      <c r="X63" s="65">
        <v>12.4</v>
      </c>
      <c r="Y63" s="65">
        <v>12.4</v>
      </c>
      <c r="Z63" s="65">
        <v>12.4</v>
      </c>
      <c r="AA63" s="65">
        <v>12.4</v>
      </c>
      <c r="AB63" s="65">
        <v>12.4</v>
      </c>
      <c r="AC63" s="65">
        <v>12.4</v>
      </c>
      <c r="AD63" s="65">
        <v>12.4</v>
      </c>
      <c r="AE63" s="65">
        <v>12.4</v>
      </c>
      <c r="AF63" s="65">
        <v>12.4</v>
      </c>
      <c r="AG63" s="54">
        <v>14.1</v>
      </c>
      <c r="AH63" s="47">
        <f t="shared" si="2"/>
        <v>13</v>
      </c>
      <c r="AI63" s="48">
        <f t="shared" si="3"/>
        <v>12.4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14</v>
      </c>
      <c r="C64" s="65">
        <v>14</v>
      </c>
      <c r="D64" s="65">
        <v>14</v>
      </c>
      <c r="E64" s="65">
        <v>14</v>
      </c>
      <c r="F64" s="65">
        <v>14</v>
      </c>
      <c r="G64" s="65">
        <v>14</v>
      </c>
      <c r="H64" s="65">
        <v>14</v>
      </c>
      <c r="I64" s="65">
        <v>14</v>
      </c>
      <c r="J64" s="65">
        <v>14</v>
      </c>
      <c r="K64" s="65">
        <v>14</v>
      </c>
      <c r="L64" s="65">
        <v>14</v>
      </c>
      <c r="M64" s="65">
        <v>14</v>
      </c>
      <c r="N64" s="65">
        <v>14</v>
      </c>
      <c r="O64" s="65">
        <v>14</v>
      </c>
      <c r="P64" s="65">
        <v>14</v>
      </c>
      <c r="Q64" s="65">
        <v>13.6</v>
      </c>
      <c r="R64" s="65">
        <v>13.6</v>
      </c>
      <c r="S64" s="65">
        <v>13.6</v>
      </c>
      <c r="T64" s="65">
        <v>13.6</v>
      </c>
      <c r="U64" s="65">
        <v>13.6</v>
      </c>
      <c r="V64" s="65">
        <v>13.6</v>
      </c>
      <c r="W64" s="65">
        <v>13.6</v>
      </c>
      <c r="X64" s="65">
        <v>13.6</v>
      </c>
      <c r="Y64" s="65">
        <v>13.6</v>
      </c>
      <c r="Z64" s="65">
        <v>13.6</v>
      </c>
      <c r="AA64" s="65">
        <v>13.6</v>
      </c>
      <c r="AB64" s="65">
        <v>13.6</v>
      </c>
      <c r="AC64" s="65">
        <v>13.6</v>
      </c>
      <c r="AD64" s="65">
        <v>13.6</v>
      </c>
      <c r="AE64" s="65">
        <v>13.6</v>
      </c>
      <c r="AF64" s="65">
        <v>13.6</v>
      </c>
      <c r="AG64" s="54">
        <v>14</v>
      </c>
      <c r="AH64" s="47">
        <f t="shared" si="2"/>
        <v>14</v>
      </c>
      <c r="AI64" s="48">
        <f t="shared" si="3"/>
        <v>13.6</v>
      </c>
      <c r="AK64" s="49"/>
    </row>
    <row r="65" spans="1:40" x14ac:dyDescent="0.25">
      <c r="A65" s="53" t="s">
        <v>71</v>
      </c>
      <c r="B65" s="65">
        <v>6.3</v>
      </c>
      <c r="C65" s="65">
        <v>6.3</v>
      </c>
      <c r="D65" s="65">
        <v>6.3</v>
      </c>
      <c r="E65" s="65">
        <v>6.3</v>
      </c>
      <c r="F65" s="65">
        <v>6.3</v>
      </c>
      <c r="G65" s="65">
        <v>6.3</v>
      </c>
      <c r="H65" s="65">
        <v>6.3</v>
      </c>
      <c r="I65" s="65">
        <v>6.3</v>
      </c>
      <c r="J65" s="65">
        <v>6.3</v>
      </c>
      <c r="K65" s="65">
        <v>6.3</v>
      </c>
      <c r="L65" s="65">
        <v>6.3</v>
      </c>
      <c r="M65" s="65">
        <v>6.3</v>
      </c>
      <c r="N65" s="65">
        <v>6.3</v>
      </c>
      <c r="O65" s="65">
        <v>6.3</v>
      </c>
      <c r="P65" s="65">
        <v>6.3</v>
      </c>
      <c r="Q65" s="65">
        <v>5.85</v>
      </c>
      <c r="R65" s="65">
        <v>5.85</v>
      </c>
      <c r="S65" s="65">
        <v>5.85</v>
      </c>
      <c r="T65" s="65">
        <v>5.85</v>
      </c>
      <c r="U65" s="65">
        <v>5.85</v>
      </c>
      <c r="V65" s="65">
        <v>5.85</v>
      </c>
      <c r="W65" s="65">
        <v>5.85</v>
      </c>
      <c r="X65" s="65">
        <v>5.85</v>
      </c>
      <c r="Y65" s="65">
        <v>5.85</v>
      </c>
      <c r="Z65" s="65">
        <v>5.85</v>
      </c>
      <c r="AA65" s="65">
        <v>5.85</v>
      </c>
      <c r="AB65" s="65">
        <v>5.85</v>
      </c>
      <c r="AC65" s="65">
        <v>5.85</v>
      </c>
      <c r="AD65" s="65">
        <v>5.85</v>
      </c>
      <c r="AE65" s="65">
        <v>5.85</v>
      </c>
      <c r="AF65" s="65">
        <v>5.85</v>
      </c>
      <c r="AG65" s="54">
        <v>10.050000000000001</v>
      </c>
      <c r="AH65" s="47">
        <f t="shared" si="2"/>
        <v>6.3</v>
      </c>
      <c r="AI65" s="48">
        <f t="shared" si="3"/>
        <v>5.85</v>
      </c>
      <c r="AK65" s="49"/>
    </row>
    <row r="66" spans="1:40" x14ac:dyDescent="0.25">
      <c r="A66" s="53" t="s">
        <v>72</v>
      </c>
      <c r="B66" s="65">
        <v>2</v>
      </c>
      <c r="C66" s="65">
        <v>2</v>
      </c>
      <c r="D66" s="65">
        <v>2</v>
      </c>
      <c r="E66" s="65">
        <v>2</v>
      </c>
      <c r="F66" s="65">
        <v>2</v>
      </c>
      <c r="G66" s="65">
        <v>2</v>
      </c>
      <c r="H66" s="65">
        <v>2</v>
      </c>
      <c r="I66" s="65">
        <v>2</v>
      </c>
      <c r="J66" s="65">
        <v>2</v>
      </c>
      <c r="K66" s="65">
        <v>2</v>
      </c>
      <c r="L66" s="65">
        <v>2</v>
      </c>
      <c r="M66" s="65">
        <v>2</v>
      </c>
      <c r="N66" s="65">
        <v>2</v>
      </c>
      <c r="O66" s="65">
        <v>2</v>
      </c>
      <c r="P66" s="65">
        <v>2</v>
      </c>
      <c r="Q66" s="65">
        <v>2.2000000000000002</v>
      </c>
      <c r="R66" s="65">
        <v>2.2000000000000002</v>
      </c>
      <c r="S66" s="65">
        <v>2.2000000000000002</v>
      </c>
      <c r="T66" s="65">
        <v>2.2000000000000002</v>
      </c>
      <c r="U66" s="65">
        <v>2.2000000000000002</v>
      </c>
      <c r="V66" s="65">
        <v>2.2000000000000002</v>
      </c>
      <c r="W66" s="65">
        <v>2.2000000000000002</v>
      </c>
      <c r="X66" s="65">
        <v>2.2000000000000002</v>
      </c>
      <c r="Y66" s="65">
        <v>2.2000000000000002</v>
      </c>
      <c r="Z66" s="65">
        <v>2.2000000000000002</v>
      </c>
      <c r="AA66" s="65">
        <v>2.2000000000000002</v>
      </c>
      <c r="AB66" s="65">
        <v>2.2000000000000002</v>
      </c>
      <c r="AC66" s="65">
        <v>2.2000000000000002</v>
      </c>
      <c r="AD66" s="65">
        <v>2.2000000000000002</v>
      </c>
      <c r="AE66" s="65">
        <v>2.2000000000000002</v>
      </c>
      <c r="AF66" s="65">
        <v>2.2000000000000002</v>
      </c>
      <c r="AG66" s="54">
        <v>6.2</v>
      </c>
      <c r="AH66" s="47">
        <f t="shared" si="2"/>
        <v>2.2000000000000002</v>
      </c>
      <c r="AI66" s="48">
        <f t="shared" si="3"/>
        <v>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7">SUM(B55:B67)</f>
        <v>381.74</v>
      </c>
      <c r="C68" s="60">
        <f t="shared" si="7"/>
        <v>385.74</v>
      </c>
      <c r="D68" s="60">
        <f t="shared" si="7"/>
        <v>385.74</v>
      </c>
      <c r="E68" s="60">
        <f t="shared" si="7"/>
        <v>357.14</v>
      </c>
      <c r="F68" s="60">
        <f t="shared" si="7"/>
        <v>353.74</v>
      </c>
      <c r="G68" s="60">
        <f t="shared" si="7"/>
        <v>387.04</v>
      </c>
      <c r="H68" s="60">
        <f t="shared" si="7"/>
        <v>389.34000000000003</v>
      </c>
      <c r="I68" s="60">
        <f t="shared" si="7"/>
        <v>387.04</v>
      </c>
      <c r="J68" s="60">
        <f t="shared" si="7"/>
        <v>397.94000000000005</v>
      </c>
      <c r="K68" s="60">
        <f t="shared" si="7"/>
        <v>393.84000000000003</v>
      </c>
      <c r="L68" s="60">
        <f t="shared" si="7"/>
        <v>367.44000000000005</v>
      </c>
      <c r="M68" s="60">
        <f t="shared" si="7"/>
        <v>358.94</v>
      </c>
      <c r="N68" s="60">
        <f t="shared" si="7"/>
        <v>373.74</v>
      </c>
      <c r="O68" s="60">
        <f t="shared" si="7"/>
        <v>411.44000000000005</v>
      </c>
      <c r="P68" s="60">
        <f t="shared" si="7"/>
        <v>382.64</v>
      </c>
      <c r="Q68" s="60">
        <f t="shared" si="7"/>
        <v>427.69</v>
      </c>
      <c r="R68" s="60">
        <f t="shared" si="7"/>
        <v>428.09000000000003</v>
      </c>
      <c r="S68" s="60">
        <f t="shared" si="7"/>
        <v>428.89000000000004</v>
      </c>
      <c r="T68" s="60">
        <f t="shared" si="7"/>
        <v>428.89000000000004</v>
      </c>
      <c r="U68" s="60">
        <f t="shared" si="7"/>
        <v>407.19</v>
      </c>
      <c r="V68" s="60">
        <f t="shared" si="7"/>
        <v>425.99</v>
      </c>
      <c r="W68" s="60">
        <f t="shared" si="7"/>
        <v>412.79</v>
      </c>
      <c r="X68" s="60">
        <f t="shared" si="7"/>
        <v>399.99</v>
      </c>
      <c r="Y68" s="60">
        <f t="shared" si="7"/>
        <v>387.28999999999996</v>
      </c>
      <c r="Z68" s="60">
        <f t="shared" si="7"/>
        <v>385.28999999999996</v>
      </c>
      <c r="AA68" s="60">
        <f>SUM(AA55:AA67)</f>
        <v>399.78999999999996</v>
      </c>
      <c r="AB68" s="60">
        <f t="shared" si="7"/>
        <v>411.19</v>
      </c>
      <c r="AC68" s="60">
        <f t="shared" si="7"/>
        <v>411.89</v>
      </c>
      <c r="AD68" s="60">
        <f t="shared" si="7"/>
        <v>411.89</v>
      </c>
      <c r="AE68" s="60">
        <f t="shared" si="7"/>
        <v>411.89</v>
      </c>
      <c r="AF68" s="60">
        <f t="shared" si="7"/>
        <v>411.89</v>
      </c>
      <c r="AG68" s="61">
        <f t="shared" si="7"/>
        <v>489.91</v>
      </c>
      <c r="AH68" s="47">
        <f t="shared" si="2"/>
        <v>428.89000000000004</v>
      </c>
      <c r="AI68" s="48">
        <f t="shared" si="3"/>
        <v>353.74</v>
      </c>
      <c r="AK68" s="49"/>
    </row>
    <row r="69" spans="1:40" x14ac:dyDescent="0.25">
      <c r="A69" s="44" t="s">
        <v>75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>
        <v>14</v>
      </c>
      <c r="N69" s="45">
        <v>14</v>
      </c>
      <c r="O69" s="45">
        <v>30</v>
      </c>
      <c r="P69" s="45">
        <v>40</v>
      </c>
      <c r="Q69" s="45">
        <v>35</v>
      </c>
      <c r="R69" s="45">
        <v>35</v>
      </c>
      <c r="S69" s="45">
        <v>35</v>
      </c>
      <c r="T69" s="45">
        <v>14</v>
      </c>
      <c r="U69" s="45">
        <v>14</v>
      </c>
      <c r="V69" s="45">
        <v>14</v>
      </c>
      <c r="W69" s="45">
        <v>14</v>
      </c>
      <c r="X69" s="45">
        <v>0</v>
      </c>
      <c r="Y69" s="45">
        <v>0</v>
      </c>
      <c r="Z69" s="45">
        <v>0</v>
      </c>
      <c r="AA69" s="45">
        <v>14</v>
      </c>
      <c r="AB69" s="45">
        <v>30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40</v>
      </c>
      <c r="AI69" s="48">
        <f t="shared" si="3"/>
        <v>0</v>
      </c>
      <c r="AK69" s="49"/>
    </row>
    <row r="70" spans="1:40" x14ac:dyDescent="0.25">
      <c r="A70" s="53" t="s">
        <v>76</v>
      </c>
      <c r="B70" s="45"/>
      <c r="C70" s="45"/>
      <c r="D70" s="65"/>
      <c r="E70" s="65"/>
      <c r="F70" s="65"/>
      <c r="G70" s="65"/>
      <c r="H70" s="65"/>
      <c r="I70" s="65"/>
      <c r="J70" s="65"/>
      <c r="K70" s="65"/>
      <c r="L70" s="65"/>
      <c r="M70" s="65">
        <v>6</v>
      </c>
      <c r="N70" s="65">
        <v>6</v>
      </c>
      <c r="O70" s="65">
        <v>14</v>
      </c>
      <c r="P70" s="65">
        <v>18</v>
      </c>
      <c r="Q70" s="65">
        <v>15</v>
      </c>
      <c r="R70" s="65">
        <v>16</v>
      </c>
      <c r="S70" s="65">
        <v>16</v>
      </c>
      <c r="T70" s="65">
        <v>5.3</v>
      </c>
      <c r="U70" s="65">
        <v>10.6</v>
      </c>
      <c r="V70" s="65">
        <v>10.6</v>
      </c>
      <c r="W70" s="65">
        <v>10.6</v>
      </c>
      <c r="X70" s="65">
        <v>0</v>
      </c>
      <c r="Y70" s="65">
        <v>0</v>
      </c>
      <c r="Z70" s="65">
        <v>0</v>
      </c>
      <c r="AA70" s="65">
        <v>3.7</v>
      </c>
      <c r="AB70" s="65">
        <v>13.8</v>
      </c>
      <c r="AC70" s="65">
        <v>0</v>
      </c>
      <c r="AD70" s="65">
        <v>0</v>
      </c>
      <c r="AE70" s="65">
        <v>0</v>
      </c>
      <c r="AF70" s="65">
        <v>0</v>
      </c>
      <c r="AG70" s="54">
        <v>32</v>
      </c>
      <c r="AH70" s="47">
        <f t="shared" si="2"/>
        <v>18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/>
      <c r="C71" s="45"/>
      <c r="D71" s="67"/>
      <c r="E71" s="67"/>
      <c r="F71" s="67"/>
      <c r="G71" s="67"/>
      <c r="H71" s="67"/>
      <c r="I71" s="67"/>
      <c r="J71" s="67"/>
      <c r="K71" s="67"/>
      <c r="L71" s="67"/>
      <c r="M71" s="67">
        <v>2.2000000000000002</v>
      </c>
      <c r="N71" s="67">
        <v>2.2000000000000002</v>
      </c>
      <c r="O71" s="67">
        <v>6.2</v>
      </c>
      <c r="P71" s="67">
        <v>6.7</v>
      </c>
      <c r="Q71" s="67">
        <v>5.96</v>
      </c>
      <c r="R71" s="67">
        <v>5.96</v>
      </c>
      <c r="S71" s="67">
        <v>5.96</v>
      </c>
      <c r="T71" s="67">
        <v>1.9</v>
      </c>
      <c r="U71" s="67">
        <v>3.9</v>
      </c>
      <c r="V71" s="67">
        <v>3.9</v>
      </c>
      <c r="W71" s="67">
        <v>3.9</v>
      </c>
      <c r="X71" s="67">
        <v>0</v>
      </c>
      <c r="Y71" s="67"/>
      <c r="Z71" s="67"/>
      <c r="AA71" s="67">
        <v>1.3</v>
      </c>
      <c r="AB71" s="67">
        <v>1.3</v>
      </c>
      <c r="AC71" s="67">
        <v>0</v>
      </c>
      <c r="AD71" s="67">
        <v>0</v>
      </c>
      <c r="AE71" s="67">
        <v>0</v>
      </c>
      <c r="AF71" s="67">
        <v>0</v>
      </c>
      <c r="AG71" s="68">
        <v>14</v>
      </c>
      <c r="AH71" s="47">
        <f t="shared" si="2"/>
        <v>6.7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8">M69+M70+M71</f>
        <v>22.2</v>
      </c>
      <c r="N72" s="60">
        <f t="shared" si="8"/>
        <v>22.2</v>
      </c>
      <c r="O72" s="60">
        <f t="shared" si="8"/>
        <v>50.2</v>
      </c>
      <c r="P72" s="60">
        <f t="shared" si="8"/>
        <v>64.7</v>
      </c>
      <c r="Q72" s="60">
        <f t="shared" si="8"/>
        <v>55.96</v>
      </c>
      <c r="R72" s="60">
        <f t="shared" si="8"/>
        <v>56.96</v>
      </c>
      <c r="S72" s="60">
        <f t="shared" si="8"/>
        <v>56.96</v>
      </c>
      <c r="T72" s="60">
        <f t="shared" si="8"/>
        <v>21.2</v>
      </c>
      <c r="U72" s="60">
        <f t="shared" si="8"/>
        <v>28.5</v>
      </c>
      <c r="V72" s="60">
        <f t="shared" si="8"/>
        <v>28.5</v>
      </c>
      <c r="W72" s="60">
        <f t="shared" si="8"/>
        <v>28.5</v>
      </c>
      <c r="X72" s="60">
        <f t="shared" si="8"/>
        <v>0</v>
      </c>
      <c r="Y72" s="60">
        <f t="shared" si="8"/>
        <v>0</v>
      </c>
      <c r="Z72" s="60">
        <f t="shared" si="8"/>
        <v>0</v>
      </c>
      <c r="AA72" s="60">
        <f>SUM(AA69:AA71)</f>
        <v>19</v>
      </c>
      <c r="AB72" s="60">
        <f t="shared" si="8"/>
        <v>45.099999999999994</v>
      </c>
      <c r="AC72" s="60">
        <f t="shared" si="8"/>
        <v>0</v>
      </c>
      <c r="AD72" s="60">
        <f t="shared" si="8"/>
        <v>0</v>
      </c>
      <c r="AE72" s="60">
        <f t="shared" si="8"/>
        <v>0</v>
      </c>
      <c r="AF72" s="60">
        <f t="shared" si="8"/>
        <v>0</v>
      </c>
      <c r="AG72" s="61">
        <f>SUM(AG69:AG71)</f>
        <v>106</v>
      </c>
      <c r="AH72" s="47">
        <f t="shared" si="2"/>
        <v>64.7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65.7</v>
      </c>
      <c r="C73" s="45">
        <v>65.7</v>
      </c>
      <c r="D73" s="45">
        <v>65.7</v>
      </c>
      <c r="E73" s="45">
        <v>56</v>
      </c>
      <c r="F73" s="45">
        <v>55</v>
      </c>
      <c r="G73" s="45">
        <v>60</v>
      </c>
      <c r="H73" s="45">
        <v>60</v>
      </c>
      <c r="I73" s="45">
        <v>40</v>
      </c>
      <c r="J73" s="45">
        <v>42</v>
      </c>
      <c r="K73" s="45">
        <v>38</v>
      </c>
      <c r="L73" s="45">
        <v>40.5</v>
      </c>
      <c r="M73" s="45">
        <v>50</v>
      </c>
      <c r="N73" s="45">
        <v>50</v>
      </c>
      <c r="O73" s="45">
        <v>56</v>
      </c>
      <c r="P73" s="45">
        <v>56</v>
      </c>
      <c r="Q73" s="45">
        <v>64.3</v>
      </c>
      <c r="R73" s="45">
        <v>64.3</v>
      </c>
      <c r="S73" s="45">
        <v>64.3</v>
      </c>
      <c r="T73" s="45">
        <v>52.5</v>
      </c>
      <c r="U73" s="45">
        <v>62.8</v>
      </c>
      <c r="V73" s="45">
        <v>63.3</v>
      </c>
      <c r="W73" s="45">
        <v>53.3</v>
      </c>
      <c r="X73" s="45">
        <v>54.3</v>
      </c>
      <c r="Y73" s="45">
        <v>54.3</v>
      </c>
      <c r="Z73" s="45">
        <v>42</v>
      </c>
      <c r="AA73" s="45">
        <v>47.6</v>
      </c>
      <c r="AB73" s="45">
        <v>58</v>
      </c>
      <c r="AC73" s="45">
        <v>59</v>
      </c>
      <c r="AD73" s="45">
        <v>57.9</v>
      </c>
      <c r="AE73" s="45">
        <v>61</v>
      </c>
      <c r="AF73" s="45">
        <v>61.2</v>
      </c>
      <c r="AG73" s="51"/>
      <c r="AH73" s="47">
        <f t="shared" si="2"/>
        <v>65.7</v>
      </c>
      <c r="AI73" s="48">
        <f t="shared" si="3"/>
        <v>38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-16</v>
      </c>
      <c r="C75" s="65">
        <v>-109</v>
      </c>
      <c r="D75" s="65">
        <v>-105</v>
      </c>
      <c r="E75" s="65">
        <v>-139</v>
      </c>
      <c r="F75" s="65">
        <v>-120</v>
      </c>
      <c r="G75" s="65">
        <v>-105</v>
      </c>
      <c r="H75" s="65">
        <v>-117.1</v>
      </c>
      <c r="I75" s="65">
        <v>56.4</v>
      </c>
      <c r="J75" s="65">
        <v>185</v>
      </c>
      <c r="K75" s="65">
        <v>196</v>
      </c>
      <c r="L75" s="65">
        <v>215</v>
      </c>
      <c r="M75" s="65">
        <v>208</v>
      </c>
      <c r="N75" s="65">
        <v>201</v>
      </c>
      <c r="O75" s="65">
        <v>163</v>
      </c>
      <c r="P75" s="65">
        <v>146</v>
      </c>
      <c r="Q75" s="65">
        <v>157.6</v>
      </c>
      <c r="R75" s="65">
        <v>164</v>
      </c>
      <c r="S75" s="65">
        <v>165</v>
      </c>
      <c r="T75" s="65">
        <v>140</v>
      </c>
      <c r="U75" s="65">
        <v>150.5</v>
      </c>
      <c r="V75" s="65">
        <v>165</v>
      </c>
      <c r="W75" s="65">
        <v>65</v>
      </c>
      <c r="X75" s="65">
        <v>80</v>
      </c>
      <c r="Y75" s="65">
        <v>80</v>
      </c>
      <c r="Z75" s="65">
        <v>-10</v>
      </c>
      <c r="AA75" s="65">
        <v>-24</v>
      </c>
      <c r="AB75" s="65">
        <v>-37</v>
      </c>
      <c r="AC75" s="65">
        <v>-40.799999999999997</v>
      </c>
      <c r="AD75" s="65">
        <v>-39.5</v>
      </c>
      <c r="AE75" s="65">
        <v>-129.9</v>
      </c>
      <c r="AF75" s="65">
        <v>-85</v>
      </c>
      <c r="AG75" s="75"/>
      <c r="AH75" s="47">
        <f t="shared" si="2"/>
        <v>215</v>
      </c>
      <c r="AI75" s="48">
        <f t="shared" si="3"/>
        <v>-139</v>
      </c>
      <c r="AK75" s="49"/>
    </row>
    <row r="76" spans="1:40" x14ac:dyDescent="0.25">
      <c r="A76" s="53" t="s">
        <v>82</v>
      </c>
      <c r="B76" s="65">
        <v>12</v>
      </c>
      <c r="C76" s="65">
        <v>12</v>
      </c>
      <c r="D76" s="65">
        <v>12</v>
      </c>
      <c r="E76" s="76">
        <v>25</v>
      </c>
      <c r="F76" s="76">
        <v>31</v>
      </c>
      <c r="G76" s="76">
        <v>17.399999999999999</v>
      </c>
      <c r="H76" s="76">
        <v>19.2</v>
      </c>
      <c r="I76" s="76">
        <v>19</v>
      </c>
      <c r="J76" s="76">
        <v>19</v>
      </c>
      <c r="K76" s="76">
        <v>21.3</v>
      </c>
      <c r="L76" s="76">
        <v>21.4</v>
      </c>
      <c r="M76" s="76">
        <v>25.4</v>
      </c>
      <c r="N76" s="76">
        <v>25.4</v>
      </c>
      <c r="O76" s="76">
        <v>50</v>
      </c>
      <c r="P76" s="76">
        <v>50</v>
      </c>
      <c r="Q76" s="76">
        <v>0</v>
      </c>
      <c r="R76" s="76">
        <v>26.8</v>
      </c>
      <c r="S76" s="76">
        <v>26.8</v>
      </c>
      <c r="T76" s="76">
        <v>26.8</v>
      </c>
      <c r="U76" s="76">
        <v>22.9</v>
      </c>
      <c r="V76" s="76">
        <v>22.9</v>
      </c>
      <c r="W76" s="76">
        <v>22.9</v>
      </c>
      <c r="X76" s="76">
        <v>19</v>
      </c>
      <c r="Y76" s="76">
        <v>19</v>
      </c>
      <c r="Z76" s="76">
        <v>19.8</v>
      </c>
      <c r="AA76" s="76">
        <v>19.8</v>
      </c>
      <c r="AB76" s="76">
        <v>12</v>
      </c>
      <c r="AC76" s="76">
        <v>12</v>
      </c>
      <c r="AD76" s="76">
        <v>12</v>
      </c>
      <c r="AE76" s="76">
        <v>12</v>
      </c>
      <c r="AF76" s="76">
        <v>12</v>
      </c>
      <c r="AG76" s="75"/>
      <c r="AH76" s="47">
        <f t="shared" si="2"/>
        <v>50</v>
      </c>
      <c r="AI76" s="48">
        <f t="shared" si="3"/>
        <v>0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76">
        <v>0</v>
      </c>
      <c r="T77" s="76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9">MAX(B77:AF77)</f>
        <v>0</v>
      </c>
      <c r="AI77" s="48">
        <f t="shared" ref="AI77:AI120" si="10">MIN(B77:AF77)</f>
        <v>0</v>
      </c>
      <c r="AK77" s="49"/>
    </row>
    <row r="78" spans="1:40" x14ac:dyDescent="0.25">
      <c r="A78" s="53" t="s">
        <v>84</v>
      </c>
      <c r="B78" s="45">
        <v>6</v>
      </c>
      <c r="C78" s="45">
        <v>6</v>
      </c>
      <c r="D78" s="45">
        <v>6</v>
      </c>
      <c r="E78" s="45">
        <v>6</v>
      </c>
      <c r="F78" s="45">
        <v>6</v>
      </c>
      <c r="G78" s="45">
        <v>6</v>
      </c>
      <c r="H78" s="45">
        <v>6</v>
      </c>
      <c r="I78" s="45">
        <v>6</v>
      </c>
      <c r="J78" s="45">
        <v>6</v>
      </c>
      <c r="K78" s="77">
        <v>6</v>
      </c>
      <c r="L78" s="77">
        <v>6</v>
      </c>
      <c r="M78" s="77">
        <v>6</v>
      </c>
      <c r="N78" s="77">
        <v>6</v>
      </c>
      <c r="O78" s="77">
        <v>0</v>
      </c>
      <c r="P78" s="77">
        <v>0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9"/>
        <v>6</v>
      </c>
      <c r="AI78" s="48">
        <f t="shared" si="10"/>
        <v>0</v>
      </c>
      <c r="AK78" s="49"/>
    </row>
    <row r="79" spans="1:40" ht="15.75" thickBot="1" x14ac:dyDescent="0.3">
      <c r="A79" s="53" t="s">
        <v>85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9"/>
        <v>0</v>
      </c>
      <c r="AI79" s="48">
        <f t="shared" si="10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9"/>
        <v>0</v>
      </c>
      <c r="AI80" s="48">
        <f t="shared" si="10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9"/>
        <v>0</v>
      </c>
      <c r="AI81" s="48">
        <f t="shared" si="10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9"/>
        <v>0</v>
      </c>
      <c r="AI82" s="48">
        <f t="shared" si="10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9"/>
        <v>0</v>
      </c>
      <c r="AI83" s="48">
        <f t="shared" si="10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 t="shared" ref="B84:AF84" si="11">SUMIF(B73:B83,"&gt;0")</f>
        <v>83.7</v>
      </c>
      <c r="C84" s="60">
        <f t="shared" si="11"/>
        <v>83.7</v>
      </c>
      <c r="D84" s="60">
        <f t="shared" si="11"/>
        <v>83.7</v>
      </c>
      <c r="E84" s="60">
        <f t="shared" si="11"/>
        <v>87</v>
      </c>
      <c r="F84" s="60">
        <f t="shared" si="11"/>
        <v>92</v>
      </c>
      <c r="G84" s="60">
        <f t="shared" si="11"/>
        <v>83.4</v>
      </c>
      <c r="H84" s="60">
        <f t="shared" si="11"/>
        <v>85.2</v>
      </c>
      <c r="I84" s="60">
        <f t="shared" si="11"/>
        <v>121.4</v>
      </c>
      <c r="J84" s="60">
        <f t="shared" si="11"/>
        <v>252</v>
      </c>
      <c r="K84" s="60">
        <f t="shared" si="11"/>
        <v>261.3</v>
      </c>
      <c r="L84" s="60">
        <f t="shared" si="11"/>
        <v>282.89999999999998</v>
      </c>
      <c r="M84" s="60">
        <f t="shared" si="11"/>
        <v>289.39999999999998</v>
      </c>
      <c r="N84" s="60">
        <f t="shared" si="11"/>
        <v>282.39999999999998</v>
      </c>
      <c r="O84" s="60">
        <f t="shared" si="11"/>
        <v>269</v>
      </c>
      <c r="P84" s="60">
        <f t="shared" si="11"/>
        <v>252</v>
      </c>
      <c r="Q84" s="60">
        <f>SUMIF(Q73:Q83,"&gt;0")</f>
        <v>226.89999999999998</v>
      </c>
      <c r="R84" s="60">
        <f t="shared" si="11"/>
        <v>260.10000000000002</v>
      </c>
      <c r="S84" s="60">
        <f t="shared" si="11"/>
        <v>261.10000000000002</v>
      </c>
      <c r="T84" s="60">
        <f t="shared" si="11"/>
        <v>224.3</v>
      </c>
      <c r="U84" s="60">
        <v>0</v>
      </c>
      <c r="V84" s="60">
        <f t="shared" si="11"/>
        <v>256.20000000000005</v>
      </c>
      <c r="W84" s="60">
        <f t="shared" si="11"/>
        <v>146.19999999999999</v>
      </c>
      <c r="X84" s="60">
        <f t="shared" si="11"/>
        <v>158.30000000000001</v>
      </c>
      <c r="Y84" s="60">
        <f t="shared" si="11"/>
        <v>158.30000000000001</v>
      </c>
      <c r="Z84" s="60">
        <f t="shared" si="11"/>
        <v>66.8</v>
      </c>
      <c r="AA84" s="60">
        <f t="shared" si="11"/>
        <v>72.400000000000006</v>
      </c>
      <c r="AB84" s="60">
        <f t="shared" si="11"/>
        <v>75</v>
      </c>
      <c r="AC84" s="60">
        <f t="shared" si="11"/>
        <v>76</v>
      </c>
      <c r="AD84" s="60">
        <f t="shared" si="11"/>
        <v>74.900000000000006</v>
      </c>
      <c r="AE84" s="60">
        <f t="shared" si="11"/>
        <v>78</v>
      </c>
      <c r="AF84" s="60">
        <f t="shared" si="11"/>
        <v>78.2</v>
      </c>
      <c r="AG84" s="88">
        <f>SUM(AG73:AG83)</f>
        <v>0</v>
      </c>
      <c r="AH84" s="47">
        <f t="shared" si="9"/>
        <v>289.39999999999998</v>
      </c>
      <c r="AI84" s="48">
        <f t="shared" si="10"/>
        <v>0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9"/>
        <v>0</v>
      </c>
      <c r="AI85" s="48">
        <f t="shared" si="10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9"/>
        <v>0</v>
      </c>
      <c r="AI86" s="48">
        <f t="shared" si="10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9"/>
        <v>0</v>
      </c>
      <c r="AI87" s="48">
        <f t="shared" si="10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>
        <f>SUM(AA85:AA87)</f>
        <v>0</v>
      </c>
      <c r="AB88" s="60"/>
      <c r="AC88" s="60"/>
      <c r="AD88" s="60"/>
      <c r="AE88" s="60"/>
      <c r="AF88" s="60"/>
      <c r="AG88" s="88">
        <f>SUM(AG85:AG87)</f>
        <v>55.4</v>
      </c>
      <c r="AH88" s="47">
        <f t="shared" si="9"/>
        <v>0</v>
      </c>
      <c r="AI88" s="48">
        <f t="shared" si="10"/>
        <v>0</v>
      </c>
    </row>
    <row r="89" spans="1:40" ht="15.75" thickBot="1" x14ac:dyDescent="0.3">
      <c r="A89" s="74" t="s">
        <v>98</v>
      </c>
      <c r="B89" s="95">
        <f t="shared" ref="B89:AG89" si="12">B50+B54+B72+B68+B84+B88</f>
        <v>1704.94</v>
      </c>
      <c r="C89" s="95">
        <f t="shared" si="12"/>
        <v>1768.94</v>
      </c>
      <c r="D89" s="95">
        <f t="shared" si="12"/>
        <v>1767.94</v>
      </c>
      <c r="E89" s="95">
        <f t="shared" si="12"/>
        <v>1732.6399999999999</v>
      </c>
      <c r="F89" s="95">
        <f t="shared" si="12"/>
        <v>1686.0400000000002</v>
      </c>
      <c r="G89" s="95">
        <f t="shared" si="12"/>
        <v>1704.7400000000002</v>
      </c>
      <c r="H89" s="95">
        <f t="shared" si="12"/>
        <v>1658.8400000000004</v>
      </c>
      <c r="I89" s="95">
        <f t="shared" si="12"/>
        <v>1704.44</v>
      </c>
      <c r="J89" s="95">
        <f t="shared" si="12"/>
        <v>1625.94</v>
      </c>
      <c r="K89" s="95">
        <f t="shared" si="12"/>
        <v>1611.14</v>
      </c>
      <c r="L89" s="95">
        <f t="shared" si="12"/>
        <v>1641.3400000000001</v>
      </c>
      <c r="M89" s="95">
        <f t="shared" si="12"/>
        <v>1664.2400000000002</v>
      </c>
      <c r="N89" s="95">
        <f t="shared" si="12"/>
        <v>1692.04</v>
      </c>
      <c r="O89" s="95">
        <f t="shared" si="12"/>
        <v>1804.3400000000001</v>
      </c>
      <c r="P89" s="95">
        <f t="shared" si="12"/>
        <v>1785.04</v>
      </c>
      <c r="Q89" s="95">
        <f>Q50+Q54+Q72+Q68+Q84+Q88</f>
        <v>1877.15</v>
      </c>
      <c r="R89" s="95">
        <f t="shared" si="12"/>
        <v>1896.75</v>
      </c>
      <c r="S89" s="95">
        <f t="shared" si="12"/>
        <v>1898.5500000000002</v>
      </c>
      <c r="T89" s="95">
        <f t="shared" si="12"/>
        <v>1815.99</v>
      </c>
      <c r="U89" s="95">
        <f t="shared" si="12"/>
        <v>1570.0900000000001</v>
      </c>
      <c r="V89" s="95">
        <f t="shared" si="12"/>
        <v>1870.29</v>
      </c>
      <c r="W89" s="95">
        <f t="shared" si="12"/>
        <v>1717.09</v>
      </c>
      <c r="X89" s="95">
        <f t="shared" si="12"/>
        <v>1677.8899999999999</v>
      </c>
      <c r="Y89" s="95">
        <f t="shared" si="12"/>
        <v>1675.1899999999998</v>
      </c>
      <c r="Z89" s="95">
        <f t="shared" si="12"/>
        <v>1581.6899999999998</v>
      </c>
      <c r="AA89" s="95">
        <f>SUM(AA50,AA54,AA68,AA72,AA84,AA88)</f>
        <v>1819.5900000000001</v>
      </c>
      <c r="AB89" s="95">
        <f t="shared" si="12"/>
        <v>1837.59</v>
      </c>
      <c r="AC89" s="95">
        <f t="shared" si="12"/>
        <v>1814.19</v>
      </c>
      <c r="AD89" s="95">
        <f t="shared" si="12"/>
        <v>1813.0900000000001</v>
      </c>
      <c r="AE89" s="95">
        <f t="shared" si="12"/>
        <v>1780.19</v>
      </c>
      <c r="AF89" s="95">
        <f t="shared" si="12"/>
        <v>1725.89</v>
      </c>
      <c r="AG89" s="61">
        <f t="shared" si="12"/>
        <v>2111.5500000000002</v>
      </c>
      <c r="AH89" s="47">
        <f t="shared" si="9"/>
        <v>1898.5500000000002</v>
      </c>
      <c r="AI89" s="48">
        <f t="shared" si="10"/>
        <v>1570.0900000000001</v>
      </c>
    </row>
    <row r="90" spans="1:40" ht="15.75" thickBot="1" x14ac:dyDescent="0.3">
      <c r="A90" s="96" t="s">
        <v>99</v>
      </c>
      <c r="B90" s="97">
        <v>100</v>
      </c>
      <c r="C90" s="97">
        <v>100</v>
      </c>
      <c r="D90" s="97">
        <v>50</v>
      </c>
      <c r="E90" s="97">
        <v>20</v>
      </c>
      <c r="F90" s="97">
        <v>0</v>
      </c>
      <c r="G90" s="97">
        <v>0</v>
      </c>
      <c r="H90" s="97">
        <v>0</v>
      </c>
      <c r="I90" s="97">
        <v>0</v>
      </c>
      <c r="J90" s="97">
        <v>0</v>
      </c>
      <c r="K90" s="97">
        <v>90</v>
      </c>
      <c r="L90" s="97">
        <v>70</v>
      </c>
      <c r="M90" s="97">
        <v>70</v>
      </c>
      <c r="N90" s="97">
        <v>70</v>
      </c>
      <c r="O90" s="97">
        <v>70</v>
      </c>
      <c r="P90" s="97">
        <v>70</v>
      </c>
      <c r="Q90" s="97">
        <v>70</v>
      </c>
      <c r="R90" s="97">
        <v>70</v>
      </c>
      <c r="S90" s="97"/>
      <c r="T90" s="97"/>
      <c r="U90" s="97"/>
      <c r="V90" s="97"/>
      <c r="W90" s="97"/>
      <c r="X90" s="97"/>
      <c r="Y90" s="97"/>
      <c r="Z90" s="97"/>
      <c r="AA90" s="97">
        <v>150</v>
      </c>
      <c r="AB90" s="97">
        <v>100</v>
      </c>
      <c r="AC90" s="97">
        <v>60</v>
      </c>
      <c r="AD90" s="97"/>
      <c r="AE90" s="97"/>
      <c r="AF90" s="97"/>
      <c r="AG90" s="88"/>
      <c r="AH90" s="47">
        <f t="shared" si="9"/>
        <v>150</v>
      </c>
      <c r="AI90" s="48">
        <f t="shared" si="10"/>
        <v>0</v>
      </c>
    </row>
    <row r="91" spans="1:40" ht="15.75" thickBot="1" x14ac:dyDescent="0.3">
      <c r="A91" s="74" t="s">
        <v>100</v>
      </c>
      <c r="B91" s="95">
        <f t="shared" ref="B91:AF91" si="13">B89+B90</f>
        <v>1804.94</v>
      </c>
      <c r="C91" s="95">
        <f t="shared" si="13"/>
        <v>1868.94</v>
      </c>
      <c r="D91" s="95">
        <f t="shared" si="13"/>
        <v>1817.94</v>
      </c>
      <c r="E91" s="95">
        <f t="shared" si="13"/>
        <v>1752.6399999999999</v>
      </c>
      <c r="F91" s="95">
        <f t="shared" si="13"/>
        <v>1686.0400000000002</v>
      </c>
      <c r="G91" s="95">
        <f t="shared" si="13"/>
        <v>1704.7400000000002</v>
      </c>
      <c r="H91" s="95">
        <f t="shared" si="13"/>
        <v>1658.8400000000004</v>
      </c>
      <c r="I91" s="95">
        <f t="shared" si="13"/>
        <v>1704.44</v>
      </c>
      <c r="J91" s="95">
        <f t="shared" si="13"/>
        <v>1625.94</v>
      </c>
      <c r="K91" s="95">
        <f t="shared" si="13"/>
        <v>1701.14</v>
      </c>
      <c r="L91" s="95">
        <f t="shared" si="13"/>
        <v>1711.3400000000001</v>
      </c>
      <c r="M91" s="95">
        <f t="shared" si="13"/>
        <v>1734.2400000000002</v>
      </c>
      <c r="N91" s="95">
        <f t="shared" si="13"/>
        <v>1762.04</v>
      </c>
      <c r="O91" s="95">
        <f t="shared" si="13"/>
        <v>1874.3400000000001</v>
      </c>
      <c r="P91" s="95">
        <f t="shared" si="13"/>
        <v>1855.04</v>
      </c>
      <c r="Q91" s="95">
        <f t="shared" si="13"/>
        <v>1947.15</v>
      </c>
      <c r="R91" s="95">
        <f t="shared" si="13"/>
        <v>1966.75</v>
      </c>
      <c r="S91" s="95">
        <f t="shared" si="13"/>
        <v>1898.5500000000002</v>
      </c>
      <c r="T91" s="95">
        <f t="shared" si="13"/>
        <v>1815.99</v>
      </c>
      <c r="U91" s="95">
        <f t="shared" si="13"/>
        <v>1570.0900000000001</v>
      </c>
      <c r="V91" s="95">
        <f t="shared" si="13"/>
        <v>1870.29</v>
      </c>
      <c r="W91" s="95">
        <f t="shared" si="13"/>
        <v>1717.09</v>
      </c>
      <c r="X91" s="95">
        <f t="shared" si="13"/>
        <v>1677.8899999999999</v>
      </c>
      <c r="Y91" s="95">
        <f t="shared" si="13"/>
        <v>1675.1899999999998</v>
      </c>
      <c r="Z91" s="95">
        <f t="shared" si="13"/>
        <v>1581.6899999999998</v>
      </c>
      <c r="AA91" s="95">
        <f>SUM(AA89+AA90)</f>
        <v>1969.5900000000001</v>
      </c>
      <c r="AB91" s="95">
        <f t="shared" si="13"/>
        <v>1937.59</v>
      </c>
      <c r="AC91" s="95">
        <f t="shared" si="13"/>
        <v>1874.19</v>
      </c>
      <c r="AD91" s="95">
        <f t="shared" si="13"/>
        <v>1813.0900000000001</v>
      </c>
      <c r="AE91" s="95">
        <f t="shared" si="13"/>
        <v>1780.19</v>
      </c>
      <c r="AF91" s="95">
        <f t="shared" si="13"/>
        <v>1725.89</v>
      </c>
      <c r="AG91" s="88">
        <f>AG88+AG84+AG72+AG68+AG50+AG90</f>
        <v>1573.45</v>
      </c>
      <c r="AH91" s="47">
        <f t="shared" si="9"/>
        <v>1969.5900000000001</v>
      </c>
      <c r="AI91" s="48">
        <f t="shared" si="10"/>
        <v>1570.0900000000001</v>
      </c>
    </row>
    <row r="92" spans="1:40" ht="15.75" thickBot="1" x14ac:dyDescent="0.3">
      <c r="A92" s="74" t="s">
        <v>101</v>
      </c>
      <c r="B92" s="95">
        <f t="shared" ref="B92:AF92" si="14">B91-B99</f>
        <v>1804.94</v>
      </c>
      <c r="C92" s="95">
        <f t="shared" si="14"/>
        <v>1868.94</v>
      </c>
      <c r="D92" s="95">
        <f t="shared" si="14"/>
        <v>1817.94</v>
      </c>
      <c r="E92" s="95">
        <f t="shared" si="14"/>
        <v>1752.6399999999999</v>
      </c>
      <c r="F92" s="95">
        <f t="shared" si="14"/>
        <v>1686.0400000000002</v>
      </c>
      <c r="G92" s="95">
        <f t="shared" si="14"/>
        <v>1704.7400000000002</v>
      </c>
      <c r="H92" s="95">
        <f t="shared" si="14"/>
        <v>1658.8400000000004</v>
      </c>
      <c r="I92" s="95">
        <f t="shared" si="14"/>
        <v>1704.44</v>
      </c>
      <c r="J92" s="95">
        <f t="shared" si="14"/>
        <v>1625.94</v>
      </c>
      <c r="K92" s="95">
        <f t="shared" si="14"/>
        <v>1701.14</v>
      </c>
      <c r="L92" s="95">
        <f t="shared" si="14"/>
        <v>1711.3400000000001</v>
      </c>
      <c r="M92" s="95">
        <f t="shared" si="14"/>
        <v>1734.2400000000002</v>
      </c>
      <c r="N92" s="95">
        <f t="shared" si="14"/>
        <v>1762.04</v>
      </c>
      <c r="O92" s="95">
        <f t="shared" si="14"/>
        <v>1874.3400000000001</v>
      </c>
      <c r="P92" s="95">
        <f t="shared" si="14"/>
        <v>1855.04</v>
      </c>
      <c r="Q92" s="95">
        <f t="shared" si="14"/>
        <v>1947.15</v>
      </c>
      <c r="R92" s="95">
        <f t="shared" si="14"/>
        <v>1966.75</v>
      </c>
      <c r="S92" s="95">
        <f t="shared" si="14"/>
        <v>1898.5500000000002</v>
      </c>
      <c r="T92" s="95">
        <f t="shared" si="14"/>
        <v>1815.99</v>
      </c>
      <c r="U92" s="95">
        <f t="shared" si="14"/>
        <v>1570.0900000000001</v>
      </c>
      <c r="V92" s="95">
        <f t="shared" si="14"/>
        <v>1870.29</v>
      </c>
      <c r="W92" s="95">
        <f t="shared" si="14"/>
        <v>1717.09</v>
      </c>
      <c r="X92" s="95">
        <f t="shared" si="14"/>
        <v>1677.8899999999999</v>
      </c>
      <c r="Y92" s="95">
        <f t="shared" si="14"/>
        <v>1675.1899999999998</v>
      </c>
      <c r="Z92" s="95">
        <f t="shared" si="14"/>
        <v>1581.6899999999998</v>
      </c>
      <c r="AA92" s="95">
        <f t="shared" si="14"/>
        <v>1969.5900000000001</v>
      </c>
      <c r="AB92" s="95">
        <f t="shared" si="14"/>
        <v>1937.59</v>
      </c>
      <c r="AC92" s="95">
        <f t="shared" si="14"/>
        <v>1874.19</v>
      </c>
      <c r="AD92" s="95">
        <f t="shared" si="14"/>
        <v>1813.0900000000001</v>
      </c>
      <c r="AE92" s="95">
        <f t="shared" si="14"/>
        <v>1780.19</v>
      </c>
      <c r="AF92" s="95">
        <f t="shared" si="14"/>
        <v>1725.89</v>
      </c>
      <c r="AG92" s="88"/>
      <c r="AH92" s="47">
        <f t="shared" si="9"/>
        <v>1969.5900000000001</v>
      </c>
      <c r="AI92" s="48">
        <f t="shared" si="10"/>
        <v>1570.0900000000001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9"/>
        <v>0</v>
      </c>
      <c r="AI93" s="48">
        <f t="shared" si="10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9"/>
        <v>0</v>
      </c>
      <c r="AI94" s="48">
        <f t="shared" si="10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9"/>
        <v>0</v>
      </c>
      <c r="AI95" s="48">
        <f t="shared" si="10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9"/>
        <v>0</v>
      </c>
      <c r="AI96" s="48">
        <f t="shared" si="10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9"/>
        <v>0</v>
      </c>
      <c r="AI97" s="48">
        <f t="shared" si="10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9"/>
        <v>0</v>
      </c>
      <c r="AI98" s="48">
        <f t="shared" si="10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f>SUM(AA93:AA98)</f>
        <v>0</v>
      </c>
      <c r="AB99" s="60"/>
      <c r="AC99" s="60"/>
      <c r="AD99" s="60"/>
      <c r="AE99" s="60"/>
      <c r="AF99" s="60"/>
      <c r="AG99" s="88"/>
      <c r="AH99" s="47">
        <f t="shared" si="9"/>
        <v>0</v>
      </c>
      <c r="AI99" s="48">
        <f t="shared" si="10"/>
        <v>0</v>
      </c>
      <c r="AK99" s="49"/>
    </row>
    <row r="100" spans="1:37" ht="15.75" thickBot="1" x14ac:dyDescent="0.3">
      <c r="A100" s="74" t="s">
        <v>106</v>
      </c>
      <c r="B100" s="60">
        <f t="shared" ref="B100:AF100" si="15">B84-B99</f>
        <v>83.7</v>
      </c>
      <c r="C100" s="60">
        <f t="shared" si="15"/>
        <v>83.7</v>
      </c>
      <c r="D100" s="60">
        <f t="shared" si="15"/>
        <v>83.7</v>
      </c>
      <c r="E100" s="60">
        <f t="shared" si="15"/>
        <v>87</v>
      </c>
      <c r="F100" s="60">
        <f t="shared" si="15"/>
        <v>92</v>
      </c>
      <c r="G100" s="60">
        <f t="shared" si="15"/>
        <v>83.4</v>
      </c>
      <c r="H100" s="60">
        <f t="shared" si="15"/>
        <v>85.2</v>
      </c>
      <c r="I100" s="60">
        <f t="shared" si="15"/>
        <v>121.4</v>
      </c>
      <c r="J100" s="60">
        <f t="shared" si="15"/>
        <v>252</v>
      </c>
      <c r="K100" s="60">
        <f t="shared" si="15"/>
        <v>261.3</v>
      </c>
      <c r="L100" s="60">
        <f t="shared" si="15"/>
        <v>282.89999999999998</v>
      </c>
      <c r="M100" s="60">
        <f t="shared" si="15"/>
        <v>289.39999999999998</v>
      </c>
      <c r="N100" s="60">
        <f t="shared" si="15"/>
        <v>282.39999999999998</v>
      </c>
      <c r="O100" s="60">
        <f t="shared" si="15"/>
        <v>269</v>
      </c>
      <c r="P100" s="60">
        <f t="shared" si="15"/>
        <v>252</v>
      </c>
      <c r="Q100" s="60">
        <f>Q84-Q99</f>
        <v>226.89999999999998</v>
      </c>
      <c r="R100" s="60">
        <f t="shared" si="15"/>
        <v>260.10000000000002</v>
      </c>
      <c r="S100" s="60">
        <f t="shared" si="15"/>
        <v>261.10000000000002</v>
      </c>
      <c r="T100" s="60">
        <f t="shared" si="15"/>
        <v>224.3</v>
      </c>
      <c r="U100" s="60">
        <f t="shared" si="15"/>
        <v>0</v>
      </c>
      <c r="V100" s="60">
        <f t="shared" si="15"/>
        <v>256.20000000000005</v>
      </c>
      <c r="W100" s="60">
        <f t="shared" si="15"/>
        <v>146.19999999999999</v>
      </c>
      <c r="X100" s="60">
        <f t="shared" si="15"/>
        <v>158.30000000000001</v>
      </c>
      <c r="Y100" s="60">
        <f t="shared" si="15"/>
        <v>158.30000000000001</v>
      </c>
      <c r="Z100" s="60">
        <f t="shared" si="15"/>
        <v>66.8</v>
      </c>
      <c r="AA100" s="60">
        <f t="shared" si="15"/>
        <v>72.400000000000006</v>
      </c>
      <c r="AB100" s="60">
        <f t="shared" si="15"/>
        <v>75</v>
      </c>
      <c r="AC100" s="60">
        <f t="shared" si="15"/>
        <v>76</v>
      </c>
      <c r="AD100" s="60">
        <f t="shared" si="15"/>
        <v>74.900000000000006</v>
      </c>
      <c r="AE100" s="60">
        <f t="shared" si="15"/>
        <v>78</v>
      </c>
      <c r="AF100" s="60">
        <f t="shared" si="15"/>
        <v>78.2</v>
      </c>
      <c r="AG100" s="88"/>
      <c r="AH100" s="47">
        <f t="shared" si="9"/>
        <v>289.39999999999998</v>
      </c>
      <c r="AI100" s="48">
        <f t="shared" si="10"/>
        <v>0</v>
      </c>
    </row>
    <row r="101" spans="1:37" x14ac:dyDescent="0.25">
      <c r="A101" s="100" t="s">
        <v>107</v>
      </c>
      <c r="B101" s="101">
        <v>49.923999999999999</v>
      </c>
      <c r="C101" s="101">
        <v>49.987000000000002</v>
      </c>
      <c r="D101" s="101">
        <v>49.984999999999999</v>
      </c>
      <c r="E101" s="101">
        <v>49.917999999999999</v>
      </c>
      <c r="F101" s="101">
        <v>49.978999999999999</v>
      </c>
      <c r="G101" s="101">
        <v>49.923999999999999</v>
      </c>
      <c r="H101" s="101">
        <v>49.935000000000002</v>
      </c>
      <c r="I101" s="101">
        <v>49.97</v>
      </c>
      <c r="J101" s="101">
        <v>50.006999999999998</v>
      </c>
      <c r="K101" s="101">
        <v>49.978000000000002</v>
      </c>
      <c r="L101" s="101">
        <v>50.006999999999998</v>
      </c>
      <c r="M101" s="101">
        <v>49.956000000000003</v>
      </c>
      <c r="N101" s="101">
        <v>50.027000000000001</v>
      </c>
      <c r="O101" s="101">
        <v>50.061999999999998</v>
      </c>
      <c r="P101" s="101">
        <v>49.39</v>
      </c>
      <c r="Q101" s="101">
        <v>49.906999999999996</v>
      </c>
      <c r="R101" s="101">
        <v>49.978999999999999</v>
      </c>
      <c r="S101" s="101">
        <v>50.07</v>
      </c>
      <c r="T101" s="101">
        <v>49.93</v>
      </c>
      <c r="U101" s="101">
        <v>49.968000000000004</v>
      </c>
      <c r="V101" s="101">
        <v>50.02</v>
      </c>
      <c r="W101" s="101">
        <v>50</v>
      </c>
      <c r="X101" s="101">
        <v>49.99</v>
      </c>
      <c r="Y101" s="101">
        <v>50</v>
      </c>
      <c r="Z101" s="101">
        <v>49.9</v>
      </c>
      <c r="AA101" s="101">
        <v>49.89</v>
      </c>
      <c r="AB101" s="101">
        <v>49.997</v>
      </c>
      <c r="AC101" s="101">
        <v>49.97</v>
      </c>
      <c r="AD101" s="101">
        <v>49.901000000000003</v>
      </c>
      <c r="AE101" s="101">
        <v>49.985999999999997</v>
      </c>
      <c r="AF101" s="101">
        <v>49.963000000000001</v>
      </c>
      <c r="AG101" s="102"/>
      <c r="AH101" s="47">
        <f t="shared" si="9"/>
        <v>50.07</v>
      </c>
      <c r="AI101" s="48">
        <f t="shared" si="10"/>
        <v>49.39</v>
      </c>
    </row>
    <row r="102" spans="1:37" x14ac:dyDescent="0.25">
      <c r="A102" s="103" t="s">
        <v>108</v>
      </c>
      <c r="B102" s="65">
        <v>121.1</v>
      </c>
      <c r="C102" s="65">
        <v>119.7</v>
      </c>
      <c r="D102" s="65">
        <v>120.7</v>
      </c>
      <c r="E102" s="65">
        <v>121.1</v>
      </c>
      <c r="F102" s="65">
        <v>122.1</v>
      </c>
      <c r="G102" s="65">
        <v>119.7</v>
      </c>
      <c r="H102" s="65">
        <v>121</v>
      </c>
      <c r="I102" s="65">
        <v>123.3</v>
      </c>
      <c r="J102" s="65">
        <v>122.4</v>
      </c>
      <c r="K102" s="65">
        <v>121.7</v>
      </c>
      <c r="L102" s="65">
        <v>119.7</v>
      </c>
      <c r="M102" s="65">
        <v>121.7</v>
      </c>
      <c r="N102" s="65">
        <v>119.6</v>
      </c>
      <c r="O102" s="65">
        <v>118.8</v>
      </c>
      <c r="P102" s="65">
        <v>121.3</v>
      </c>
      <c r="Q102" s="65">
        <v>120.6</v>
      </c>
      <c r="R102" s="65">
        <v>119.6</v>
      </c>
      <c r="S102" s="65">
        <v>119</v>
      </c>
      <c r="T102" s="65">
        <v>118.9</v>
      </c>
      <c r="U102" s="65">
        <v>120.6</v>
      </c>
      <c r="V102" s="65">
        <v>120.2</v>
      </c>
      <c r="W102" s="65">
        <v>121.7</v>
      </c>
      <c r="X102" s="65">
        <v>123.4</v>
      </c>
      <c r="Y102" s="65">
        <v>125</v>
      </c>
      <c r="Z102" s="65">
        <v>123.2</v>
      </c>
      <c r="AA102" s="65">
        <v>122.4</v>
      </c>
      <c r="AB102" s="65">
        <v>123.8</v>
      </c>
      <c r="AC102" s="65">
        <v>123.7</v>
      </c>
      <c r="AD102" s="65">
        <v>121.5</v>
      </c>
      <c r="AE102" s="65">
        <v>121.5</v>
      </c>
      <c r="AF102" s="65">
        <v>121.5</v>
      </c>
      <c r="AG102" s="104"/>
      <c r="AH102" s="47">
        <f t="shared" si="9"/>
        <v>125</v>
      </c>
      <c r="AI102" s="48">
        <f t="shared" si="10"/>
        <v>118.8</v>
      </c>
    </row>
    <row r="103" spans="1:37" x14ac:dyDescent="0.25">
      <c r="A103" s="103" t="s">
        <v>109</v>
      </c>
      <c r="B103" s="65">
        <v>127.1</v>
      </c>
      <c r="C103" s="65">
        <v>126.3</v>
      </c>
      <c r="D103" s="65">
        <v>127.3</v>
      </c>
      <c r="E103" s="65">
        <v>127.5</v>
      </c>
      <c r="F103" s="65">
        <v>127.9</v>
      </c>
      <c r="G103" s="65">
        <v>126.3</v>
      </c>
      <c r="H103" s="65">
        <v>126.7</v>
      </c>
      <c r="I103" s="65">
        <v>127.8</v>
      </c>
      <c r="J103" s="65">
        <v>127.3</v>
      </c>
      <c r="K103" s="65">
        <v>126.4</v>
      </c>
      <c r="L103" s="65">
        <v>124.5</v>
      </c>
      <c r="M103" s="65">
        <v>125.2</v>
      </c>
      <c r="N103" s="65">
        <v>124.3</v>
      </c>
      <c r="O103" s="65">
        <v>124.1</v>
      </c>
      <c r="P103" s="65">
        <v>125.2</v>
      </c>
      <c r="Q103" s="65">
        <v>124.1</v>
      </c>
      <c r="R103" s="65">
        <v>124.1</v>
      </c>
      <c r="S103" s="65">
        <v>125.8</v>
      </c>
      <c r="T103" s="65">
        <v>123</v>
      </c>
      <c r="U103" s="65">
        <v>124.6</v>
      </c>
      <c r="V103" s="65">
        <v>124.2</v>
      </c>
      <c r="W103" s="65">
        <v>125.3</v>
      </c>
      <c r="X103" s="65">
        <v>126.1</v>
      </c>
      <c r="Y103" s="65">
        <v>126.1</v>
      </c>
      <c r="Z103" s="65">
        <v>126.7</v>
      </c>
      <c r="AA103" s="65">
        <v>126.2</v>
      </c>
      <c r="AB103" s="65">
        <v>126</v>
      </c>
      <c r="AC103" s="65">
        <v>126.6</v>
      </c>
      <c r="AD103" s="65">
        <v>125.9</v>
      </c>
      <c r="AE103" s="65">
        <v>125.9</v>
      </c>
      <c r="AF103" s="65">
        <v>125.9</v>
      </c>
      <c r="AG103" s="104"/>
      <c r="AH103" s="47">
        <f t="shared" si="9"/>
        <v>127.9</v>
      </c>
      <c r="AI103" s="48">
        <f t="shared" si="10"/>
        <v>123</v>
      </c>
    </row>
    <row r="104" spans="1:37" x14ac:dyDescent="0.25">
      <c r="A104" s="103" t="s">
        <v>110</v>
      </c>
      <c r="B104" s="65">
        <v>126.1</v>
      </c>
      <c r="C104" s="65">
        <v>126</v>
      </c>
      <c r="D104" s="65">
        <v>122.2</v>
      </c>
      <c r="E104" s="65">
        <v>126.2</v>
      </c>
      <c r="F104" s="65">
        <v>126.8</v>
      </c>
      <c r="G104" s="65">
        <v>127.8</v>
      </c>
      <c r="H104" s="65">
        <v>131.69999999999999</v>
      </c>
      <c r="I104" s="65">
        <v>128.80000000000001</v>
      </c>
      <c r="J104" s="65">
        <v>128.30000000000001</v>
      </c>
      <c r="K104" s="65">
        <v>125.6</v>
      </c>
      <c r="L104" s="65">
        <v>128.69999999999999</v>
      </c>
      <c r="M104" s="65">
        <v>128.5</v>
      </c>
      <c r="N104" s="65">
        <v>127.4</v>
      </c>
      <c r="O104" s="65">
        <v>125.3</v>
      </c>
      <c r="P104" s="65">
        <v>127.8</v>
      </c>
      <c r="Q104" s="65">
        <v>127.4</v>
      </c>
      <c r="R104" s="65">
        <v>126.3</v>
      </c>
      <c r="S104" s="65">
        <v>124</v>
      </c>
      <c r="T104" s="65">
        <v>127.7</v>
      </c>
      <c r="U104" s="65">
        <v>126.6</v>
      </c>
      <c r="V104" s="65">
        <v>128.5</v>
      </c>
      <c r="W104" s="65">
        <v>128.5</v>
      </c>
      <c r="X104" s="65">
        <v>127.5</v>
      </c>
      <c r="Y104" s="65">
        <v>127.5</v>
      </c>
      <c r="Z104" s="65">
        <v>122.1</v>
      </c>
      <c r="AA104" s="65">
        <v>118</v>
      </c>
      <c r="AB104" s="65">
        <v>126</v>
      </c>
      <c r="AC104" s="65">
        <v>126</v>
      </c>
      <c r="AD104" s="65">
        <v>126.8</v>
      </c>
      <c r="AE104" s="65">
        <v>126.8</v>
      </c>
      <c r="AF104" s="65">
        <v>126.8</v>
      </c>
      <c r="AG104" s="104"/>
      <c r="AH104" s="47">
        <f t="shared" si="9"/>
        <v>131.69999999999999</v>
      </c>
      <c r="AI104" s="48">
        <f t="shared" si="10"/>
        <v>118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9"/>
        <v>0</v>
      </c>
      <c r="AI105" s="48">
        <f t="shared" si="10"/>
        <v>0</v>
      </c>
    </row>
    <row r="106" spans="1:37" x14ac:dyDescent="0.25">
      <c r="A106" s="105" t="s">
        <v>112</v>
      </c>
      <c r="B106" s="106">
        <v>131.4</v>
      </c>
      <c r="C106" s="106">
        <v>130.69999999999999</v>
      </c>
      <c r="D106" s="106">
        <v>134.19999999999999</v>
      </c>
      <c r="E106" s="106">
        <v>130.69999999999999</v>
      </c>
      <c r="F106" s="106">
        <v>132.80000000000001</v>
      </c>
      <c r="G106" s="106">
        <v>134.4</v>
      </c>
      <c r="H106" s="106">
        <v>134.69999999999999</v>
      </c>
      <c r="I106" s="106">
        <v>129.4</v>
      </c>
      <c r="J106" s="106">
        <v>135.9</v>
      </c>
      <c r="K106" s="106">
        <v>135.1</v>
      </c>
      <c r="L106" s="106">
        <v>133.69999999999999</v>
      </c>
      <c r="M106" s="106">
        <v>129.4</v>
      </c>
      <c r="N106" s="106">
        <v>130</v>
      </c>
      <c r="O106" s="106">
        <v>131.1</v>
      </c>
      <c r="P106" s="106">
        <v>129</v>
      </c>
      <c r="Q106" s="106">
        <v>133.69999999999999</v>
      </c>
      <c r="R106" s="106">
        <v>127.2</v>
      </c>
      <c r="S106" s="106">
        <v>126.3</v>
      </c>
      <c r="T106" s="106">
        <v>1237.3</v>
      </c>
      <c r="U106" s="106">
        <v>135.19999999999999</v>
      </c>
      <c r="V106" s="106">
        <v>131.30000000000001</v>
      </c>
      <c r="W106" s="106">
        <v>134.1</v>
      </c>
      <c r="X106" s="106">
        <v>135.5</v>
      </c>
      <c r="Y106" s="106">
        <v>134</v>
      </c>
      <c r="Z106" s="106">
        <v>129.6</v>
      </c>
      <c r="AA106" s="106">
        <v>131.4</v>
      </c>
      <c r="AB106" s="106">
        <v>133</v>
      </c>
      <c r="AC106" s="106">
        <v>133</v>
      </c>
      <c r="AD106" s="106">
        <v>132.4</v>
      </c>
      <c r="AE106" s="106">
        <v>132.4</v>
      </c>
      <c r="AF106" s="106">
        <v>132.4</v>
      </c>
      <c r="AG106" s="107"/>
      <c r="AH106" s="47">
        <f t="shared" si="9"/>
        <v>1237.3</v>
      </c>
      <c r="AI106" s="48">
        <f t="shared" si="10"/>
        <v>126.3</v>
      </c>
    </row>
    <row r="107" spans="1:37" x14ac:dyDescent="0.25">
      <c r="A107" s="103" t="s">
        <v>113</v>
      </c>
      <c r="B107" s="65">
        <v>131.6</v>
      </c>
      <c r="C107" s="65">
        <v>128.9</v>
      </c>
      <c r="D107" s="65">
        <v>135.30000000000001</v>
      </c>
      <c r="E107" s="65">
        <v>129.5</v>
      </c>
      <c r="F107" s="65">
        <v>131.69999999999999</v>
      </c>
      <c r="G107" s="65">
        <v>132.9</v>
      </c>
      <c r="H107" s="65">
        <v>132.9</v>
      </c>
      <c r="I107" s="65">
        <v>125.7</v>
      </c>
      <c r="J107" s="65">
        <v>135.69999999999999</v>
      </c>
      <c r="K107" s="65">
        <v>134.6</v>
      </c>
      <c r="L107" s="65">
        <v>132.6</v>
      </c>
      <c r="M107" s="65">
        <v>125.5</v>
      </c>
      <c r="N107" s="65">
        <v>126.6</v>
      </c>
      <c r="O107" s="65">
        <v>122.9</v>
      </c>
      <c r="P107" s="65">
        <v>129</v>
      </c>
      <c r="Q107" s="65">
        <v>127.4</v>
      </c>
      <c r="R107" s="65">
        <v>129.4</v>
      </c>
      <c r="S107" s="65">
        <v>129.30000000000001</v>
      </c>
      <c r="T107" s="65">
        <v>128.19999999999999</v>
      </c>
      <c r="U107" s="65">
        <v>128.5</v>
      </c>
      <c r="V107" s="65">
        <v>129.30000000000001</v>
      </c>
      <c r="W107" s="65">
        <v>135</v>
      </c>
      <c r="X107" s="65">
        <v>126.4</v>
      </c>
      <c r="Y107" s="65">
        <v>126.4</v>
      </c>
      <c r="Z107" s="65">
        <v>130</v>
      </c>
      <c r="AA107" s="65">
        <v>128.4</v>
      </c>
      <c r="AB107" s="65">
        <v>129</v>
      </c>
      <c r="AC107" s="65">
        <v>133</v>
      </c>
      <c r="AD107" s="65">
        <v>127.6</v>
      </c>
      <c r="AE107" s="65">
        <v>127.6</v>
      </c>
      <c r="AF107" s="65">
        <v>127.6</v>
      </c>
      <c r="AG107" s="104"/>
      <c r="AH107" s="47">
        <f t="shared" si="9"/>
        <v>135.69999999999999</v>
      </c>
      <c r="AI107" s="48">
        <f t="shared" si="10"/>
        <v>122.9</v>
      </c>
    </row>
    <row r="108" spans="1:37" ht="15.75" thickBot="1" x14ac:dyDescent="0.3">
      <c r="A108" s="103" t="s">
        <v>114</v>
      </c>
      <c r="B108" s="92">
        <v>64</v>
      </c>
      <c r="C108" s="92">
        <v>63.6</v>
      </c>
      <c r="D108" s="92">
        <v>64</v>
      </c>
      <c r="E108" s="92">
        <v>64.3</v>
      </c>
      <c r="F108" s="92">
        <v>64.7</v>
      </c>
      <c r="G108" s="92">
        <v>63.7</v>
      </c>
      <c r="H108" s="92">
        <v>63.8</v>
      </c>
      <c r="I108" s="92">
        <v>64.2</v>
      </c>
      <c r="J108" s="92">
        <v>64</v>
      </c>
      <c r="K108" s="92">
        <v>63.3</v>
      </c>
      <c r="L108" s="92">
        <v>62.2</v>
      </c>
      <c r="M108" s="92">
        <v>62.9</v>
      </c>
      <c r="N108" s="92">
        <v>62.3</v>
      </c>
      <c r="O108" s="92">
        <v>62.2</v>
      </c>
      <c r="P108" s="92">
        <v>62.4</v>
      </c>
      <c r="Q108" s="92">
        <v>60</v>
      </c>
      <c r="R108" s="92">
        <v>62.1</v>
      </c>
      <c r="S108" s="92">
        <v>62.2</v>
      </c>
      <c r="T108" s="92">
        <v>62</v>
      </c>
      <c r="U108" s="92">
        <v>62.3</v>
      </c>
      <c r="V108" s="92">
        <v>62</v>
      </c>
      <c r="W108" s="92">
        <v>62.5</v>
      </c>
      <c r="X108" s="92">
        <v>63.2</v>
      </c>
      <c r="Y108" s="92">
        <v>63.2</v>
      </c>
      <c r="Z108" s="92">
        <v>63.2</v>
      </c>
      <c r="AA108" s="92">
        <v>63</v>
      </c>
      <c r="AB108" s="92">
        <v>63.3</v>
      </c>
      <c r="AC108" s="92">
        <v>63.3</v>
      </c>
      <c r="AD108" s="92">
        <v>63.4</v>
      </c>
      <c r="AE108" s="92">
        <v>63.4</v>
      </c>
      <c r="AF108" s="92">
        <v>63.4</v>
      </c>
      <c r="AG108" s="108"/>
      <c r="AH108" s="47">
        <f t="shared" si="9"/>
        <v>64.7</v>
      </c>
      <c r="AI108" s="48">
        <f t="shared" si="10"/>
        <v>60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 t="str">
        <f>IF(AA92=MAX($B$93:$F$93),"PN","")</f>
        <v/>
      </c>
      <c r="AB109" s="92"/>
      <c r="AC109" s="92"/>
      <c r="AD109" s="92"/>
      <c r="AE109" s="92"/>
      <c r="AF109" s="92"/>
      <c r="AG109" s="108"/>
      <c r="AH109" s="47">
        <f t="shared" si="9"/>
        <v>0</v>
      </c>
      <c r="AI109" s="48">
        <f t="shared" si="10"/>
        <v>0</v>
      </c>
    </row>
    <row r="110" spans="1:37" ht="15.75" thickBot="1" x14ac:dyDescent="0.3">
      <c r="A110" s="110" t="s">
        <v>116</v>
      </c>
      <c r="B110" s="111">
        <f t="shared" ref="B110:O110" si="16">SUM(B20,B26,B29:B30,B58,B60:B61,B63,B65,B111:B115,B138,B144,B150,B159,B161,B173,B180,B183:B184,B191,B193,B195,B199:B201,B203:B205,B210,B216:B217,B219:B221,B229,B234)</f>
        <v>136</v>
      </c>
      <c r="C110" s="111">
        <f t="shared" si="16"/>
        <v>104.83999999999997</v>
      </c>
      <c r="D110" s="111">
        <f t="shared" si="16"/>
        <v>102.23999999999995</v>
      </c>
      <c r="E110" s="111">
        <f t="shared" si="16"/>
        <v>93.54000000000002</v>
      </c>
      <c r="F110" s="111">
        <f t="shared" si="16"/>
        <v>89.039999999999978</v>
      </c>
      <c r="G110" s="111">
        <f t="shared" si="16"/>
        <v>103.63999999999999</v>
      </c>
      <c r="H110" s="111">
        <f t="shared" si="16"/>
        <v>126.94000000000001</v>
      </c>
      <c r="I110" s="111">
        <f t="shared" si="16"/>
        <v>157.43999999999994</v>
      </c>
      <c r="J110" s="111">
        <f t="shared" si="16"/>
        <v>203.93999999999997</v>
      </c>
      <c r="K110" s="111">
        <f t="shared" si="16"/>
        <v>218.44000000000003</v>
      </c>
      <c r="L110" s="111">
        <f t="shared" si="16"/>
        <v>232.14000000000001</v>
      </c>
      <c r="M110" s="111">
        <f t="shared" si="16"/>
        <v>244.14</v>
      </c>
      <c r="N110" s="111">
        <f t="shared" si="16"/>
        <v>254.14</v>
      </c>
      <c r="O110" s="111">
        <f t="shared" si="16"/>
        <v>287.14</v>
      </c>
      <c r="P110" s="111">
        <v>42</v>
      </c>
      <c r="Q110" s="111">
        <f t="shared" ref="Q110:AF110" si="17">SUM(Q20,Q26,Q29:Q30,Q58,Q60:Q61,Q63,Q65,Q111:Q115,Q138,Q144,Q150,Q159,Q161,Q173,Q180,Q183:Q184,Q191,Q193,Q195,Q199:Q201,Q203:Q205,Q210,Q216:Q217,Q219:Q221,Q229,Q234)</f>
        <v>297.95000000000005</v>
      </c>
      <c r="R110" s="111">
        <f t="shared" si="17"/>
        <v>456.85</v>
      </c>
      <c r="S110" s="111">
        <f t="shared" si="17"/>
        <v>257.55</v>
      </c>
      <c r="T110" s="111">
        <f t="shared" si="17"/>
        <v>280.95000000000005</v>
      </c>
      <c r="U110" s="111">
        <f t="shared" si="17"/>
        <v>419.75</v>
      </c>
      <c r="V110" s="111">
        <f t="shared" si="17"/>
        <v>270.84999999999997</v>
      </c>
      <c r="W110" s="111">
        <f t="shared" si="17"/>
        <v>250.84999999999997</v>
      </c>
      <c r="X110" s="111">
        <f t="shared" si="17"/>
        <v>262.05</v>
      </c>
      <c r="Y110" s="111">
        <f t="shared" si="17"/>
        <v>308.95000000000005</v>
      </c>
      <c r="Z110" s="111">
        <f t="shared" si="17"/>
        <v>312.85000000000002</v>
      </c>
      <c r="AA110" s="111">
        <f>SUM(AA155,AA111:AA115,AA14,AA23,AA29,AA37,AA40,AA58,AA60:AA61,AA63,AA65)</f>
        <v>349.54999999999995</v>
      </c>
      <c r="AB110" s="111">
        <f t="shared" si="17"/>
        <v>297.34999999999997</v>
      </c>
      <c r="AC110" s="111">
        <f t="shared" si="17"/>
        <v>257.45000000000005</v>
      </c>
      <c r="AD110" s="111"/>
      <c r="AE110" s="111">
        <f t="shared" si="17"/>
        <v>175.34999999999997</v>
      </c>
      <c r="AF110" s="111">
        <f t="shared" si="17"/>
        <v>128.55000000000001</v>
      </c>
      <c r="AG110" s="112"/>
      <c r="AH110" s="47">
        <f t="shared" si="9"/>
        <v>456.85</v>
      </c>
      <c r="AI110" s="48">
        <f t="shared" si="10"/>
        <v>42</v>
      </c>
    </row>
    <row r="111" spans="1:37" x14ac:dyDescent="0.25">
      <c r="A111" s="100" t="s">
        <v>117</v>
      </c>
      <c r="B111" s="113">
        <v>51.2</v>
      </c>
      <c r="C111" s="113">
        <v>46.5</v>
      </c>
      <c r="D111" s="113">
        <v>49.3</v>
      </c>
      <c r="E111" s="113">
        <v>48.1</v>
      </c>
      <c r="F111" s="113">
        <v>40.799999999999997</v>
      </c>
      <c r="G111" s="113">
        <v>51.2</v>
      </c>
      <c r="H111" s="113">
        <v>49</v>
      </c>
      <c r="I111" s="113">
        <v>48.3</v>
      </c>
      <c r="J111" s="113">
        <v>42.7</v>
      </c>
      <c r="K111" s="113">
        <v>56</v>
      </c>
      <c r="L111" s="113">
        <v>51.2</v>
      </c>
      <c r="M111" s="113">
        <v>36.700000000000003</v>
      </c>
      <c r="N111" s="113">
        <v>57.8</v>
      </c>
      <c r="O111" s="113">
        <v>56.2</v>
      </c>
      <c r="P111" s="113">
        <v>30.6</v>
      </c>
      <c r="Q111" s="113">
        <v>30.6</v>
      </c>
      <c r="R111" s="113">
        <v>36.9</v>
      </c>
      <c r="S111" s="113">
        <v>39.4</v>
      </c>
      <c r="T111" s="113">
        <v>31.3</v>
      </c>
      <c r="U111" s="113">
        <v>46.9</v>
      </c>
      <c r="V111" s="113">
        <v>26.6</v>
      </c>
      <c r="W111" s="113">
        <v>38.9</v>
      </c>
      <c r="X111" s="113">
        <v>66.099999999999994</v>
      </c>
      <c r="Y111" s="113">
        <v>52</v>
      </c>
      <c r="Z111" s="113">
        <v>52</v>
      </c>
      <c r="AA111" s="113">
        <v>51</v>
      </c>
      <c r="AB111" s="113">
        <v>48</v>
      </c>
      <c r="AC111" s="113">
        <v>48.8</v>
      </c>
      <c r="AD111" s="113">
        <v>41.4</v>
      </c>
      <c r="AE111" s="113">
        <v>31.2</v>
      </c>
      <c r="AF111" s="113">
        <v>18.600000000000001</v>
      </c>
      <c r="AG111" s="114">
        <v>75</v>
      </c>
      <c r="AH111" s="47">
        <f t="shared" si="9"/>
        <v>66.099999999999994</v>
      </c>
      <c r="AI111" s="48">
        <f t="shared" si="10"/>
        <v>18.600000000000001</v>
      </c>
    </row>
    <row r="112" spans="1:37" x14ac:dyDescent="0.25">
      <c r="A112" s="103" t="s">
        <v>118</v>
      </c>
      <c r="B112" s="115">
        <v>86.4</v>
      </c>
      <c r="C112" s="115">
        <v>80</v>
      </c>
      <c r="D112" s="115">
        <v>82.6</v>
      </c>
      <c r="E112" s="115">
        <v>82.3</v>
      </c>
      <c r="F112" s="115">
        <v>71.2</v>
      </c>
      <c r="G112" s="115">
        <v>82.8</v>
      </c>
      <c r="H112" s="115">
        <v>80.3</v>
      </c>
      <c r="I112" s="115">
        <v>79.099999999999994</v>
      </c>
      <c r="J112" s="115">
        <v>71.7</v>
      </c>
      <c r="K112" s="115">
        <v>83.1</v>
      </c>
      <c r="L112" s="115">
        <v>75.900000000000006</v>
      </c>
      <c r="M112" s="115">
        <v>55.7</v>
      </c>
      <c r="N112" s="115">
        <v>83.7</v>
      </c>
      <c r="O112" s="115">
        <v>68.8</v>
      </c>
      <c r="P112" s="115">
        <v>44.7</v>
      </c>
      <c r="Q112" s="115">
        <v>44.7</v>
      </c>
      <c r="R112" s="115">
        <v>58.5</v>
      </c>
      <c r="S112" s="115">
        <v>33.700000000000003</v>
      </c>
      <c r="T112" s="115">
        <v>54.9</v>
      </c>
      <c r="U112" s="115">
        <v>68.5</v>
      </c>
      <c r="V112" s="115">
        <v>36.1</v>
      </c>
      <c r="W112" s="115">
        <v>55.6</v>
      </c>
      <c r="X112" s="115">
        <v>90</v>
      </c>
      <c r="Y112" s="115">
        <v>76</v>
      </c>
      <c r="Z112" s="115">
        <v>73.5</v>
      </c>
      <c r="AA112" s="115">
        <v>73.900000000000006</v>
      </c>
      <c r="AB112" s="115">
        <v>71</v>
      </c>
      <c r="AC112" s="115">
        <v>70.900000000000006</v>
      </c>
      <c r="AD112" s="115">
        <v>68.8</v>
      </c>
      <c r="AE112" s="115">
        <v>55.1</v>
      </c>
      <c r="AF112" s="115">
        <v>35.9</v>
      </c>
      <c r="AG112" s="114">
        <v>240</v>
      </c>
      <c r="AH112" s="47">
        <f t="shared" si="9"/>
        <v>90</v>
      </c>
      <c r="AI112" s="48">
        <f t="shared" si="10"/>
        <v>33.700000000000003</v>
      </c>
    </row>
    <row r="113" spans="1:37" x14ac:dyDescent="0.25">
      <c r="A113" s="103" t="s">
        <v>119</v>
      </c>
      <c r="B113" s="115">
        <v>-185</v>
      </c>
      <c r="C113" s="115">
        <v>-192</v>
      </c>
      <c r="D113" s="115">
        <v>-200</v>
      </c>
      <c r="E113" s="115">
        <f>-99-103.2</f>
        <v>-202.2</v>
      </c>
      <c r="F113" s="115">
        <f>-91-95.6</f>
        <v>-186.6</v>
      </c>
      <c r="G113" s="115">
        <f>-93.8-96.7</f>
        <v>-190.5</v>
      </c>
      <c r="H113" s="115">
        <f>-81-85.6</f>
        <v>-166.6</v>
      </c>
      <c r="I113" s="115">
        <f>-67.9-71.2</f>
        <v>-139.10000000000002</v>
      </c>
      <c r="J113" s="115">
        <f>-55.5-59.8</f>
        <v>-115.3</v>
      </c>
      <c r="K113" s="115">
        <f>-54.8-58.3</f>
        <v>-113.1</v>
      </c>
      <c r="L113" s="115">
        <f>-52.1-55.4</f>
        <v>-107.5</v>
      </c>
      <c r="M113" s="115">
        <v>-83</v>
      </c>
      <c r="N113" s="115">
        <v>-108</v>
      </c>
      <c r="O113" s="115">
        <v>-90</v>
      </c>
      <c r="P113" s="115">
        <v>-60</v>
      </c>
      <c r="Q113" s="115">
        <v>-60</v>
      </c>
      <c r="R113" s="115">
        <v>85</v>
      </c>
      <c r="S113" s="115">
        <f>-53-40.7</f>
        <v>-93.7</v>
      </c>
      <c r="T113" s="115">
        <f>-42.1-37.9</f>
        <v>-80</v>
      </c>
      <c r="U113" s="115">
        <v>55.9</v>
      </c>
      <c r="V113" s="115">
        <f>-36.3-32.8</f>
        <v>-69.099999999999994</v>
      </c>
      <c r="W113" s="115">
        <f>-47.5-37.9</f>
        <v>-85.4</v>
      </c>
      <c r="X113" s="115">
        <f>-53.1-57</f>
        <v>-110.1</v>
      </c>
      <c r="Y113" s="115">
        <f>-28-27.3</f>
        <v>-55.3</v>
      </c>
      <c r="Z113" s="115">
        <f>-26.7-26</f>
        <v>-52.7</v>
      </c>
      <c r="AA113" s="115">
        <f>-25-24.2</f>
        <v>-49.2</v>
      </c>
      <c r="AB113" s="115">
        <v>-73</v>
      </c>
      <c r="AC113" s="115">
        <v>-100</v>
      </c>
      <c r="AD113" s="115">
        <v>-117</v>
      </c>
      <c r="AE113" s="115">
        <v>-131</v>
      </c>
      <c r="AF113" s="115">
        <v>-130</v>
      </c>
      <c r="AG113" s="114">
        <v>240</v>
      </c>
      <c r="AH113" s="47">
        <f t="shared" si="9"/>
        <v>85</v>
      </c>
      <c r="AI113" s="48">
        <f t="shared" si="10"/>
        <v>-202.2</v>
      </c>
    </row>
    <row r="114" spans="1:37" x14ac:dyDescent="0.25">
      <c r="A114" s="103" t="s">
        <v>120</v>
      </c>
      <c r="B114" s="115">
        <v>-20</v>
      </c>
      <c r="C114" s="115">
        <v>-24</v>
      </c>
      <c r="D114" s="115">
        <v>-24</v>
      </c>
      <c r="E114" s="115">
        <v>-23.1</v>
      </c>
      <c r="F114" s="115">
        <v>-20.2</v>
      </c>
      <c r="G114" s="115">
        <v>-21.9</v>
      </c>
      <c r="H114" s="115">
        <v>-19.2</v>
      </c>
      <c r="I114" s="115">
        <v>-13.8</v>
      </c>
      <c r="J114" s="115">
        <v>-9</v>
      </c>
      <c r="K114" s="115">
        <v>-10.4</v>
      </c>
      <c r="L114" s="115">
        <v>-6.8</v>
      </c>
      <c r="M114" s="115">
        <v>3.1</v>
      </c>
      <c r="N114" s="115">
        <v>-3.3</v>
      </c>
      <c r="O114" s="115">
        <v>17.7</v>
      </c>
      <c r="P114" s="115">
        <v>37.799999999999997</v>
      </c>
      <c r="Q114" s="115">
        <v>37.799999999999997</v>
      </c>
      <c r="R114" s="115">
        <v>16</v>
      </c>
      <c r="S114" s="115">
        <v>15.2</v>
      </c>
      <c r="T114" s="115">
        <v>7.4</v>
      </c>
      <c r="U114" s="115">
        <v>5.2</v>
      </c>
      <c r="V114" s="115">
        <v>12.5</v>
      </c>
      <c r="W114" s="115">
        <v>5.2</v>
      </c>
      <c r="X114" s="115">
        <v>6.1</v>
      </c>
      <c r="Y114" s="115">
        <v>12.9</v>
      </c>
      <c r="Z114" s="115">
        <v>13.2</v>
      </c>
      <c r="AA114" s="115">
        <v>12</v>
      </c>
      <c r="AB114" s="115">
        <v>0</v>
      </c>
      <c r="AC114" s="115">
        <v>-2.2000000000000002</v>
      </c>
      <c r="AD114" s="115">
        <v>-7.9</v>
      </c>
      <c r="AE114" s="115">
        <v>-11.9</v>
      </c>
      <c r="AF114" s="115">
        <v>-19.899999999999999</v>
      </c>
      <c r="AG114" s="114">
        <v>60</v>
      </c>
      <c r="AH114" s="47">
        <f t="shared" si="9"/>
        <v>37.799999999999997</v>
      </c>
      <c r="AI114" s="48">
        <f t="shared" si="10"/>
        <v>-24</v>
      </c>
    </row>
    <row r="115" spans="1:37" x14ac:dyDescent="0.25">
      <c r="A115" s="116" t="s">
        <v>121</v>
      </c>
      <c r="B115" s="117">
        <v>50</v>
      </c>
      <c r="C115" s="117">
        <v>40</v>
      </c>
      <c r="D115" s="117">
        <v>40</v>
      </c>
      <c r="E115" s="117">
        <v>34.1</v>
      </c>
      <c r="F115" s="117">
        <v>33.5</v>
      </c>
      <c r="G115" s="117">
        <v>32.1</v>
      </c>
      <c r="H115" s="117">
        <v>33.5</v>
      </c>
      <c r="I115" s="117">
        <v>33</v>
      </c>
      <c r="J115" s="117">
        <v>63.9</v>
      </c>
      <c r="K115" s="117">
        <v>52.9</v>
      </c>
      <c r="L115" s="117">
        <v>69.400000000000006</v>
      </c>
      <c r="M115" s="117">
        <v>81.7</v>
      </c>
      <c r="N115" s="117">
        <v>74</v>
      </c>
      <c r="O115" s="117">
        <v>84.5</v>
      </c>
      <c r="P115" s="117">
        <v>80.400000000000006</v>
      </c>
      <c r="Q115" s="117">
        <v>80.400000000000006</v>
      </c>
      <c r="R115" s="117">
        <v>96</v>
      </c>
      <c r="S115" s="117">
        <v>98.5</v>
      </c>
      <c r="T115" s="117">
        <v>102.9</v>
      </c>
      <c r="U115" s="117">
        <v>78.8</v>
      </c>
      <c r="V115" s="117">
        <v>100.3</v>
      </c>
      <c r="W115" s="117">
        <v>86.7</v>
      </c>
      <c r="X115" s="117">
        <v>60.1</v>
      </c>
      <c r="Y115" s="117">
        <v>73.5</v>
      </c>
      <c r="Z115" s="117">
        <v>77</v>
      </c>
      <c r="AA115" s="117">
        <v>86</v>
      </c>
      <c r="AB115" s="117">
        <v>101.7</v>
      </c>
      <c r="AC115" s="117">
        <v>92.7</v>
      </c>
      <c r="AD115" s="117">
        <v>92.8</v>
      </c>
      <c r="AE115" s="117">
        <v>84.7</v>
      </c>
      <c r="AF115" s="117">
        <v>86.7</v>
      </c>
      <c r="AG115" s="118">
        <v>120</v>
      </c>
      <c r="AH115" s="47">
        <f t="shared" si="9"/>
        <v>102.9</v>
      </c>
      <c r="AI115" s="48">
        <f t="shared" si="10"/>
        <v>32.1</v>
      </c>
    </row>
    <row r="116" spans="1:37" x14ac:dyDescent="0.25">
      <c r="A116" s="116" t="s">
        <v>122</v>
      </c>
      <c r="B116" s="117">
        <v>61</v>
      </c>
      <c r="C116" s="117">
        <v>59</v>
      </c>
      <c r="D116" s="117">
        <v>59</v>
      </c>
      <c r="E116" s="117">
        <v>50.4</v>
      </c>
      <c r="F116" s="117">
        <v>49.7</v>
      </c>
      <c r="G116" s="117">
        <v>54.4</v>
      </c>
      <c r="H116" s="117">
        <v>63.8</v>
      </c>
      <c r="I116" s="117">
        <v>67.7</v>
      </c>
      <c r="J116" s="117">
        <v>84.1</v>
      </c>
      <c r="K116" s="117">
        <v>76.7</v>
      </c>
      <c r="L116" s="117">
        <v>87.7</v>
      </c>
      <c r="M116" s="117">
        <v>97.1</v>
      </c>
      <c r="N116" s="117">
        <v>92.5</v>
      </c>
      <c r="O116" s="117">
        <v>96</v>
      </c>
      <c r="P116" s="117">
        <v>87</v>
      </c>
      <c r="Q116" s="117">
        <v>87</v>
      </c>
      <c r="R116" s="117">
        <v>101</v>
      </c>
      <c r="S116" s="117">
        <v>100</v>
      </c>
      <c r="T116" s="117">
        <v>100.5</v>
      </c>
      <c r="U116" s="117">
        <v>78.099999999999994</v>
      </c>
      <c r="V116" s="117">
        <v>90.8</v>
      </c>
      <c r="W116" s="117">
        <v>74.7</v>
      </c>
      <c r="X116" s="117">
        <v>62</v>
      </c>
      <c r="Y116" s="117">
        <v>89.1</v>
      </c>
      <c r="Z116" s="117">
        <v>91.5</v>
      </c>
      <c r="AA116" s="117">
        <v>96.1</v>
      </c>
      <c r="AB116" s="117">
        <v>73.599999999999994</v>
      </c>
      <c r="AC116" s="117">
        <v>70.7</v>
      </c>
      <c r="AD116" s="117">
        <v>84.9</v>
      </c>
      <c r="AE116" s="117">
        <v>83.9</v>
      </c>
      <c r="AF116" s="117">
        <v>89.6</v>
      </c>
      <c r="AG116" s="118"/>
      <c r="AH116" s="47">
        <f t="shared" si="9"/>
        <v>101</v>
      </c>
      <c r="AI116" s="48">
        <f t="shared" si="10"/>
        <v>49.7</v>
      </c>
    </row>
    <row r="117" spans="1:37" x14ac:dyDescent="0.25">
      <c r="A117" s="116" t="s">
        <v>123</v>
      </c>
      <c r="B117" s="117">
        <v>39</v>
      </c>
      <c r="C117" s="117"/>
      <c r="D117" s="117"/>
      <c r="E117" s="117">
        <v>43.8</v>
      </c>
      <c r="F117" s="117">
        <v>49.8</v>
      </c>
      <c r="G117" s="117">
        <v>48</v>
      </c>
      <c r="H117" s="117">
        <v>44.1</v>
      </c>
      <c r="I117" s="117">
        <v>42.5</v>
      </c>
      <c r="J117" s="117">
        <v>49.1</v>
      </c>
      <c r="K117" s="117">
        <v>39.6</v>
      </c>
      <c r="L117" s="117">
        <v>25.1</v>
      </c>
      <c r="M117" s="117">
        <v>55.8</v>
      </c>
      <c r="N117" s="117"/>
      <c r="O117" s="117">
        <v>25.6</v>
      </c>
      <c r="P117" s="117"/>
      <c r="Q117" s="117"/>
      <c r="R117" s="117">
        <v>48.5</v>
      </c>
      <c r="S117" s="117">
        <v>49.2</v>
      </c>
      <c r="T117" s="117">
        <v>49.5</v>
      </c>
      <c r="U117" s="117">
        <v>38.9</v>
      </c>
      <c r="V117" s="117">
        <v>53.8</v>
      </c>
      <c r="W117" s="117">
        <v>39.9</v>
      </c>
      <c r="X117" s="117">
        <v>20.8</v>
      </c>
      <c r="Y117" s="117">
        <v>35.200000000000003</v>
      </c>
      <c r="Z117" s="117">
        <v>31.7</v>
      </c>
      <c r="AA117" s="117">
        <v>34.6</v>
      </c>
      <c r="AB117" s="117">
        <v>40</v>
      </c>
      <c r="AC117" s="117">
        <v>35.4</v>
      </c>
      <c r="AD117" s="117">
        <v>29.7</v>
      </c>
      <c r="AE117" s="117">
        <v>48.7</v>
      </c>
      <c r="AF117" s="117">
        <v>48.5</v>
      </c>
      <c r="AG117" s="119"/>
      <c r="AH117" s="47">
        <f t="shared" si="9"/>
        <v>55.8</v>
      </c>
      <c r="AI117" s="48">
        <f t="shared" si="10"/>
        <v>20.8</v>
      </c>
    </row>
    <row r="118" spans="1:37" x14ac:dyDescent="0.25">
      <c r="A118" s="120" t="s">
        <v>124</v>
      </c>
      <c r="B118" s="106">
        <v>-5</v>
      </c>
      <c r="C118" s="106">
        <v>-6.5</v>
      </c>
      <c r="D118" s="106">
        <v>-6.5</v>
      </c>
      <c r="E118" s="106">
        <v>13.7</v>
      </c>
      <c r="F118" s="106">
        <v>49.3</v>
      </c>
      <c r="G118" s="106">
        <v>49.7</v>
      </c>
      <c r="H118" s="106">
        <v>56.1</v>
      </c>
      <c r="I118" s="106">
        <v>55.5</v>
      </c>
      <c r="J118" s="106">
        <v>43.3</v>
      </c>
      <c r="K118" s="106">
        <v>40.299999999999997</v>
      </c>
      <c r="L118" s="106">
        <v>29.8</v>
      </c>
      <c r="M118" s="106">
        <v>50.3</v>
      </c>
      <c r="N118" s="106">
        <v>19.2</v>
      </c>
      <c r="O118" s="106">
        <v>31</v>
      </c>
      <c r="P118" s="106">
        <v>15.2</v>
      </c>
      <c r="Q118" s="106">
        <v>15.2</v>
      </c>
      <c r="R118" s="106">
        <v>15.9</v>
      </c>
      <c r="S118" s="106">
        <v>-14.8</v>
      </c>
      <c r="T118" s="106">
        <v>-8.6999999999999993</v>
      </c>
      <c r="U118" s="106">
        <v>-5.3</v>
      </c>
      <c r="V118" s="106">
        <v>-9</v>
      </c>
      <c r="W118" s="106">
        <v>-5.0999999999999996</v>
      </c>
      <c r="X118" s="106">
        <v>-4.2</v>
      </c>
      <c r="Y118" s="106">
        <v>-6.4</v>
      </c>
      <c r="Z118" s="106">
        <v>-7.7</v>
      </c>
      <c r="AA118" s="106">
        <v>-4</v>
      </c>
      <c r="AB118" s="106">
        <v>-0.8</v>
      </c>
      <c r="AC118" s="106">
        <v>-1</v>
      </c>
      <c r="AD118" s="106">
        <v>-2.2999999999999998</v>
      </c>
      <c r="AE118" s="106">
        <v>1.8</v>
      </c>
      <c r="AF118" s="106">
        <v>1.5</v>
      </c>
      <c r="AG118" s="119"/>
      <c r="AH118" s="47">
        <f t="shared" si="9"/>
        <v>56.1</v>
      </c>
      <c r="AI118" s="48">
        <f t="shared" si="10"/>
        <v>-14.8</v>
      </c>
    </row>
    <row r="119" spans="1:37" x14ac:dyDescent="0.25">
      <c r="A119" s="175" t="s">
        <v>265</v>
      </c>
      <c r="B119" s="106">
        <v>87</v>
      </c>
      <c r="C119" s="106">
        <v>94</v>
      </c>
      <c r="D119" s="106">
        <v>94</v>
      </c>
      <c r="E119" s="106">
        <v>98.6</v>
      </c>
      <c r="F119" s="106">
        <v>89.5</v>
      </c>
      <c r="G119" s="106">
        <v>88.5</v>
      </c>
      <c r="H119" s="106">
        <v>78.3</v>
      </c>
      <c r="I119" s="106">
        <v>63.9</v>
      </c>
      <c r="J119" s="106">
        <v>50.4</v>
      </c>
      <c r="K119" s="106">
        <v>41.4</v>
      </c>
      <c r="L119" s="106">
        <v>42.4</v>
      </c>
      <c r="M119" s="106">
        <v>25.4</v>
      </c>
      <c r="N119" s="106">
        <v>47</v>
      </c>
      <c r="O119" s="106">
        <v>55.4</v>
      </c>
      <c r="P119" s="106">
        <v>59.1</v>
      </c>
      <c r="Q119" s="106">
        <v>59.1</v>
      </c>
      <c r="R119" s="106">
        <v>43.2</v>
      </c>
      <c r="S119" s="106">
        <v>32.4</v>
      </c>
      <c r="T119" s="106">
        <v>27.3</v>
      </c>
      <c r="U119" s="106">
        <v>33.299999999999997</v>
      </c>
      <c r="V119" s="106">
        <v>20.9</v>
      </c>
      <c r="W119" s="106">
        <v>26.8</v>
      </c>
      <c r="X119" s="106">
        <v>36.6</v>
      </c>
      <c r="Y119" s="106">
        <v>10.4</v>
      </c>
      <c r="Z119" s="106">
        <v>10.6</v>
      </c>
      <c r="AA119" s="106">
        <v>6.9</v>
      </c>
      <c r="AB119" s="106">
        <v>28.1</v>
      </c>
      <c r="AC119" s="106">
        <v>27.5</v>
      </c>
      <c r="AD119" s="106">
        <v>44</v>
      </c>
      <c r="AE119" s="106">
        <v>55.3</v>
      </c>
      <c r="AF119" s="106">
        <v>53.4</v>
      </c>
      <c r="AG119" s="119"/>
      <c r="AH119" s="47">
        <f t="shared" si="9"/>
        <v>98.6</v>
      </c>
      <c r="AI119" s="48">
        <f t="shared" si="10"/>
        <v>6.9</v>
      </c>
    </row>
    <row r="120" spans="1:37" ht="15.75" thickBot="1" x14ac:dyDescent="0.3">
      <c r="A120" s="120" t="s">
        <v>125</v>
      </c>
      <c r="B120" s="106">
        <v>113</v>
      </c>
      <c r="C120" s="106">
        <v>111</v>
      </c>
      <c r="D120" s="106">
        <v>111</v>
      </c>
      <c r="E120" s="106">
        <v>96</v>
      </c>
      <c r="F120" s="106">
        <v>75.7</v>
      </c>
      <c r="G120" s="106">
        <v>63.4</v>
      </c>
      <c r="H120" s="106">
        <v>50.8</v>
      </c>
      <c r="I120" s="106">
        <v>53.5</v>
      </c>
      <c r="J120" s="106">
        <v>61.6</v>
      </c>
      <c r="K120" s="106">
        <v>66.2</v>
      </c>
      <c r="L120" s="106">
        <v>69.5</v>
      </c>
      <c r="M120" s="106">
        <v>58.3</v>
      </c>
      <c r="N120" s="106">
        <v>75.099999999999994</v>
      </c>
      <c r="O120" s="106">
        <v>80</v>
      </c>
      <c r="P120" s="106">
        <v>87.4</v>
      </c>
      <c r="Q120" s="106">
        <v>87.4</v>
      </c>
      <c r="R120" s="106">
        <v>95.1</v>
      </c>
      <c r="S120" s="106">
        <v>99.1</v>
      </c>
      <c r="T120" s="106">
        <v>81</v>
      </c>
      <c r="U120" s="106">
        <v>94.54</v>
      </c>
      <c r="V120" s="106">
        <v>91.2</v>
      </c>
      <c r="W120" s="106">
        <v>78.5</v>
      </c>
      <c r="X120" s="106">
        <v>115.1</v>
      </c>
      <c r="Y120" s="106">
        <v>107.5</v>
      </c>
      <c r="Z120" s="106">
        <v>101.8</v>
      </c>
      <c r="AA120" s="106">
        <v>103.6</v>
      </c>
      <c r="AB120" s="106">
        <v>94.8</v>
      </c>
      <c r="AC120" s="106">
        <v>108</v>
      </c>
      <c r="AD120" s="106">
        <v>97.9</v>
      </c>
      <c r="AE120" s="106">
        <v>48.5</v>
      </c>
      <c r="AF120" s="106">
        <v>52.3</v>
      </c>
      <c r="AG120" s="119"/>
      <c r="AH120" s="47">
        <f t="shared" si="9"/>
        <v>115.1</v>
      </c>
      <c r="AI120" s="48">
        <f t="shared" si="10"/>
        <v>48.5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 t="s">
        <v>255</v>
      </c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8">SUM(B122:B226)</f>
        <v>0</v>
      </c>
      <c r="C227" s="136">
        <f t="shared" si="18"/>
        <v>0</v>
      </c>
      <c r="D227" s="136">
        <f t="shared" si="18"/>
        <v>0</v>
      </c>
      <c r="E227" s="136">
        <f t="shared" si="18"/>
        <v>0</v>
      </c>
      <c r="F227" s="136">
        <f t="shared" si="18"/>
        <v>0</v>
      </c>
      <c r="G227" s="136">
        <f t="shared" si="18"/>
        <v>0</v>
      </c>
      <c r="H227" s="136">
        <f t="shared" si="18"/>
        <v>0</v>
      </c>
      <c r="I227" s="136">
        <f t="shared" si="18"/>
        <v>0</v>
      </c>
      <c r="J227" s="136">
        <f t="shared" si="18"/>
        <v>0</v>
      </c>
      <c r="K227" s="136">
        <f t="shared" si="18"/>
        <v>0</v>
      </c>
      <c r="L227" s="136">
        <f t="shared" si="18"/>
        <v>0</v>
      </c>
      <c r="M227" s="136">
        <f t="shared" si="18"/>
        <v>0</v>
      </c>
      <c r="N227" s="136">
        <f t="shared" si="18"/>
        <v>0</v>
      </c>
      <c r="O227" s="136">
        <f t="shared" si="18"/>
        <v>0</v>
      </c>
      <c r="P227" s="136">
        <f t="shared" si="18"/>
        <v>0</v>
      </c>
      <c r="Q227" s="136">
        <f t="shared" si="18"/>
        <v>0</v>
      </c>
      <c r="R227" s="136">
        <f t="shared" si="18"/>
        <v>0</v>
      </c>
      <c r="S227" s="136">
        <f t="shared" si="18"/>
        <v>0</v>
      </c>
      <c r="T227" s="136">
        <f t="shared" si="18"/>
        <v>0</v>
      </c>
      <c r="U227" s="136">
        <f t="shared" si="18"/>
        <v>0</v>
      </c>
      <c r="V227" s="136">
        <f t="shared" si="18"/>
        <v>0</v>
      </c>
      <c r="W227" s="136">
        <f t="shared" si="18"/>
        <v>0</v>
      </c>
      <c r="X227" s="136">
        <f t="shared" si="18"/>
        <v>0</v>
      </c>
      <c r="Y227" s="136">
        <f t="shared" si="18"/>
        <v>0</v>
      </c>
      <c r="Z227" s="136">
        <f t="shared" si="18"/>
        <v>0</v>
      </c>
      <c r="AA227" s="136">
        <f t="shared" si="18"/>
        <v>0</v>
      </c>
      <c r="AB227" s="136">
        <f t="shared" si="18"/>
        <v>0</v>
      </c>
      <c r="AC227" s="136">
        <f t="shared" si="18"/>
        <v>0</v>
      </c>
      <c r="AD227" s="136">
        <f t="shared" si="18"/>
        <v>0</v>
      </c>
      <c r="AE227" s="136">
        <f t="shared" si="18"/>
        <v>0</v>
      </c>
      <c r="AF227" s="137">
        <f t="shared" si="18"/>
        <v>0</v>
      </c>
      <c r="AG227" s="138">
        <f t="shared" si="18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9">AF229</f>
        <v>0</v>
      </c>
      <c r="C229" s="140">
        <v>0.3</v>
      </c>
      <c r="D229" s="140">
        <f t="shared" ref="D229:P234" si="20">C229</f>
        <v>0.3</v>
      </c>
      <c r="E229" s="140">
        <f t="shared" si="20"/>
        <v>0.3</v>
      </c>
      <c r="F229" s="140">
        <f t="shared" si="20"/>
        <v>0.3</v>
      </c>
      <c r="G229" s="140">
        <f t="shared" si="20"/>
        <v>0.3</v>
      </c>
      <c r="H229" s="140">
        <f t="shared" si="20"/>
        <v>0.3</v>
      </c>
      <c r="I229" s="140">
        <f t="shared" si="20"/>
        <v>0.3</v>
      </c>
      <c r="J229" s="140">
        <f t="shared" si="20"/>
        <v>0.3</v>
      </c>
      <c r="K229" s="140">
        <f t="shared" si="20"/>
        <v>0.3</v>
      </c>
      <c r="L229" s="140">
        <f t="shared" si="20"/>
        <v>0.3</v>
      </c>
      <c r="M229" s="140">
        <f t="shared" si="20"/>
        <v>0.3</v>
      </c>
      <c r="N229" s="140">
        <f t="shared" si="20"/>
        <v>0.3</v>
      </c>
      <c r="O229" s="140">
        <f t="shared" si="20"/>
        <v>0.3</v>
      </c>
      <c r="P229" s="140">
        <f t="shared" si="20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9"/>
        <v>0</v>
      </c>
      <c r="C230" s="128">
        <v>0.4</v>
      </c>
      <c r="D230" s="128">
        <f t="shared" si="20"/>
        <v>0.4</v>
      </c>
      <c r="E230" s="128">
        <f t="shared" si="20"/>
        <v>0.4</v>
      </c>
      <c r="F230" s="128">
        <f t="shared" si="20"/>
        <v>0.4</v>
      </c>
      <c r="G230" s="128">
        <f t="shared" si="20"/>
        <v>0.4</v>
      </c>
      <c r="H230" s="128">
        <f t="shared" si="20"/>
        <v>0.4</v>
      </c>
      <c r="I230" s="128">
        <f t="shared" si="20"/>
        <v>0.4</v>
      </c>
      <c r="J230" s="128">
        <f t="shared" si="20"/>
        <v>0.4</v>
      </c>
      <c r="K230" s="128">
        <f t="shared" si="20"/>
        <v>0.4</v>
      </c>
      <c r="L230" s="128">
        <f t="shared" si="20"/>
        <v>0.4</v>
      </c>
      <c r="M230" s="128">
        <f t="shared" si="20"/>
        <v>0.4</v>
      </c>
      <c r="N230" s="128">
        <f t="shared" si="20"/>
        <v>0.4</v>
      </c>
      <c r="O230" s="128">
        <f t="shared" si="20"/>
        <v>0.4</v>
      </c>
      <c r="P230" s="128">
        <f t="shared" si="20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9"/>
        <v>0</v>
      </c>
      <c r="C231" s="128">
        <v>1.5</v>
      </c>
      <c r="D231" s="128">
        <f t="shared" si="20"/>
        <v>1.5</v>
      </c>
      <c r="E231" s="128">
        <f t="shared" si="20"/>
        <v>1.5</v>
      </c>
      <c r="F231" s="128">
        <f t="shared" si="20"/>
        <v>1.5</v>
      </c>
      <c r="G231" s="128">
        <f t="shared" si="20"/>
        <v>1.5</v>
      </c>
      <c r="H231" s="128">
        <f t="shared" si="20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20"/>
        <v>123.21900000000009</v>
      </c>
      <c r="K231" s="128">
        <f t="shared" ca="1" si="20"/>
        <v>123.21900000000009</v>
      </c>
      <c r="L231" s="128">
        <f t="shared" ca="1" si="20"/>
        <v>119.19900000000008</v>
      </c>
      <c r="M231" s="128">
        <f t="shared" ca="1" si="20"/>
        <v>119.19900000000008</v>
      </c>
      <c r="N231" s="128">
        <f t="shared" ca="1" si="20"/>
        <v>119.19900000000008</v>
      </c>
      <c r="O231" s="128">
        <f t="shared" ca="1" si="20"/>
        <v>119.19900000000008</v>
      </c>
      <c r="P231" s="128">
        <f t="shared" ca="1" si="20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9"/>
        <v>0</v>
      </c>
      <c r="C232" s="128">
        <v>0.3</v>
      </c>
      <c r="D232" s="128">
        <f t="shared" si="20"/>
        <v>0.3</v>
      </c>
      <c r="E232" s="128">
        <f t="shared" si="20"/>
        <v>0.3</v>
      </c>
      <c r="F232" s="128">
        <f t="shared" si="20"/>
        <v>0.3</v>
      </c>
      <c r="G232" s="128">
        <f t="shared" si="20"/>
        <v>0.3</v>
      </c>
      <c r="H232" s="128">
        <f t="shared" si="20"/>
        <v>0.3</v>
      </c>
      <c r="I232" s="128">
        <f t="shared" si="20"/>
        <v>0.3</v>
      </c>
      <c r="J232" s="128">
        <f t="shared" si="20"/>
        <v>0.3</v>
      </c>
      <c r="K232" s="128">
        <f t="shared" si="20"/>
        <v>0.3</v>
      </c>
      <c r="L232" s="128">
        <f t="shared" si="20"/>
        <v>0.3</v>
      </c>
      <c r="M232" s="128">
        <f t="shared" si="20"/>
        <v>0.3</v>
      </c>
      <c r="N232" s="128">
        <f t="shared" si="20"/>
        <v>0.3</v>
      </c>
      <c r="O232" s="128">
        <f t="shared" si="20"/>
        <v>0.3</v>
      </c>
      <c r="P232" s="128">
        <f t="shared" si="20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9"/>
        <v>0</v>
      </c>
      <c r="C233" s="128">
        <v>0.4</v>
      </c>
      <c r="D233" s="128">
        <f t="shared" si="20"/>
        <v>0.4</v>
      </c>
      <c r="E233" s="128">
        <f t="shared" si="20"/>
        <v>0.4</v>
      </c>
      <c r="F233" s="128">
        <f t="shared" si="20"/>
        <v>0.4</v>
      </c>
      <c r="G233" s="128">
        <f t="shared" si="20"/>
        <v>0.4</v>
      </c>
      <c r="H233" s="128">
        <f t="shared" si="20"/>
        <v>0.4</v>
      </c>
      <c r="I233" s="128">
        <f t="shared" si="20"/>
        <v>0.4</v>
      </c>
      <c r="J233" s="128">
        <f t="shared" si="20"/>
        <v>0.4</v>
      </c>
      <c r="K233" s="128">
        <f t="shared" si="20"/>
        <v>0.4</v>
      </c>
      <c r="L233" s="128">
        <f t="shared" si="20"/>
        <v>0.4</v>
      </c>
      <c r="M233" s="128">
        <f t="shared" si="20"/>
        <v>0.4</v>
      </c>
      <c r="N233" s="128">
        <f t="shared" si="20"/>
        <v>0.4</v>
      </c>
      <c r="O233" s="128">
        <f t="shared" si="20"/>
        <v>0.4</v>
      </c>
      <c r="P233" s="128">
        <f t="shared" si="20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9"/>
        <v>0</v>
      </c>
      <c r="C234" s="132">
        <v>0.64</v>
      </c>
      <c r="D234" s="132">
        <f t="shared" si="20"/>
        <v>0.64</v>
      </c>
      <c r="E234" s="132">
        <f t="shared" si="20"/>
        <v>0.64</v>
      </c>
      <c r="F234" s="132">
        <f t="shared" si="20"/>
        <v>0.64</v>
      </c>
      <c r="G234" s="132">
        <f t="shared" si="20"/>
        <v>0.64</v>
      </c>
      <c r="H234" s="132">
        <f t="shared" si="20"/>
        <v>0.64</v>
      </c>
      <c r="I234" s="132">
        <f t="shared" si="20"/>
        <v>0.64</v>
      </c>
      <c r="J234" s="132">
        <f t="shared" si="20"/>
        <v>0.64</v>
      </c>
      <c r="K234" s="132">
        <f t="shared" si="20"/>
        <v>0.64</v>
      </c>
      <c r="L234" s="132">
        <f t="shared" si="20"/>
        <v>0.64</v>
      </c>
      <c r="M234" s="132">
        <f t="shared" si="20"/>
        <v>0.64</v>
      </c>
      <c r="N234" s="132">
        <f t="shared" si="20"/>
        <v>0.64</v>
      </c>
      <c r="O234" s="132">
        <f t="shared" si="20"/>
        <v>0.64</v>
      </c>
      <c r="P234" s="132">
        <f t="shared" si="20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1">SUM(B229:B234)</f>
        <v>0</v>
      </c>
      <c r="C235" s="136">
        <f t="shared" si="21"/>
        <v>3.54</v>
      </c>
      <c r="D235" s="136">
        <f t="shared" si="21"/>
        <v>3.54</v>
      </c>
      <c r="E235" s="136">
        <f t="shared" si="21"/>
        <v>3.54</v>
      </c>
      <c r="F235" s="136">
        <f t="shared" si="21"/>
        <v>3.54</v>
      </c>
      <c r="G235" s="136">
        <f t="shared" si="21"/>
        <v>3.54</v>
      </c>
      <c r="H235" s="136">
        <f t="shared" si="21"/>
        <v>3.54</v>
      </c>
      <c r="I235" s="136">
        <f t="shared" ca="1" si="21"/>
        <v>121.23900000000009</v>
      </c>
      <c r="J235" s="136">
        <f t="shared" ca="1" si="21"/>
        <v>121.23900000000009</v>
      </c>
      <c r="K235" s="136">
        <f t="shared" ca="1" si="21"/>
        <v>125.2590000000001</v>
      </c>
      <c r="L235" s="136">
        <f t="shared" ca="1" si="21"/>
        <v>121.23900000000009</v>
      </c>
      <c r="M235" s="136">
        <f t="shared" ca="1" si="21"/>
        <v>121.23900000000009</v>
      </c>
      <c r="N235" s="136">
        <f t="shared" ca="1" si="21"/>
        <v>121.23900000000009</v>
      </c>
      <c r="O235" s="136">
        <f t="shared" ca="1" si="21"/>
        <v>101.13900000000004</v>
      </c>
      <c r="P235" s="136">
        <f t="shared" ca="1" si="21"/>
        <v>121.23900000000009</v>
      </c>
      <c r="Q235" s="136">
        <f t="shared" si="21"/>
        <v>0</v>
      </c>
      <c r="R235" s="136">
        <f t="shared" si="21"/>
        <v>0</v>
      </c>
      <c r="S235" s="136">
        <f t="shared" si="21"/>
        <v>0</v>
      </c>
      <c r="T235" s="136">
        <f t="shared" si="21"/>
        <v>0</v>
      </c>
      <c r="U235" s="136">
        <f t="shared" si="21"/>
        <v>0</v>
      </c>
      <c r="V235" s="136">
        <f t="shared" si="21"/>
        <v>0</v>
      </c>
      <c r="W235" s="136">
        <f t="shared" si="21"/>
        <v>0</v>
      </c>
      <c r="X235" s="136">
        <f t="shared" si="21"/>
        <v>0</v>
      </c>
      <c r="Y235" s="136">
        <f t="shared" si="21"/>
        <v>0</v>
      </c>
      <c r="Z235" s="136">
        <f t="shared" si="21"/>
        <v>0</v>
      </c>
      <c r="AA235" s="136">
        <f t="shared" si="21"/>
        <v>0</v>
      </c>
      <c r="AB235" s="136">
        <f t="shared" si="21"/>
        <v>0</v>
      </c>
      <c r="AC235" s="136">
        <f t="shared" si="21"/>
        <v>0</v>
      </c>
      <c r="AD235" s="136">
        <f t="shared" si="21"/>
        <v>0</v>
      </c>
      <c r="AE235" s="136">
        <f t="shared" si="21"/>
        <v>0</v>
      </c>
      <c r="AF235" s="136">
        <f t="shared" si="21"/>
        <v>0</v>
      </c>
      <c r="AG235" s="145">
        <f t="shared" si="2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1762.04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28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2080/02/28)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2080/02/28)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2">B91</f>
        <v>1804.94</v>
      </c>
      <c r="U249" s="170">
        <f t="shared" si="22"/>
        <v>1868.94</v>
      </c>
      <c r="V249" s="170">
        <f t="shared" si="22"/>
        <v>1817.94</v>
      </c>
      <c r="W249" s="170">
        <f t="shared" si="22"/>
        <v>1752.6399999999999</v>
      </c>
      <c r="X249" s="170">
        <f t="shared" si="22"/>
        <v>1686.0400000000002</v>
      </c>
      <c r="Y249" s="170">
        <f t="shared" si="22"/>
        <v>1704.7400000000002</v>
      </c>
      <c r="Z249" s="170">
        <f t="shared" si="22"/>
        <v>1658.8400000000004</v>
      </c>
      <c r="AA249" s="170">
        <f t="shared" si="22"/>
        <v>1704.44</v>
      </c>
      <c r="AB249" s="170">
        <f t="shared" si="22"/>
        <v>1625.94</v>
      </c>
      <c r="AC249" s="170">
        <f t="shared" si="22"/>
        <v>1701.14</v>
      </c>
      <c r="AD249" s="170">
        <f t="shared" si="22"/>
        <v>1711.3400000000001</v>
      </c>
      <c r="AE249" s="170">
        <f t="shared" si="22"/>
        <v>1734.2400000000002</v>
      </c>
      <c r="AF249" s="170">
        <f t="shared" si="22"/>
        <v>1762.04</v>
      </c>
      <c r="AG249" s="170">
        <f t="shared" si="22"/>
        <v>1874.3400000000001</v>
      </c>
      <c r="AH249" s="170">
        <f t="shared" si="22"/>
        <v>1855.04</v>
      </c>
      <c r="AI249" s="170">
        <f t="shared" si="22"/>
        <v>1947.15</v>
      </c>
      <c r="AJ249" s="170">
        <f t="shared" si="22"/>
        <v>1966.75</v>
      </c>
      <c r="AK249" s="170">
        <f t="shared" si="22"/>
        <v>1898.5500000000002</v>
      </c>
      <c r="AL249" s="170">
        <f t="shared" si="22"/>
        <v>1815.99</v>
      </c>
      <c r="AM249" s="170">
        <f t="shared" si="22"/>
        <v>1570.0900000000001</v>
      </c>
      <c r="AN249" s="170">
        <f t="shared" si="22"/>
        <v>1870.29</v>
      </c>
      <c r="AO249" s="170">
        <f t="shared" si="22"/>
        <v>1717.09</v>
      </c>
      <c r="AP249" s="170">
        <f t="shared" si="22"/>
        <v>1677.8899999999999</v>
      </c>
      <c r="AQ249" s="170">
        <f t="shared" si="22"/>
        <v>1675.1899999999998</v>
      </c>
      <c r="AR249" s="170">
        <f t="shared" si="22"/>
        <v>1581.6899999999998</v>
      </c>
      <c r="AS249" s="170">
        <f t="shared" si="22"/>
        <v>1969.5900000000001</v>
      </c>
      <c r="AT249" s="170">
        <f t="shared" si="22"/>
        <v>1937.59</v>
      </c>
      <c r="AU249" s="170">
        <f t="shared" si="22"/>
        <v>1874.19</v>
      </c>
      <c r="AV249" s="170">
        <f t="shared" si="22"/>
        <v>1813.0900000000001</v>
      </c>
      <c r="AW249" s="170">
        <f t="shared" si="22"/>
        <v>1780.19</v>
      </c>
      <c r="AX249" s="170">
        <f t="shared" si="22"/>
        <v>1725.89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3">C234</f>
        <v>0.64</v>
      </c>
      <c r="C270" s="173">
        <f t="shared" si="23"/>
        <v>0.64</v>
      </c>
      <c r="D270" s="173">
        <f t="shared" si="23"/>
        <v>0.64</v>
      </c>
      <c r="E270" s="173">
        <f t="shared" si="23"/>
        <v>0.64</v>
      </c>
      <c r="F270" s="173">
        <f t="shared" si="23"/>
        <v>0.64</v>
      </c>
      <c r="G270" s="173">
        <f t="shared" si="23"/>
        <v>0.64</v>
      </c>
      <c r="H270" s="173">
        <f t="shared" si="23"/>
        <v>0.64</v>
      </c>
      <c r="I270" s="173">
        <f t="shared" si="23"/>
        <v>0.64</v>
      </c>
      <c r="J270" s="173">
        <f t="shared" si="23"/>
        <v>0.64</v>
      </c>
      <c r="K270" s="173">
        <f t="shared" si="23"/>
        <v>0.64</v>
      </c>
      <c r="L270" s="173">
        <f t="shared" si="23"/>
        <v>0.64</v>
      </c>
      <c r="M270" s="173">
        <f t="shared" si="23"/>
        <v>0.64</v>
      </c>
      <c r="N270" s="173">
        <f t="shared" si="23"/>
        <v>0.64</v>
      </c>
      <c r="O270" s="173">
        <f t="shared" si="23"/>
        <v>0.64</v>
      </c>
      <c r="P270" s="173">
        <f t="shared" si="23"/>
        <v>0</v>
      </c>
      <c r="Q270" s="173">
        <f t="shared" si="23"/>
        <v>0</v>
      </c>
      <c r="R270" s="173">
        <f t="shared" si="23"/>
        <v>0</v>
      </c>
      <c r="S270" s="173">
        <f t="shared" si="23"/>
        <v>0</v>
      </c>
      <c r="T270" s="173">
        <f t="shared" si="23"/>
        <v>0</v>
      </c>
      <c r="U270" s="173">
        <f t="shared" si="23"/>
        <v>0</v>
      </c>
      <c r="V270" s="173">
        <f t="shared" si="23"/>
        <v>0</v>
      </c>
      <c r="W270" s="173">
        <f t="shared" si="23"/>
        <v>0</v>
      </c>
      <c r="X270" s="173">
        <f t="shared" si="23"/>
        <v>0</v>
      </c>
      <c r="Y270" s="173">
        <f t="shared" si="23"/>
        <v>0</v>
      </c>
      <c r="Z270" s="173">
        <f t="shared" si="23"/>
        <v>0</v>
      </c>
      <c r="AA270" s="173">
        <f t="shared" si="23"/>
        <v>0</v>
      </c>
      <c r="AB270" s="173">
        <f t="shared" si="23"/>
        <v>0</v>
      </c>
      <c r="AC270" s="173">
        <f t="shared" si="23"/>
        <v>0</v>
      </c>
      <c r="AD270" s="173">
        <f t="shared" si="23"/>
        <v>0</v>
      </c>
      <c r="AE270" s="173">
        <f t="shared" si="23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4">IF(B238&lt;100,"",B238-520)</f>
        <v/>
      </c>
      <c r="C271" s="174" t="str">
        <f t="shared" si="24"/>
        <v/>
      </c>
      <c r="D271" s="174" t="str">
        <f t="shared" si="24"/>
        <v/>
      </c>
      <c r="E271" s="174" t="str">
        <f t="shared" si="24"/>
        <v/>
      </c>
      <c r="F271" s="174" t="str">
        <f t="shared" si="24"/>
        <v/>
      </c>
      <c r="G271" s="174" t="str">
        <f t="shared" si="24"/>
        <v/>
      </c>
      <c r="H271" s="174" t="str">
        <f t="shared" si="24"/>
        <v/>
      </c>
      <c r="I271" s="174" t="str">
        <f t="shared" si="24"/>
        <v/>
      </c>
      <c r="J271" s="174" t="str">
        <f t="shared" si="24"/>
        <v/>
      </c>
      <c r="K271" s="174" t="str">
        <f t="shared" si="24"/>
        <v/>
      </c>
      <c r="L271" s="174" t="str">
        <f t="shared" si="24"/>
        <v/>
      </c>
      <c r="M271" s="174" t="str">
        <f t="shared" si="24"/>
        <v/>
      </c>
      <c r="N271" s="174" t="str">
        <f t="shared" si="24"/>
        <v/>
      </c>
      <c r="O271" s="174" t="str">
        <f t="shared" si="24"/>
        <v/>
      </c>
      <c r="P271" s="174" t="str">
        <f t="shared" si="24"/>
        <v/>
      </c>
      <c r="Q271" s="174" t="str">
        <f t="shared" si="24"/>
        <v/>
      </c>
      <c r="R271" s="174" t="str">
        <f t="shared" si="24"/>
        <v/>
      </c>
      <c r="S271" s="174" t="str">
        <f t="shared" si="24"/>
        <v/>
      </c>
      <c r="T271" s="174" t="str">
        <f t="shared" si="24"/>
        <v/>
      </c>
      <c r="U271" s="174" t="str">
        <f t="shared" si="24"/>
        <v/>
      </c>
      <c r="V271" s="174" t="str">
        <f t="shared" si="24"/>
        <v/>
      </c>
      <c r="W271" s="174" t="str">
        <f t="shared" si="24"/>
        <v/>
      </c>
      <c r="X271" s="174" t="str">
        <f t="shared" si="24"/>
        <v/>
      </c>
      <c r="Y271" s="174" t="str">
        <f t="shared" si="24"/>
        <v/>
      </c>
      <c r="Z271" s="174" t="str">
        <f t="shared" si="24"/>
        <v/>
      </c>
      <c r="AA271" s="174" t="str">
        <f t="shared" si="24"/>
        <v/>
      </c>
      <c r="AB271" s="174" t="str">
        <f t="shared" si="24"/>
        <v/>
      </c>
      <c r="AC271" s="174" t="str">
        <f t="shared" si="24"/>
        <v/>
      </c>
      <c r="AD271" s="174" t="str">
        <f t="shared" si="24"/>
        <v/>
      </c>
      <c r="AE271" s="174" t="str">
        <f t="shared" si="24"/>
        <v/>
      </c>
      <c r="AF271" s="174" t="str">
        <f t="shared" si="24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5">IF(B239&lt;100,"",B239-620)</f>
        <v/>
      </c>
      <c r="C272" s="174" t="str">
        <f t="shared" si="25"/>
        <v/>
      </c>
      <c r="D272" s="174" t="str">
        <f t="shared" si="25"/>
        <v/>
      </c>
      <c r="E272" s="174" t="str">
        <f t="shared" si="25"/>
        <v/>
      </c>
      <c r="F272" s="174" t="str">
        <f t="shared" si="25"/>
        <v/>
      </c>
      <c r="G272" s="174" t="str">
        <f t="shared" si="25"/>
        <v/>
      </c>
      <c r="H272" s="174" t="str">
        <f t="shared" si="25"/>
        <v/>
      </c>
      <c r="I272" s="174" t="str">
        <f t="shared" si="25"/>
        <v/>
      </c>
      <c r="J272" s="174" t="str">
        <f t="shared" si="25"/>
        <v/>
      </c>
      <c r="K272" s="174" t="str">
        <f t="shared" si="25"/>
        <v/>
      </c>
      <c r="L272" s="174" t="str">
        <f t="shared" si="25"/>
        <v/>
      </c>
      <c r="M272" s="174" t="str">
        <f t="shared" si="25"/>
        <v/>
      </c>
      <c r="N272" s="174" t="str">
        <f t="shared" si="25"/>
        <v/>
      </c>
      <c r="O272" s="174" t="str">
        <f t="shared" si="25"/>
        <v/>
      </c>
      <c r="P272" s="174" t="str">
        <f t="shared" si="25"/>
        <v/>
      </c>
      <c r="Q272" s="174" t="str">
        <f t="shared" si="25"/>
        <v/>
      </c>
      <c r="R272" s="174" t="str">
        <f t="shared" si="25"/>
        <v/>
      </c>
      <c r="S272" s="174" t="str">
        <f t="shared" si="25"/>
        <v/>
      </c>
      <c r="T272" s="174" t="str">
        <f t="shared" si="25"/>
        <v/>
      </c>
      <c r="U272" s="174" t="str">
        <f t="shared" si="25"/>
        <v/>
      </c>
      <c r="V272" s="174" t="str">
        <f t="shared" si="25"/>
        <v/>
      </c>
      <c r="W272" s="174" t="str">
        <f t="shared" si="25"/>
        <v/>
      </c>
      <c r="X272" s="174" t="str">
        <f t="shared" si="25"/>
        <v/>
      </c>
      <c r="Y272" s="174" t="str">
        <f t="shared" si="25"/>
        <v/>
      </c>
      <c r="Z272" s="174" t="str">
        <f t="shared" si="25"/>
        <v/>
      </c>
      <c r="AA272" s="174" t="str">
        <f t="shared" si="25"/>
        <v/>
      </c>
      <c r="AB272" s="174" t="str">
        <f t="shared" si="25"/>
        <v/>
      </c>
      <c r="AC272" s="174" t="str">
        <f t="shared" si="25"/>
        <v/>
      </c>
      <c r="AD272" s="174" t="str">
        <f t="shared" si="25"/>
        <v/>
      </c>
      <c r="AE272" s="174" t="str">
        <f t="shared" si="25"/>
        <v/>
      </c>
      <c r="AF272" s="174" t="str">
        <f t="shared" si="25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6">IF(B240&lt;100,"",B240-330)</f>
        <v/>
      </c>
      <c r="C273" s="174" t="str">
        <f t="shared" si="26"/>
        <v/>
      </c>
      <c r="D273" s="174" t="str">
        <f t="shared" si="26"/>
        <v/>
      </c>
      <c r="E273" s="174" t="str">
        <f t="shared" si="26"/>
        <v/>
      </c>
      <c r="F273" s="174" t="str">
        <f t="shared" si="26"/>
        <v/>
      </c>
      <c r="G273" s="174" t="str">
        <f t="shared" si="26"/>
        <v/>
      </c>
      <c r="H273" s="174" t="str">
        <f t="shared" si="26"/>
        <v/>
      </c>
      <c r="I273" s="174" t="str">
        <f t="shared" si="26"/>
        <v/>
      </c>
      <c r="J273" s="174" t="str">
        <f t="shared" si="26"/>
        <v/>
      </c>
      <c r="K273" s="174" t="str">
        <f t="shared" si="26"/>
        <v/>
      </c>
      <c r="L273" s="174" t="str">
        <f t="shared" si="26"/>
        <v/>
      </c>
      <c r="M273" s="174" t="str">
        <f t="shared" si="26"/>
        <v/>
      </c>
      <c r="N273" s="174" t="str">
        <f t="shared" si="26"/>
        <v/>
      </c>
      <c r="O273" s="174" t="str">
        <f t="shared" si="26"/>
        <v/>
      </c>
      <c r="P273" s="174" t="str">
        <f t="shared" si="26"/>
        <v/>
      </c>
      <c r="Q273" s="174" t="str">
        <f t="shared" si="26"/>
        <v/>
      </c>
      <c r="R273" s="174" t="str">
        <f t="shared" si="26"/>
        <v/>
      </c>
      <c r="S273" s="174" t="str">
        <f t="shared" si="26"/>
        <v/>
      </c>
      <c r="T273" s="174" t="str">
        <f t="shared" si="26"/>
        <v/>
      </c>
      <c r="U273" s="174" t="str">
        <f t="shared" si="26"/>
        <v/>
      </c>
      <c r="V273" s="174" t="str">
        <f t="shared" si="26"/>
        <v/>
      </c>
      <c r="W273" s="174" t="str">
        <f t="shared" si="26"/>
        <v/>
      </c>
      <c r="X273" s="174" t="str">
        <f t="shared" si="26"/>
        <v/>
      </c>
      <c r="Y273" s="174" t="str">
        <f t="shared" si="26"/>
        <v/>
      </c>
      <c r="Z273" s="174" t="str">
        <f t="shared" si="26"/>
        <v/>
      </c>
      <c r="AA273" s="174" t="str">
        <f t="shared" si="26"/>
        <v/>
      </c>
      <c r="AB273" s="174" t="str">
        <f t="shared" si="26"/>
        <v/>
      </c>
      <c r="AC273" s="174" t="str">
        <f t="shared" si="26"/>
        <v/>
      </c>
      <c r="AD273" s="174" t="str">
        <f t="shared" si="26"/>
        <v/>
      </c>
      <c r="AE273" s="174" t="str">
        <f t="shared" si="26"/>
        <v/>
      </c>
      <c r="AF273" s="174" t="str">
        <f t="shared" si="26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7">IF(B241&lt;100,"",B241-1500)</f>
        <v/>
      </c>
      <c r="C274" s="174" t="str">
        <f t="shared" si="27"/>
        <v/>
      </c>
      <c r="D274" s="174" t="str">
        <f t="shared" si="27"/>
        <v/>
      </c>
      <c r="E274" s="174" t="str">
        <f t="shared" si="27"/>
        <v/>
      </c>
      <c r="F274" s="174" t="str">
        <f t="shared" si="27"/>
        <v/>
      </c>
      <c r="G274" s="174" t="str">
        <f t="shared" si="27"/>
        <v/>
      </c>
      <c r="H274" s="174" t="str">
        <f t="shared" si="27"/>
        <v/>
      </c>
      <c r="I274" s="174" t="str">
        <f t="shared" si="27"/>
        <v/>
      </c>
      <c r="J274" s="174" t="str">
        <f t="shared" si="27"/>
        <v/>
      </c>
      <c r="K274" s="174" t="str">
        <f t="shared" si="27"/>
        <v/>
      </c>
      <c r="L274" s="174" t="str">
        <f t="shared" si="27"/>
        <v/>
      </c>
      <c r="M274" s="174" t="str">
        <f t="shared" si="27"/>
        <v/>
      </c>
      <c r="N274" s="174" t="str">
        <f t="shared" si="27"/>
        <v/>
      </c>
      <c r="O274" s="174" t="str">
        <f t="shared" si="27"/>
        <v/>
      </c>
      <c r="P274" s="174" t="str">
        <f t="shared" si="27"/>
        <v/>
      </c>
      <c r="Q274" s="174" t="str">
        <f t="shared" si="27"/>
        <v/>
      </c>
      <c r="R274" s="174" t="str">
        <f t="shared" si="27"/>
        <v/>
      </c>
      <c r="S274" s="174" t="str">
        <f t="shared" si="27"/>
        <v/>
      </c>
      <c r="T274" s="174" t="str">
        <f t="shared" si="27"/>
        <v/>
      </c>
      <c r="U274" s="174" t="str">
        <f t="shared" si="27"/>
        <v/>
      </c>
      <c r="V274" s="174" t="str">
        <f t="shared" si="27"/>
        <v/>
      </c>
      <c r="W274" s="174" t="str">
        <f t="shared" si="27"/>
        <v/>
      </c>
      <c r="X274" s="174" t="str">
        <f t="shared" si="27"/>
        <v/>
      </c>
      <c r="Y274" s="174" t="str">
        <f t="shared" si="27"/>
        <v/>
      </c>
      <c r="Z274" s="174" t="str">
        <f t="shared" si="27"/>
        <v/>
      </c>
      <c r="AA274" s="174" t="str">
        <f t="shared" si="27"/>
        <v/>
      </c>
      <c r="AB274" s="174" t="str">
        <f t="shared" si="27"/>
        <v/>
      </c>
      <c r="AC274" s="174" t="str">
        <f t="shared" si="27"/>
        <v/>
      </c>
      <c r="AD274" s="174" t="str">
        <f t="shared" si="27"/>
        <v/>
      </c>
      <c r="AE274" s="174" t="str">
        <f t="shared" si="27"/>
        <v/>
      </c>
      <c r="AF274" s="174" t="str">
        <f t="shared" si="2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2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S113:AF119 D111:AF111 D113:R113 E114:R119 M76:T78 B12:AF12 B14:AF17">
    <cfRule type="expression" dxfId="2940" priority="420">
      <formula>B$9&gt;=20/24</formula>
    </cfRule>
    <cfRule type="expression" dxfId="2939" priority="421">
      <formula>AND(B$9&gt;=14/24,B$9&lt;20/24)</formula>
    </cfRule>
    <cfRule type="expression" dxfId="2938" priority="422">
      <formula>AND(B$9&gt;=8/24,B$9&lt;14/24)</formula>
    </cfRule>
    <cfRule type="expression" dxfId="2937" priority="423">
      <formula>B$9&lt;8/24</formula>
    </cfRule>
  </conditionalFormatting>
  <conditionalFormatting sqref="AL4:AL6">
    <cfRule type="iconSet" priority="419">
      <iconSet iconSet="3TrafficLights2" reverse="1">
        <cfvo type="percent" val="0"/>
        <cfvo type="num" val="1"/>
        <cfvo type="num" val="1"/>
      </iconSet>
    </cfRule>
  </conditionalFormatting>
  <conditionalFormatting sqref="AG67 B12:AF12 B14:AF17">
    <cfRule type="expression" dxfId="2936" priority="418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2935" priority="417">
      <formula>$AH12=0</formula>
    </cfRule>
  </conditionalFormatting>
  <conditionalFormatting sqref="A116">
    <cfRule type="expression" dxfId="2934" priority="416">
      <formula>$AH116=0</formula>
    </cfRule>
  </conditionalFormatting>
  <conditionalFormatting sqref="AL44">
    <cfRule type="iconSet" priority="415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2933" priority="414">
      <formula>$AH47=0</formula>
    </cfRule>
  </conditionalFormatting>
  <conditionalFormatting sqref="A100">
    <cfRule type="expression" dxfId="2932" priority="413">
      <formula>$AH100=0</formula>
    </cfRule>
  </conditionalFormatting>
  <conditionalFormatting sqref="A20">
    <cfRule type="expression" dxfId="2931" priority="412">
      <formula>$AH20=0</formula>
    </cfRule>
  </conditionalFormatting>
  <conditionalFormatting sqref="A199:A204">
    <cfRule type="expression" dxfId="2930" priority="411">
      <formula>$AH199=0</formula>
    </cfRule>
  </conditionalFormatting>
  <conditionalFormatting sqref="A193:A198">
    <cfRule type="expression" dxfId="2929" priority="410">
      <formula>$AH193=0</formula>
    </cfRule>
  </conditionalFormatting>
  <conditionalFormatting sqref="A60">
    <cfRule type="expression" dxfId="2928" priority="409">
      <formula>$AH60=0</formula>
    </cfRule>
  </conditionalFormatting>
  <conditionalFormatting sqref="A96">
    <cfRule type="expression" dxfId="2927" priority="408">
      <formula>$AH96=0</formula>
    </cfRule>
  </conditionalFormatting>
  <conditionalFormatting sqref="AD101:AF101 E101:Y101">
    <cfRule type="expression" dxfId="2926" priority="404">
      <formula>E$9&gt;=20/24</formula>
    </cfRule>
    <cfRule type="expression" dxfId="2925" priority="405">
      <formula>AND(E$9&gt;=14/24,E$9&lt;20/24)</formula>
    </cfRule>
    <cfRule type="expression" dxfId="2924" priority="406">
      <formula>AND(E$9&gt;=8/24,E$9&lt;14/24)</formula>
    </cfRule>
    <cfRule type="expression" dxfId="2923" priority="407">
      <formula>E$9&lt;8/24</formula>
    </cfRule>
  </conditionalFormatting>
  <conditionalFormatting sqref="AL45">
    <cfRule type="iconSet" priority="40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922" priority="426">
      <formula>C$9&gt;=20/24</formula>
    </cfRule>
    <cfRule type="expression" dxfId="2921" priority="427">
      <formula>AND(C$9&gt;=14/24,C$9&lt;20/24)</formula>
    </cfRule>
    <cfRule type="expression" dxfId="2920" priority="428">
      <formula>AND(C$9&gt;=8/24,C$9&lt;14/24)</formula>
    </cfRule>
    <cfRule type="expression" dxfId="2919" priority="429">
      <formula>C$9&lt;8/24</formula>
    </cfRule>
  </conditionalFormatting>
  <conditionalFormatting sqref="A236">
    <cfRule type="expression" dxfId="2918" priority="430">
      <formula>$AH236=0</formula>
    </cfRule>
  </conditionalFormatting>
  <conditionalFormatting sqref="AG248">
    <cfRule type="expression" dxfId="2917" priority="431">
      <formula>B$9&gt;=20/24</formula>
    </cfRule>
    <cfRule type="expression" dxfId="2916" priority="432">
      <formula>AND(B$9&gt;=14/24,B$9&lt;20/24)</formula>
    </cfRule>
    <cfRule type="expression" dxfId="2915" priority="433">
      <formula>AND(B$9&gt;=8/24,B$9&lt;14/24)</formula>
    </cfRule>
    <cfRule type="expression" dxfId="2914" priority="434">
      <formula>B$9&lt;8/24</formula>
    </cfRule>
  </conditionalFormatting>
  <conditionalFormatting sqref="S8">
    <cfRule type="expression" dxfId="2913" priority="399">
      <formula>U$9&gt;=20/24</formula>
    </cfRule>
    <cfRule type="expression" dxfId="2912" priority="400">
      <formula>AND(U$9&gt;=14/24,U$9&lt;20/24)</formula>
    </cfRule>
    <cfRule type="expression" dxfId="2911" priority="401">
      <formula>AND(U$9&gt;=8/24,U$9&lt;14/24)</formula>
    </cfRule>
    <cfRule type="expression" dxfId="2910" priority="402">
      <formula>U$9&lt;8/24</formula>
    </cfRule>
  </conditionalFormatting>
  <conditionalFormatting sqref="AB8">
    <cfRule type="expression" dxfId="2909" priority="395">
      <formula>AD$9&gt;=20/24</formula>
    </cfRule>
    <cfRule type="expression" dxfId="2908" priority="396">
      <formula>AND(AD$9&gt;=14/24,AD$9&lt;20/24)</formula>
    </cfRule>
    <cfRule type="expression" dxfId="2907" priority="397">
      <formula>AND(AD$9&gt;=8/24,AD$9&lt;14/24)</formula>
    </cfRule>
    <cfRule type="expression" dxfId="2906" priority="398">
      <formula>AD$9&lt;8/24</formula>
    </cfRule>
  </conditionalFormatting>
  <conditionalFormatting sqref="AH248:AX248">
    <cfRule type="expression" dxfId="2905" priority="435">
      <formula>AG$9&gt;=20/24</formula>
    </cfRule>
    <cfRule type="expression" dxfId="2904" priority="436">
      <formula>AND(AG$9&gt;=14/24,AG$9&lt;20/24)</formula>
    </cfRule>
    <cfRule type="expression" dxfId="2903" priority="437">
      <formula>AND(AG$9&gt;=8/24,AG$9&lt;14/24)</formula>
    </cfRule>
    <cfRule type="expression" dxfId="2902" priority="438">
      <formula>AG$9&lt;8/24</formula>
    </cfRule>
  </conditionalFormatting>
  <conditionalFormatting sqref="T248">
    <cfRule type="expression" dxfId="2901" priority="439">
      <formula>AX$9&gt;=20/24</formula>
    </cfRule>
    <cfRule type="expression" dxfId="2900" priority="440">
      <formula>AND(AX$9&gt;=14/24,AX$9&lt;20/24)</formula>
    </cfRule>
    <cfRule type="expression" dxfId="2899" priority="441">
      <formula>AND(AX$9&gt;=8/24,AX$9&lt;14/24)</formula>
    </cfRule>
    <cfRule type="expression" dxfId="2898" priority="442">
      <formula>AX$9&lt;8/24</formula>
    </cfRule>
  </conditionalFormatting>
  <conditionalFormatting sqref="A117:A119">
    <cfRule type="expression" dxfId="2897" priority="394">
      <formula>$AH117=0</formula>
    </cfRule>
  </conditionalFormatting>
  <conditionalFormatting sqref="AF73 O56:Q57 Q58:Q59 R56:T59 E73:AD73">
    <cfRule type="expression" dxfId="2896" priority="390">
      <formula>E$9&gt;=20/24</formula>
    </cfRule>
    <cfRule type="expression" dxfId="2895" priority="391">
      <formula>AND(E$9&gt;=14/24,E$9&lt;20/24)</formula>
    </cfRule>
    <cfRule type="expression" dxfId="2894" priority="392">
      <formula>AND(E$9&gt;=8/24,E$9&lt;14/24)</formula>
    </cfRule>
    <cfRule type="expression" dxfId="2893" priority="393">
      <formula>E$9&lt;8/24</formula>
    </cfRule>
  </conditionalFormatting>
  <conditionalFormatting sqref="O55:R55">
    <cfRule type="expression" dxfId="2892" priority="386">
      <formula>O$9&gt;=20/24</formula>
    </cfRule>
    <cfRule type="expression" dxfId="2891" priority="387">
      <formula>AND(O$9&gt;=14/24,O$9&lt;20/24)</formula>
    </cfRule>
    <cfRule type="expression" dxfId="2890" priority="388">
      <formula>AND(O$9&gt;=8/24,O$9&lt;14/24)</formula>
    </cfRule>
    <cfRule type="expression" dxfId="2889" priority="389">
      <formula>O$9&lt;8/24</formula>
    </cfRule>
  </conditionalFormatting>
  <conditionalFormatting sqref="O55:Q57 Q58:Q59 R55:R59 S56:T59">
    <cfRule type="expression" dxfId="2888" priority="385">
      <formula>O55&gt;$AG55</formula>
    </cfRule>
  </conditionalFormatting>
  <conditionalFormatting sqref="D88:AF88 X98:AF98 AF75 M102:Y108 AA49:AF49 E74:AD75 AA69:AF71">
    <cfRule type="expression" dxfId="2887" priority="381">
      <formula>D$9&gt;=20/24</formula>
    </cfRule>
    <cfRule type="expression" dxfId="2886" priority="382">
      <formula>AND(D$9&gt;=14/24,D$9&lt;20/24)</formula>
    </cfRule>
    <cfRule type="expression" dxfId="2885" priority="383">
      <formula>AND(D$9&gt;=8/24,D$9&lt;14/24)</formula>
    </cfRule>
    <cfRule type="expression" dxfId="2884" priority="384">
      <formula>D$9&lt;8/24</formula>
    </cfRule>
  </conditionalFormatting>
  <conditionalFormatting sqref="AA49:AF49 AA69:AF71">
    <cfRule type="expression" dxfId="2883" priority="380">
      <formula>AA49&gt;$AG49</formula>
    </cfRule>
  </conditionalFormatting>
  <conditionalFormatting sqref="S55:T55 U55:AF59">
    <cfRule type="expression" dxfId="2882" priority="376">
      <formula>S$9&gt;=20/24</formula>
    </cfRule>
    <cfRule type="expression" dxfId="2881" priority="377">
      <formula>AND(S$9&gt;=14/24,S$9&lt;20/24)</formula>
    </cfRule>
    <cfRule type="expression" dxfId="2880" priority="378">
      <formula>AND(S$9&gt;=8/24,S$9&lt;14/24)</formula>
    </cfRule>
    <cfRule type="expression" dxfId="2879" priority="379">
      <formula>S$9&lt;8/24</formula>
    </cfRule>
  </conditionalFormatting>
  <conditionalFormatting sqref="S55:T55 U55:AF59">
    <cfRule type="expression" dxfId="2878" priority="375">
      <formula>S55&gt;$AG55</formula>
    </cfRule>
  </conditionalFormatting>
  <conditionalFormatting sqref="C99:AF99 E90:AF90">
    <cfRule type="expression" dxfId="2877" priority="371">
      <formula>C$9&gt;=20/24</formula>
    </cfRule>
    <cfRule type="expression" dxfId="2876" priority="372">
      <formula>AND(C$9&gt;=14/24,C$9&lt;20/24)</formula>
    </cfRule>
    <cfRule type="expression" dxfId="2875" priority="373">
      <formula>AND(C$9&gt;=8/24,C$9&lt;14/24)</formula>
    </cfRule>
    <cfRule type="expression" dxfId="2874" priority="374">
      <formula>C$9&lt;8/24</formula>
    </cfRule>
  </conditionalFormatting>
  <conditionalFormatting sqref="U49:Z49">
    <cfRule type="expression" dxfId="2873" priority="367">
      <formula>U$9&gt;=20/24</formula>
    </cfRule>
    <cfRule type="expression" dxfId="2872" priority="368">
      <formula>AND(U$9&gt;=14/24,U$9&lt;20/24)</formula>
    </cfRule>
    <cfRule type="expression" dxfId="2871" priority="369">
      <formula>AND(U$9&gt;=8/24,U$9&lt;14/24)</formula>
    </cfRule>
    <cfRule type="expression" dxfId="2870" priority="370">
      <formula>U$9&lt;8/24</formula>
    </cfRule>
  </conditionalFormatting>
  <conditionalFormatting sqref="U49:Z49">
    <cfRule type="expression" dxfId="2869" priority="366">
      <formula>U49&gt;$AG49</formula>
    </cfRule>
  </conditionalFormatting>
  <conditionalFormatting sqref="E56:N57">
    <cfRule type="expression" dxfId="2868" priority="362">
      <formula>E$9&gt;=20/24</formula>
    </cfRule>
    <cfRule type="expression" dxfId="2867" priority="363">
      <formula>AND(E$9&gt;=14/24,E$9&lt;20/24)</formula>
    </cfRule>
    <cfRule type="expression" dxfId="2866" priority="364">
      <formula>AND(E$9&gt;=8/24,E$9&lt;14/24)</formula>
    </cfRule>
    <cfRule type="expression" dxfId="2865" priority="365">
      <formula>E$9&lt;8/24</formula>
    </cfRule>
  </conditionalFormatting>
  <conditionalFormatting sqref="E55:N55">
    <cfRule type="expression" dxfId="2864" priority="358">
      <formula>E$9&gt;=20/24</formula>
    </cfRule>
    <cfRule type="expression" dxfId="2863" priority="359">
      <formula>AND(E$9&gt;=14/24,E$9&lt;20/24)</formula>
    </cfRule>
    <cfRule type="expression" dxfId="2862" priority="360">
      <formula>AND(E$9&gt;=8/24,E$9&lt;14/24)</formula>
    </cfRule>
    <cfRule type="expression" dxfId="2861" priority="361">
      <formula>E$9&lt;8/24</formula>
    </cfRule>
  </conditionalFormatting>
  <conditionalFormatting sqref="E55:N57">
    <cfRule type="expression" dxfId="2860" priority="357">
      <formula>E55&gt;$AG55</formula>
    </cfRule>
  </conditionalFormatting>
  <conditionalFormatting sqref="AG72 AG89 E102:L108">
    <cfRule type="expression" dxfId="2859" priority="353">
      <formula>E$9&gt;=20/24</formula>
    </cfRule>
    <cfRule type="expression" dxfId="2858" priority="354">
      <formula>AND(E$9&gt;=14/24,E$9&lt;20/24)</formula>
    </cfRule>
    <cfRule type="expression" dxfId="2857" priority="355">
      <formula>AND(E$9&gt;=8/24,E$9&lt;14/24)</formula>
    </cfRule>
    <cfRule type="expression" dxfId="2856" priority="356">
      <formula>E$9&lt;8/24</formula>
    </cfRule>
  </conditionalFormatting>
  <conditionalFormatting sqref="AG50 AG68 AG72">
    <cfRule type="expression" dxfId="2855" priority="352">
      <formula>AG50&gt;$AG50</formula>
    </cfRule>
  </conditionalFormatting>
  <conditionalFormatting sqref="A45">
    <cfRule type="expression" dxfId="2854" priority="346">
      <formula>$AH45=0</formula>
    </cfRule>
  </conditionalFormatting>
  <conditionalFormatting sqref="X93:AF97">
    <cfRule type="expression" dxfId="2853" priority="342">
      <formula>X$9&gt;=20/24</formula>
    </cfRule>
    <cfRule type="expression" dxfId="2852" priority="343">
      <formula>AND(X$9&gt;=14/24,X$9&lt;20/24)</formula>
    </cfRule>
    <cfRule type="expression" dxfId="2851" priority="344">
      <formula>AND(X$9&gt;=8/24,X$9&lt;14/24)</formula>
    </cfRule>
    <cfRule type="expression" dxfId="2850" priority="345">
      <formula>X$9&lt;8/24</formula>
    </cfRule>
  </conditionalFormatting>
  <conditionalFormatting sqref="AL47 AL43 AL24:AL34 AL40:AL41 AL19:AL22 AL36:AL38 AL7:AL17">
    <cfRule type="iconSet" priority="443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2849" priority="338">
      <formula>E$9&gt;=20/24</formula>
    </cfRule>
    <cfRule type="expression" dxfId="2848" priority="339">
      <formula>AND(E$9&gt;=14/24,E$9&lt;20/24)</formula>
    </cfRule>
    <cfRule type="expression" dxfId="2847" priority="340">
      <formula>AND(E$9&gt;=8/24,E$9&lt;14/24)</formula>
    </cfRule>
    <cfRule type="expression" dxfId="2846" priority="341">
      <formula>E$9&lt;8/24</formula>
    </cfRule>
  </conditionalFormatting>
  <conditionalFormatting sqref="E51:AF53">
    <cfRule type="expression" dxfId="2845" priority="337">
      <formula>E51&gt;$AG51</formula>
    </cfRule>
  </conditionalFormatting>
  <conditionalFormatting sqref="AG54">
    <cfRule type="expression" dxfId="2844" priority="333">
      <formula>AG$9&gt;=20/24</formula>
    </cfRule>
    <cfRule type="expression" dxfId="2843" priority="334">
      <formula>AND(AG$9&gt;=14/24,AG$9&lt;20/24)</formula>
    </cfRule>
    <cfRule type="expression" dxfId="2842" priority="335">
      <formula>AND(AG$9&gt;=8/24,AG$9&lt;14/24)</formula>
    </cfRule>
    <cfRule type="expression" dxfId="2841" priority="336">
      <formula>AG$9&lt;8/24</formula>
    </cfRule>
  </conditionalFormatting>
  <conditionalFormatting sqref="AG54">
    <cfRule type="expression" dxfId="2840" priority="332">
      <formula>AG54&gt;$AG54</formula>
    </cfRule>
  </conditionalFormatting>
  <conditionalFormatting sqref="C109:AF109">
    <cfRule type="expression" dxfId="2839" priority="328">
      <formula>C$9&gt;=20/24</formula>
    </cfRule>
    <cfRule type="expression" dxfId="2838" priority="329">
      <formula>AND(C$9&gt;=14/24,C$9&lt;20/24)</formula>
    </cfRule>
    <cfRule type="expression" dxfId="2837" priority="330">
      <formula>AND(C$9&gt;=8/24,C$9&lt;14/24)</formula>
    </cfRule>
    <cfRule type="expression" dxfId="2836" priority="331">
      <formula>C$9&lt;8/24</formula>
    </cfRule>
  </conditionalFormatting>
  <conditionalFormatting sqref="AL42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2835" priority="326">
      <formula>$AH42=0</formula>
    </cfRule>
  </conditionalFormatting>
  <conditionalFormatting sqref="A92">
    <cfRule type="expression" dxfId="2834" priority="324">
      <formula>$AH92=0</formula>
    </cfRule>
  </conditionalFormatting>
  <conditionalFormatting sqref="A89">
    <cfRule type="expression" dxfId="2833" priority="325">
      <formula>$AH89=0</formula>
    </cfRule>
  </conditionalFormatting>
  <conditionalFormatting sqref="D112:AF112">
    <cfRule type="expression" dxfId="2832" priority="320">
      <formula>D$9&gt;=20/24</formula>
    </cfRule>
    <cfRule type="expression" dxfId="2831" priority="321">
      <formula>AND(D$9&gt;=14/24,D$9&lt;20/24)</formula>
    </cfRule>
    <cfRule type="expression" dxfId="2830" priority="322">
      <formula>AND(D$9&gt;=8/24,D$9&lt;14/24)</formula>
    </cfRule>
    <cfRule type="expression" dxfId="2829" priority="323">
      <formula>D$9&lt;8/24</formula>
    </cfRule>
  </conditionalFormatting>
  <conditionalFormatting sqref="A112">
    <cfRule type="expression" dxfId="2828" priority="319">
      <formula>$AH112=0</formula>
    </cfRule>
  </conditionalFormatting>
  <conditionalFormatting sqref="A23">
    <cfRule type="expression" dxfId="2827" priority="317">
      <formula>$AH23=0</formula>
    </cfRule>
  </conditionalFormatting>
  <conditionalFormatting sqref="AL23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2826" priority="315">
      <formula>$AH39=0</formula>
    </cfRule>
  </conditionalFormatting>
  <conditionalFormatting sqref="AL39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2825" priority="311">
      <formula>Z$9&gt;=20/24</formula>
    </cfRule>
    <cfRule type="expression" dxfId="2824" priority="312">
      <formula>AND(Z$9&gt;=14/24,Z$9&lt;20/24)</formula>
    </cfRule>
    <cfRule type="expression" dxfId="2823" priority="313">
      <formula>AND(Z$9&gt;=8/24,Z$9&lt;14/24)</formula>
    </cfRule>
    <cfRule type="expression" dxfId="2822" priority="314">
      <formula>Z$9&lt;8/24</formula>
    </cfRule>
  </conditionalFormatting>
  <conditionalFormatting sqref="Z102:AF108">
    <cfRule type="expression" dxfId="2821" priority="307">
      <formula>Z$9&gt;=20/24</formula>
    </cfRule>
    <cfRule type="expression" dxfId="2820" priority="308">
      <formula>AND(Z$9&gt;=14/24,Z$9&lt;20/24)</formula>
    </cfRule>
    <cfRule type="expression" dxfId="2819" priority="309">
      <formula>AND(Z$9&gt;=8/24,Z$9&lt;14/24)</formula>
    </cfRule>
    <cfRule type="expression" dxfId="2818" priority="310">
      <formula>Z$9&lt;8/24</formula>
    </cfRule>
  </conditionalFormatting>
  <conditionalFormatting sqref="C111 C113:C119 D114:D119 AA19:AF30 AA36:AF45 AA32:AF34">
    <cfRule type="expression" dxfId="2817" priority="303">
      <formula>C$9&gt;=20/24</formula>
    </cfRule>
    <cfRule type="expression" dxfId="2816" priority="304">
      <formula>AND(C$9&gt;=14/24,C$9&lt;20/24)</formula>
    </cfRule>
    <cfRule type="expression" dxfId="2815" priority="305">
      <formula>AND(C$9&gt;=8/24,C$9&lt;14/24)</formula>
    </cfRule>
    <cfRule type="expression" dxfId="2814" priority="306">
      <formula>C$9&lt;8/24</formula>
    </cfRule>
  </conditionalFormatting>
  <conditionalFormatting sqref="E49:T49">
    <cfRule type="expression" dxfId="2813" priority="299">
      <formula>E$9&gt;=20/24</formula>
    </cfRule>
    <cfRule type="expression" dxfId="2812" priority="300">
      <formula>AND(E$9&gt;=14/24,E$9&lt;20/24)</formula>
    </cfRule>
    <cfRule type="expression" dxfId="2811" priority="301">
      <formula>AND(E$9&gt;=8/24,E$9&lt;14/24)</formula>
    </cfRule>
    <cfRule type="expression" dxfId="2810" priority="302">
      <formula>E$9&lt;8/24</formula>
    </cfRule>
  </conditionalFormatting>
  <conditionalFormatting sqref="E49:T49 AA19:AF30 AA36:AF45 AA32:AF34">
    <cfRule type="expression" dxfId="2809" priority="298">
      <formula>E19&gt;$AG19</formula>
    </cfRule>
  </conditionalFormatting>
  <conditionalFormatting sqref="C101:D101">
    <cfRule type="expression" dxfId="2808" priority="294">
      <formula>C$9&gt;=20/24</formula>
    </cfRule>
    <cfRule type="expression" dxfId="2807" priority="295">
      <formula>AND(C$9&gt;=14/24,C$9&lt;20/24)</formula>
    </cfRule>
    <cfRule type="expression" dxfId="2806" priority="296">
      <formula>AND(C$9&gt;=8/24,C$9&lt;14/24)</formula>
    </cfRule>
    <cfRule type="expression" dxfId="2805" priority="297">
      <formula>C$9&lt;8/24</formula>
    </cfRule>
  </conditionalFormatting>
  <conditionalFormatting sqref="C88 C98:W98 C85:AF87 D102:D108 E76:L76 E77:J77 K77:L78 E69:Z71 U76:AF78">
    <cfRule type="expression" dxfId="2804" priority="290">
      <formula>C$9&gt;=20/24</formula>
    </cfRule>
    <cfRule type="expression" dxfId="2803" priority="291">
      <formula>AND(C$9&gt;=14/24,C$9&lt;20/24)</formula>
    </cfRule>
    <cfRule type="expression" dxfId="2802" priority="292">
      <formula>AND(C$9&gt;=8/24,C$9&lt;14/24)</formula>
    </cfRule>
    <cfRule type="expression" dxfId="2801" priority="293">
      <formula>C$9&lt;8/24</formula>
    </cfRule>
  </conditionalFormatting>
  <conditionalFormatting sqref="E58:P59 E69:Z71">
    <cfRule type="expression" dxfId="2800" priority="289">
      <formula>E58&gt;$AG58</formula>
    </cfRule>
  </conditionalFormatting>
  <conditionalFormatting sqref="C89:AF89 C91:AF91 C100:AF100 C72:AF72">
    <cfRule type="expression" dxfId="2799" priority="285">
      <formula>C$9&gt;=20/24</formula>
    </cfRule>
    <cfRule type="expression" dxfId="2798" priority="286">
      <formula>AND(C$9&gt;=14/24,C$9&lt;20/24)</formula>
    </cfRule>
    <cfRule type="expression" dxfId="2797" priority="287">
      <formula>AND(C$9&gt;=8/24,C$9&lt;14/24)</formula>
    </cfRule>
    <cfRule type="expression" dxfId="2796" priority="288">
      <formula>C$9&lt;8/24</formula>
    </cfRule>
  </conditionalFormatting>
  <conditionalFormatting sqref="C72:AF72 D67:AF68">
    <cfRule type="expression" dxfId="2795" priority="284">
      <formula>C67&gt;$AG67</formula>
    </cfRule>
  </conditionalFormatting>
  <conditionalFormatting sqref="C84:AF84">
    <cfRule type="expression" dxfId="2794" priority="280">
      <formula>C$9&gt;=20/24</formula>
    </cfRule>
    <cfRule type="expression" dxfId="2793" priority="281">
      <formula>AND(C$9&gt;=14/24,C$9&lt;20/24)</formula>
    </cfRule>
    <cfRule type="expression" dxfId="2792" priority="282">
      <formula>AND(C$9&gt;=8/24,C$9&lt;14/24)</formula>
    </cfRule>
    <cfRule type="expression" dxfId="2791" priority="283">
      <formula>C$9&lt;8/24</formula>
    </cfRule>
  </conditionalFormatting>
  <conditionalFormatting sqref="C93:W97">
    <cfRule type="expression" dxfId="2790" priority="276">
      <formula>C$9&gt;=20/24</formula>
    </cfRule>
    <cfRule type="expression" dxfId="2789" priority="277">
      <formula>AND(C$9&gt;=14/24,C$9&lt;20/24)</formula>
    </cfRule>
    <cfRule type="expression" dxfId="2788" priority="278">
      <formula>AND(C$9&gt;=8/24,C$9&lt;14/24)</formula>
    </cfRule>
    <cfRule type="expression" dxfId="2787" priority="279">
      <formula>C$9&lt;8/24</formula>
    </cfRule>
  </conditionalFormatting>
  <conditionalFormatting sqref="D54:AF54">
    <cfRule type="expression" dxfId="2786" priority="272">
      <formula>D$9&gt;=20/24</formula>
    </cfRule>
    <cfRule type="expression" dxfId="2785" priority="273">
      <formula>AND(D$9&gt;=14/24,D$9&lt;20/24)</formula>
    </cfRule>
    <cfRule type="expression" dxfId="2784" priority="274">
      <formula>AND(D$9&gt;=8/24,D$9&lt;14/24)</formula>
    </cfRule>
    <cfRule type="expression" dxfId="2783" priority="275">
      <formula>D$9&lt;8/24</formula>
    </cfRule>
  </conditionalFormatting>
  <conditionalFormatting sqref="D54:AF54">
    <cfRule type="expression" dxfId="2782" priority="271">
      <formula>D54&gt;$AG54</formula>
    </cfRule>
  </conditionalFormatting>
  <conditionalFormatting sqref="C112">
    <cfRule type="expression" dxfId="2781" priority="263">
      <formula>C$9&gt;=20/24</formula>
    </cfRule>
    <cfRule type="expression" dxfId="2780" priority="264">
      <formula>AND(C$9&gt;=14/24,C$9&lt;20/24)</formula>
    </cfRule>
    <cfRule type="expression" dxfId="2779" priority="265">
      <formula>AND(C$9&gt;=8/24,C$9&lt;14/24)</formula>
    </cfRule>
    <cfRule type="expression" dxfId="2778" priority="266">
      <formula>C$9&lt;8/24</formula>
    </cfRule>
  </conditionalFormatting>
  <conditionalFormatting sqref="AA61:AF66">
    <cfRule type="expression" dxfId="2777" priority="259">
      <formula>AA$9&gt;=20/24</formula>
    </cfRule>
    <cfRule type="expression" dxfId="2776" priority="260">
      <formula>AND(AA$9&gt;=14/24,AA$9&lt;20/24)</formula>
    </cfRule>
    <cfRule type="expression" dxfId="2775" priority="261">
      <formula>AND(AA$9&gt;=8/24,AA$9&lt;14/24)</formula>
    </cfRule>
    <cfRule type="expression" dxfId="2774" priority="262">
      <formula>AA$9&lt;8/24</formula>
    </cfRule>
  </conditionalFormatting>
  <conditionalFormatting sqref="AA61:AF66">
    <cfRule type="expression" dxfId="2773" priority="258">
      <formula>AA61&gt;$AG61</formula>
    </cfRule>
  </conditionalFormatting>
  <conditionalFormatting sqref="AA47:AF47">
    <cfRule type="expression" dxfId="2772" priority="257">
      <formula>AA47&gt;$AG47</formula>
    </cfRule>
  </conditionalFormatting>
  <conditionalFormatting sqref="U13:AF13">
    <cfRule type="expression" dxfId="2771" priority="253">
      <formula>U$9&gt;=20/24</formula>
    </cfRule>
    <cfRule type="expression" dxfId="2770" priority="254">
      <formula>AND(U$9&gt;=14/24,U$9&lt;20/24)</formula>
    </cfRule>
    <cfRule type="expression" dxfId="2769" priority="255">
      <formula>AND(U$9&gt;=8/24,U$9&lt;14/24)</formula>
    </cfRule>
    <cfRule type="expression" dxfId="2768" priority="256">
      <formula>U$9&lt;8/24</formula>
    </cfRule>
  </conditionalFormatting>
  <conditionalFormatting sqref="U13:AF13">
    <cfRule type="expression" dxfId="2767" priority="252">
      <formula>U13&gt;$AG13</formula>
    </cfRule>
  </conditionalFormatting>
  <conditionalFormatting sqref="AA47:AF47">
    <cfRule type="expression" dxfId="2766" priority="248">
      <formula>AA$9&gt;=20/24</formula>
    </cfRule>
    <cfRule type="expression" dxfId="2765" priority="249">
      <formula>AND(AA$9&gt;=14/24,AA$9&lt;20/24)</formula>
    </cfRule>
    <cfRule type="expression" dxfId="2764" priority="250">
      <formula>AND(AA$9&gt;=8/24,AA$9&lt;14/24)</formula>
    </cfRule>
    <cfRule type="expression" dxfId="2763" priority="251">
      <formula>AA$9&lt;8/24</formula>
    </cfRule>
  </conditionalFormatting>
  <conditionalFormatting sqref="Q79:AF83">
    <cfRule type="expression" dxfId="2762" priority="244">
      <formula>Q$9&gt;=20/24</formula>
    </cfRule>
    <cfRule type="expression" dxfId="2761" priority="245">
      <formula>AND(Q$9&gt;=14/24,Q$9&lt;20/24)</formula>
    </cfRule>
    <cfRule type="expression" dxfId="2760" priority="246">
      <formula>AND(Q$9&gt;=8/24,Q$9&lt;14/24)</formula>
    </cfRule>
    <cfRule type="expression" dxfId="2759" priority="247">
      <formula>Q$9&lt;8/24</formula>
    </cfRule>
  </conditionalFormatting>
  <conditionalFormatting sqref="AL80:AN80 AL86:AN86 AN81:AN82">
    <cfRule type="expression" dxfId="2758" priority="240">
      <formula>AL$9&gt;=20/24</formula>
    </cfRule>
    <cfRule type="expression" dxfId="2757" priority="241">
      <formula>AND(AL$9&gt;=14/24,AL$9&lt;20/24)</formula>
    </cfRule>
    <cfRule type="expression" dxfId="2756" priority="242">
      <formula>AND(AL$9&gt;=8/24,AL$9&lt;14/24)</formula>
    </cfRule>
    <cfRule type="expression" dxfId="2755" priority="243">
      <formula>AL$9&lt;8/24</formula>
    </cfRule>
  </conditionalFormatting>
  <conditionalFormatting sqref="AN83:AN84">
    <cfRule type="expression" dxfId="2754" priority="236">
      <formula>AN$9&gt;=20/24</formula>
    </cfRule>
    <cfRule type="expression" dxfId="2753" priority="237">
      <formula>AND(AN$9&gt;=14/24,AN$9&lt;20/24)</formula>
    </cfRule>
    <cfRule type="expression" dxfId="2752" priority="238">
      <formula>AND(AN$9&gt;=8/24,AN$9&lt;14/24)</formula>
    </cfRule>
    <cfRule type="expression" dxfId="2751" priority="239">
      <formula>AN$9&lt;8/24</formula>
    </cfRule>
  </conditionalFormatting>
  <conditionalFormatting sqref="AL81:AM85">
    <cfRule type="expression" dxfId="2750" priority="444">
      <formula>AJ$9&gt;=20/24</formula>
    </cfRule>
    <cfRule type="expression" dxfId="2749" priority="445">
      <formula>AND(AJ$9&gt;=14/24,AJ$9&lt;20/24)</formula>
    </cfRule>
    <cfRule type="expression" dxfId="2748" priority="446">
      <formula>AND(AJ$9&gt;=8/24,AJ$9&lt;14/24)</formula>
    </cfRule>
    <cfRule type="expression" dxfId="2747" priority="447">
      <formula>AJ$9&lt;8/24</formula>
    </cfRule>
  </conditionalFormatting>
  <conditionalFormatting sqref="A120">
    <cfRule type="expression" dxfId="2746" priority="235">
      <formula>$AH120=0</formula>
    </cfRule>
  </conditionalFormatting>
  <conditionalFormatting sqref="C102:C108 D69:D71">
    <cfRule type="expression" dxfId="2745" priority="222">
      <formula>C$9&gt;=20/24</formula>
    </cfRule>
    <cfRule type="expression" dxfId="2744" priority="223">
      <formula>AND(C$9&gt;=14/24,C$9&lt;20/24)</formula>
    </cfRule>
    <cfRule type="expression" dxfId="2743" priority="224">
      <formula>AND(C$9&gt;=8/24,C$9&lt;14/24)</formula>
    </cfRule>
    <cfRule type="expression" dxfId="2742" priority="225">
      <formula>C$9&lt;8/24</formula>
    </cfRule>
  </conditionalFormatting>
  <conditionalFormatting sqref="D69:D71">
    <cfRule type="expression" dxfId="2741" priority="221">
      <formula>D69&gt;$AG69</formula>
    </cfRule>
  </conditionalFormatting>
  <conditionalFormatting sqref="F60:AF60">
    <cfRule type="expression" dxfId="2740" priority="208">
      <formula>F$9&gt;=20/24</formula>
    </cfRule>
    <cfRule type="expression" dxfId="2739" priority="209">
      <formula>AND(F$9&gt;=14/24,F$9&lt;20/24)</formula>
    </cfRule>
    <cfRule type="expression" dxfId="2738" priority="210">
      <formula>AND(F$9&gt;=8/24,F$9&lt;14/24)</formula>
    </cfRule>
    <cfRule type="expression" dxfId="2737" priority="211">
      <formula>F$9&lt;8/24</formula>
    </cfRule>
  </conditionalFormatting>
  <conditionalFormatting sqref="F60:AF60">
    <cfRule type="expression" dxfId="2736" priority="207">
      <formula>F60&gt;$AG60</formula>
    </cfRule>
  </conditionalFormatting>
  <conditionalFormatting sqref="B88 B98 B102:B108 B69:C71 B49:D49 B74:D76">
    <cfRule type="expression" dxfId="2735" priority="137">
      <formula>B$9&gt;=20/24</formula>
    </cfRule>
    <cfRule type="expression" dxfId="2734" priority="138">
      <formula>AND(B$9&gt;=14/24,B$9&lt;20/24)</formula>
    </cfRule>
    <cfRule type="expression" dxfId="2733" priority="139">
      <formula>AND(B$9&gt;=8/24,B$9&lt;14/24)</formula>
    </cfRule>
    <cfRule type="expression" dxfId="2732" priority="140">
      <formula>B$9&lt;8/24</formula>
    </cfRule>
  </conditionalFormatting>
  <conditionalFormatting sqref="E50:AF50">
    <cfRule type="expression" dxfId="2731" priority="202">
      <formula>E50&gt;$AG50</formula>
    </cfRule>
  </conditionalFormatting>
  <conditionalFormatting sqref="Q61:Z66">
    <cfRule type="expression" dxfId="2730" priority="198">
      <formula>Q$9&gt;=20/24</formula>
    </cfRule>
    <cfRule type="expression" dxfId="2729" priority="199">
      <formula>AND(Q$9&gt;=14/24,Q$9&lt;20/24)</formula>
    </cfRule>
    <cfRule type="expression" dxfId="2728" priority="200">
      <formula>AND(Q$9&gt;=8/24,Q$9&lt;14/24)</formula>
    </cfRule>
    <cfRule type="expression" dxfId="2727" priority="201">
      <formula>Q$9&lt;8/24</formula>
    </cfRule>
  </conditionalFormatting>
  <conditionalFormatting sqref="Q61:Z66">
    <cfRule type="expression" dxfId="2726" priority="197">
      <formula>Q61&gt;$AG61</formula>
    </cfRule>
  </conditionalFormatting>
  <conditionalFormatting sqref="A11">
    <cfRule type="expression" dxfId="2725" priority="192">
      <formula>$AH11=0</formula>
    </cfRule>
  </conditionalFormatting>
  <conditionalFormatting sqref="U11:AF11">
    <cfRule type="expression" dxfId="2724" priority="188">
      <formula>U$9&gt;=20/24</formula>
    </cfRule>
    <cfRule type="expression" dxfId="2723" priority="189">
      <formula>AND(U$9&gt;=14/24,U$9&lt;20/24)</formula>
    </cfRule>
    <cfRule type="expression" dxfId="2722" priority="190">
      <formula>AND(U$9&gt;=8/24,U$9&lt;14/24)</formula>
    </cfRule>
    <cfRule type="expression" dxfId="2721" priority="191">
      <formula>U$9&lt;8/24</formula>
    </cfRule>
  </conditionalFormatting>
  <conditionalFormatting sqref="U11:AF11">
    <cfRule type="expression" dxfId="2720" priority="187">
      <formula>U11&gt;$AG11</formula>
    </cfRule>
  </conditionalFormatting>
  <conditionalFormatting sqref="A18">
    <cfRule type="expression" dxfId="2719" priority="185">
      <formula>$AH18=0</formula>
    </cfRule>
  </conditionalFormatting>
  <conditionalFormatting sqref="AL18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2718" priority="181">
      <formula>AA$9&gt;=20/24</formula>
    </cfRule>
    <cfRule type="expression" dxfId="2717" priority="182">
      <formula>AND(AA$9&gt;=14/24,AA$9&lt;20/24)</formula>
    </cfRule>
    <cfRule type="expression" dxfId="2716" priority="183">
      <formula>AND(AA$9&gt;=8/24,AA$9&lt;14/24)</formula>
    </cfRule>
    <cfRule type="expression" dxfId="2715" priority="184">
      <formula>AA$9&lt;8/24</formula>
    </cfRule>
  </conditionalFormatting>
  <conditionalFormatting sqref="AA18:AF18">
    <cfRule type="expression" dxfId="2714" priority="180">
      <formula>AA18&gt;$AG18</formula>
    </cfRule>
  </conditionalFormatting>
  <conditionalFormatting sqref="A35">
    <cfRule type="expression" dxfId="2713" priority="178">
      <formula>$AH35=0</formula>
    </cfRule>
  </conditionalFormatting>
  <conditionalFormatting sqref="AL35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2712" priority="174">
      <formula>AA$9&gt;=20/24</formula>
    </cfRule>
    <cfRule type="expression" dxfId="2711" priority="175">
      <formula>AND(AA$9&gt;=14/24,AA$9&lt;20/24)</formula>
    </cfRule>
    <cfRule type="expression" dxfId="2710" priority="176">
      <formula>AND(AA$9&gt;=8/24,AA$9&lt;14/24)</formula>
    </cfRule>
    <cfRule type="expression" dxfId="2709" priority="177">
      <formula>AA$9&lt;8/24</formula>
    </cfRule>
  </conditionalFormatting>
  <conditionalFormatting sqref="AA35:AF35">
    <cfRule type="expression" dxfId="2708" priority="173">
      <formula>AA35&gt;$AG35</formula>
    </cfRule>
  </conditionalFormatting>
  <conditionalFormatting sqref="A46">
    <cfRule type="expression" dxfId="2707" priority="171">
      <formula>$AH46=0</formula>
    </cfRule>
  </conditionalFormatting>
  <conditionalFormatting sqref="AL46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2706" priority="170">
      <formula>AA46&gt;$AG46</formula>
    </cfRule>
  </conditionalFormatting>
  <conditionalFormatting sqref="AA46:AF46">
    <cfRule type="expression" dxfId="2705" priority="166">
      <formula>AA$9&gt;=20/24</formula>
    </cfRule>
    <cfRule type="expression" dxfId="2704" priority="167">
      <formula>AND(AA$9&gt;=14/24,AA$9&lt;20/24)</formula>
    </cfRule>
    <cfRule type="expression" dxfId="2703" priority="168">
      <formula>AND(AA$9&gt;=8/24,AA$9&lt;14/24)</formula>
    </cfRule>
    <cfRule type="expression" dxfId="2702" priority="169">
      <formula>AA$9&lt;8/24</formula>
    </cfRule>
  </conditionalFormatting>
  <conditionalFormatting sqref="B120">
    <cfRule type="expression" dxfId="2701" priority="38">
      <formula>B$9&gt;=20/24</formula>
    </cfRule>
    <cfRule type="expression" dxfId="2700" priority="39">
      <formula>AND(B$9&gt;=14/24,B$9&lt;20/24)</formula>
    </cfRule>
    <cfRule type="expression" dxfId="2699" priority="40">
      <formula>AND(B$9&gt;=8/24,B$9&lt;14/24)</formula>
    </cfRule>
    <cfRule type="expression" dxfId="2698" priority="41">
      <formula>B$9&lt;8/24</formula>
    </cfRule>
  </conditionalFormatting>
  <conditionalFormatting sqref="E120:AF120">
    <cfRule type="expression" dxfId="2697" priority="162">
      <formula>E$9&gt;=20/24</formula>
    </cfRule>
    <cfRule type="expression" dxfId="2696" priority="163">
      <formula>AND(E$9&gt;=14/24,E$9&lt;20/24)</formula>
    </cfRule>
    <cfRule type="expression" dxfId="2695" priority="164">
      <formula>AND(E$9&gt;=8/24,E$9&lt;14/24)</formula>
    </cfRule>
    <cfRule type="expression" dxfId="2694" priority="165">
      <formula>E$9&lt;8/24</formula>
    </cfRule>
  </conditionalFormatting>
  <conditionalFormatting sqref="C120:D120">
    <cfRule type="expression" dxfId="2693" priority="158">
      <formula>C$9&gt;=20/24</formula>
    </cfRule>
    <cfRule type="expression" dxfId="2692" priority="159">
      <formula>AND(C$9&gt;=14/24,C$9&lt;20/24)</formula>
    </cfRule>
    <cfRule type="expression" dxfId="2691" priority="160">
      <formula>AND(C$9&gt;=8/24,C$9&lt;14/24)</formula>
    </cfRule>
    <cfRule type="expression" dxfId="2690" priority="161">
      <formula>C$9&lt;8/24</formula>
    </cfRule>
  </conditionalFormatting>
  <conditionalFormatting sqref="B111 B113:B119">
    <cfRule type="expression" dxfId="2689" priority="154">
      <formula>B$9&gt;=20/24</formula>
    </cfRule>
    <cfRule type="expression" dxfId="2688" priority="155">
      <formula>AND(B$9&gt;=14/24,B$9&lt;20/24)</formula>
    </cfRule>
    <cfRule type="expression" dxfId="2687" priority="156">
      <formula>AND(B$9&gt;=8/24,B$9&lt;14/24)</formula>
    </cfRule>
    <cfRule type="expression" dxfId="2686" priority="157">
      <formula>B$9&lt;8/24</formula>
    </cfRule>
  </conditionalFormatting>
  <conditionalFormatting sqref="B101">
    <cfRule type="expression" dxfId="2685" priority="150">
      <formula>B$9&gt;=20/24</formula>
    </cfRule>
    <cfRule type="expression" dxfId="2684" priority="151">
      <formula>AND(B$9&gt;=14/24,B$9&lt;20/24)</formula>
    </cfRule>
    <cfRule type="expression" dxfId="2683" priority="152">
      <formula>AND(B$9&gt;=8/24,B$9&lt;14/24)</formula>
    </cfRule>
    <cfRule type="expression" dxfId="2682" priority="153">
      <formula>B$9&lt;8/24</formula>
    </cfRule>
  </conditionalFormatting>
  <conditionalFormatting sqref="B73:D73">
    <cfRule type="expression" dxfId="2681" priority="146">
      <formula>B$9&gt;=20/24</formula>
    </cfRule>
    <cfRule type="expression" dxfId="2680" priority="147">
      <formula>AND(B$9&gt;=14/24,B$9&lt;20/24)</formula>
    </cfRule>
    <cfRule type="expression" dxfId="2679" priority="148">
      <formula>AND(B$9&gt;=8/24,B$9&lt;14/24)</formula>
    </cfRule>
    <cfRule type="expression" dxfId="2678" priority="149">
      <formula>B$9&lt;8/24</formula>
    </cfRule>
  </conditionalFormatting>
  <conditionalFormatting sqref="B69:C71 B49:D49">
    <cfRule type="expression" dxfId="2677" priority="136">
      <formula>B49&gt;$AG49</formula>
    </cfRule>
  </conditionalFormatting>
  <conditionalFormatting sqref="B99 B90:D90">
    <cfRule type="expression" dxfId="2676" priority="132">
      <formula>B$9&gt;=20/24</formula>
    </cfRule>
    <cfRule type="expression" dxfId="2675" priority="133">
      <formula>AND(B$9&gt;=14/24,B$9&lt;20/24)</formula>
    </cfRule>
    <cfRule type="expression" dxfId="2674" priority="134">
      <formula>AND(B$9&gt;=8/24,B$9&lt;14/24)</formula>
    </cfRule>
    <cfRule type="expression" dxfId="2673" priority="135">
      <formula>B$9&lt;8/24</formula>
    </cfRule>
  </conditionalFormatting>
  <conditionalFormatting sqref="B93:B97">
    <cfRule type="expression" dxfId="2672" priority="123">
      <formula>B$9&gt;=20/24</formula>
    </cfRule>
    <cfRule type="expression" dxfId="2671" priority="124">
      <formula>AND(B$9&gt;=14/24,B$9&lt;20/24)</formula>
    </cfRule>
    <cfRule type="expression" dxfId="2670" priority="125">
      <formula>AND(B$9&gt;=8/24,B$9&lt;14/24)</formula>
    </cfRule>
    <cfRule type="expression" dxfId="2669" priority="126">
      <formula>B$9&lt;8/24</formula>
    </cfRule>
  </conditionalFormatting>
  <conditionalFormatting sqref="B51:D53">
    <cfRule type="expression" dxfId="2668" priority="119">
      <formula>B$9&gt;=20/24</formula>
    </cfRule>
    <cfRule type="expression" dxfId="2667" priority="120">
      <formula>AND(B$9&gt;=14/24,B$9&lt;20/24)</formula>
    </cfRule>
    <cfRule type="expression" dxfId="2666" priority="121">
      <formula>AND(B$9&gt;=8/24,B$9&lt;14/24)</formula>
    </cfRule>
    <cfRule type="expression" dxfId="2665" priority="122">
      <formula>B$9&lt;8/24</formula>
    </cfRule>
  </conditionalFormatting>
  <conditionalFormatting sqref="B51:D53">
    <cfRule type="expression" dxfId="2664" priority="118">
      <formula>B51&gt;$AG51</formula>
    </cfRule>
  </conditionalFormatting>
  <conditionalFormatting sqref="B109">
    <cfRule type="expression" dxfId="2663" priority="114">
      <formula>B$9&gt;=20/24</formula>
    </cfRule>
    <cfRule type="expression" dxfId="2662" priority="115">
      <formula>AND(B$9&gt;=14/24,B$9&lt;20/24)</formula>
    </cfRule>
    <cfRule type="expression" dxfId="2661" priority="116">
      <formula>AND(B$9&gt;=8/24,B$9&lt;14/24)</formula>
    </cfRule>
    <cfRule type="expression" dxfId="2660" priority="117">
      <formula>B$9&lt;8/24</formula>
    </cfRule>
  </conditionalFormatting>
  <conditionalFormatting sqref="B112">
    <cfRule type="expression" dxfId="2659" priority="110">
      <formula>B$9&gt;=20/24</formula>
    </cfRule>
    <cfRule type="expression" dxfId="2658" priority="111">
      <formula>AND(B$9&gt;=14/24,B$9&lt;20/24)</formula>
    </cfRule>
    <cfRule type="expression" dxfId="2657" priority="112">
      <formula>AND(B$9&gt;=8/24,B$9&lt;14/24)</formula>
    </cfRule>
    <cfRule type="expression" dxfId="2656" priority="113">
      <formula>B$9&lt;8/24</formula>
    </cfRule>
  </conditionalFormatting>
  <conditionalFormatting sqref="B19:Z34 B36:Z45 AA31:AF31">
    <cfRule type="expression" dxfId="2655" priority="106">
      <formula>B$9&gt;=20/24</formula>
    </cfRule>
    <cfRule type="expression" dxfId="2654" priority="107">
      <formula>AND(B$9&gt;=14/24,B$9&lt;20/24)</formula>
    </cfRule>
    <cfRule type="expression" dxfId="2653" priority="108">
      <formula>AND(B$9&gt;=8/24,B$9&lt;14/24)</formula>
    </cfRule>
    <cfRule type="expression" dxfId="2652" priority="109">
      <formula>B$9&lt;8/24</formula>
    </cfRule>
  </conditionalFormatting>
  <conditionalFormatting sqref="B19:Z34 B36:Z45 AA31:AF31">
    <cfRule type="expression" dxfId="2651" priority="105">
      <formula>B19&gt;$AG19</formula>
    </cfRule>
  </conditionalFormatting>
  <conditionalFormatting sqref="B85:B87 B77:D83 E78:J83 K79:P83">
    <cfRule type="expression" dxfId="2650" priority="101">
      <formula>B$9&gt;=20/24</formula>
    </cfRule>
    <cfRule type="expression" dxfId="2649" priority="102">
      <formula>AND(B$9&gt;=14/24,B$9&lt;20/24)</formula>
    </cfRule>
    <cfRule type="expression" dxfId="2648" priority="103">
      <formula>AND(B$9&gt;=8/24,B$9&lt;14/24)</formula>
    </cfRule>
    <cfRule type="expression" dxfId="2647" priority="104">
      <formula>B$9&lt;8/24</formula>
    </cfRule>
  </conditionalFormatting>
  <conditionalFormatting sqref="B89 B91 B100 B72">
    <cfRule type="expression" dxfId="2646" priority="97">
      <formula>B$9&gt;=20/24</formula>
    </cfRule>
    <cfRule type="expression" dxfId="2645" priority="98">
      <formula>AND(B$9&gt;=14/24,B$9&lt;20/24)</formula>
    </cfRule>
    <cfRule type="expression" dxfId="2644" priority="99">
      <formula>AND(B$9&gt;=8/24,B$9&lt;14/24)</formula>
    </cfRule>
    <cfRule type="expression" dxfId="2643" priority="100">
      <formula>B$9&lt;8/24</formula>
    </cfRule>
  </conditionalFormatting>
  <conditionalFormatting sqref="B72 B68:C68 C67">
    <cfRule type="expression" dxfId="2642" priority="96">
      <formula>B67&gt;$AG67</formula>
    </cfRule>
  </conditionalFormatting>
  <conditionalFormatting sqref="B84">
    <cfRule type="expression" dxfId="2641" priority="92">
      <formula>B$9&gt;=20/24</formula>
    </cfRule>
    <cfRule type="expression" dxfId="2640" priority="93">
      <formula>AND(B$9&gt;=14/24,B$9&lt;20/24)</formula>
    </cfRule>
    <cfRule type="expression" dxfId="2639" priority="94">
      <formula>AND(B$9&gt;=8/24,B$9&lt;14/24)</formula>
    </cfRule>
    <cfRule type="expression" dxfId="2638" priority="95">
      <formula>B$9&lt;8/24</formula>
    </cfRule>
  </conditionalFormatting>
  <conditionalFormatting sqref="B54:C54">
    <cfRule type="expression" dxfId="2637" priority="88">
      <formula>B$9&gt;=20/24</formula>
    </cfRule>
    <cfRule type="expression" dxfId="2636" priority="89">
      <formula>AND(B$9&gt;=14/24,B$9&lt;20/24)</formula>
    </cfRule>
    <cfRule type="expression" dxfId="2635" priority="90">
      <formula>AND(B$9&gt;=8/24,B$9&lt;14/24)</formula>
    </cfRule>
    <cfRule type="expression" dxfId="2634" priority="91">
      <formula>B$9&lt;8/24</formula>
    </cfRule>
  </conditionalFormatting>
  <conditionalFormatting sqref="B54:C54">
    <cfRule type="expression" dxfId="2633" priority="87">
      <formula>B54&gt;$AG54</formula>
    </cfRule>
  </conditionalFormatting>
  <conditionalFormatting sqref="B47:Z47">
    <cfRule type="expression" dxfId="2632" priority="77">
      <formula>B47&gt;$AG47</formula>
    </cfRule>
  </conditionalFormatting>
  <conditionalFormatting sqref="B13:T13">
    <cfRule type="expression" dxfId="2631" priority="73">
      <formula>B$9&gt;=20/24</formula>
    </cfRule>
    <cfRule type="expression" dxfId="2630" priority="74">
      <formula>AND(B$9&gt;=14/24,B$9&lt;20/24)</formula>
    </cfRule>
    <cfRule type="expression" dxfId="2629" priority="75">
      <formula>AND(B$9&gt;=8/24,B$9&lt;14/24)</formula>
    </cfRule>
    <cfRule type="expression" dxfId="2628" priority="76">
      <formula>B$9&lt;8/24</formula>
    </cfRule>
  </conditionalFormatting>
  <conditionalFormatting sqref="B13:T13">
    <cfRule type="expression" dxfId="2627" priority="72">
      <formula>B13&gt;$AG13</formula>
    </cfRule>
  </conditionalFormatting>
  <conditionalFormatting sqref="B47:Z47">
    <cfRule type="expression" dxfId="2626" priority="68">
      <formula>B$9&gt;=20/24</formula>
    </cfRule>
    <cfRule type="expression" dxfId="2625" priority="69">
      <formula>AND(B$9&gt;=14/24,B$9&lt;20/24)</formula>
    </cfRule>
    <cfRule type="expression" dxfId="2624" priority="70">
      <formula>AND(B$9&gt;=8/24,B$9&lt;14/24)</formula>
    </cfRule>
    <cfRule type="expression" dxfId="2623" priority="71">
      <formula>B$9&lt;8/24</formula>
    </cfRule>
  </conditionalFormatting>
  <conditionalFormatting sqref="B48:AF48">
    <cfRule type="expression" dxfId="2622" priority="64">
      <formula>B$9&gt;=20/24</formula>
    </cfRule>
    <cfRule type="expression" dxfId="2621" priority="65">
      <formula>AND(B$9&gt;=14/24,B$9&lt;20/24)</formula>
    </cfRule>
    <cfRule type="expression" dxfId="2620" priority="66">
      <formula>AND(B$9&gt;=8/24,B$9&lt;14/24)</formula>
    </cfRule>
    <cfRule type="expression" dxfId="2619" priority="67">
      <formula>B$9&lt;8/24</formula>
    </cfRule>
  </conditionalFormatting>
  <conditionalFormatting sqref="B48:AF48">
    <cfRule type="expression" dxfId="2618" priority="63">
      <formula>B48&gt;$AG48</formula>
    </cfRule>
  </conditionalFormatting>
  <conditionalFormatting sqref="B50:D50">
    <cfRule type="expression" dxfId="2617" priority="62">
      <formula>B50&gt;$AG50</formula>
    </cfRule>
  </conditionalFormatting>
  <conditionalFormatting sqref="B11:T11">
    <cfRule type="expression" dxfId="2616" priority="58">
      <formula>B$9&gt;=20/24</formula>
    </cfRule>
    <cfRule type="expression" dxfId="2615" priority="59">
      <formula>AND(B$9&gt;=14/24,B$9&lt;20/24)</formula>
    </cfRule>
    <cfRule type="expression" dxfId="2614" priority="60">
      <formula>AND(B$9&gt;=8/24,B$9&lt;14/24)</formula>
    </cfRule>
    <cfRule type="expression" dxfId="2613" priority="61">
      <formula>B$9&lt;8/24</formula>
    </cfRule>
  </conditionalFormatting>
  <conditionalFormatting sqref="B11:T11">
    <cfRule type="expression" dxfId="2612" priority="57">
      <formula>B11&gt;$AG11</formula>
    </cfRule>
  </conditionalFormatting>
  <conditionalFormatting sqref="B18:Z18">
    <cfRule type="expression" dxfId="2611" priority="53">
      <formula>B$9&gt;=20/24</formula>
    </cfRule>
    <cfRule type="expression" dxfId="2610" priority="54">
      <formula>AND(B$9&gt;=14/24,B$9&lt;20/24)</formula>
    </cfRule>
    <cfRule type="expression" dxfId="2609" priority="55">
      <formula>AND(B$9&gt;=8/24,B$9&lt;14/24)</formula>
    </cfRule>
    <cfRule type="expression" dxfId="2608" priority="56">
      <formula>B$9&lt;8/24</formula>
    </cfRule>
  </conditionalFormatting>
  <conditionalFormatting sqref="B18:Z18">
    <cfRule type="expression" dxfId="2607" priority="52">
      <formula>B18&gt;$AG18</formula>
    </cfRule>
  </conditionalFormatting>
  <conditionalFormatting sqref="B35:Z35">
    <cfRule type="expression" dxfId="2606" priority="48">
      <formula>B$9&gt;=20/24</formula>
    </cfRule>
    <cfRule type="expression" dxfId="2605" priority="49">
      <formula>AND(B$9&gt;=14/24,B$9&lt;20/24)</formula>
    </cfRule>
    <cfRule type="expression" dxfId="2604" priority="50">
      <formula>AND(B$9&gt;=8/24,B$9&lt;14/24)</formula>
    </cfRule>
    <cfRule type="expression" dxfId="2603" priority="51">
      <formula>B$9&lt;8/24</formula>
    </cfRule>
  </conditionalFormatting>
  <conditionalFormatting sqref="B35:Z35">
    <cfRule type="expression" dxfId="2602" priority="47">
      <formula>B35&gt;$AG35</formula>
    </cfRule>
  </conditionalFormatting>
  <conditionalFormatting sqref="B46:Z46">
    <cfRule type="expression" dxfId="2601" priority="46">
      <formula>B46&gt;$AG46</formula>
    </cfRule>
  </conditionalFormatting>
  <conditionalFormatting sqref="B46:Z46">
    <cfRule type="expression" dxfId="2600" priority="42">
      <formula>B$9&gt;=20/24</formula>
    </cfRule>
    <cfRule type="expression" dxfId="2599" priority="43">
      <formula>AND(B$9&gt;=14/24,B$9&lt;20/24)</formula>
    </cfRule>
    <cfRule type="expression" dxfId="2598" priority="44">
      <formula>AND(B$9&gt;=8/24,B$9&lt;14/24)</formula>
    </cfRule>
    <cfRule type="expression" dxfId="2597" priority="45">
      <formula>B$9&lt;8/24</formula>
    </cfRule>
  </conditionalFormatting>
  <conditionalFormatting sqref="AE73">
    <cfRule type="expression" dxfId="2596" priority="24">
      <formula>AE$9&gt;=20/24</formula>
    </cfRule>
    <cfRule type="expression" dxfId="2595" priority="25">
      <formula>AND(AE$9&gt;=14/24,AE$9&lt;20/24)</formula>
    </cfRule>
    <cfRule type="expression" dxfId="2594" priority="26">
      <formula>AND(AE$9&gt;=8/24,AE$9&lt;14/24)</formula>
    </cfRule>
    <cfRule type="expression" dxfId="2593" priority="27">
      <formula>AE$9&lt;8/24</formula>
    </cfRule>
  </conditionalFormatting>
  <conditionalFormatting sqref="AE74:AE75 AF74">
    <cfRule type="expression" dxfId="2592" priority="20">
      <formula>AE$9&gt;=20/24</formula>
    </cfRule>
    <cfRule type="expression" dxfId="2591" priority="21">
      <formula>AND(AE$9&gt;=14/24,AE$9&lt;20/24)</formula>
    </cfRule>
    <cfRule type="expression" dxfId="2590" priority="22">
      <formula>AND(AE$9&gt;=8/24,AE$9&lt;14/24)</formula>
    </cfRule>
    <cfRule type="expression" dxfId="2589" priority="23">
      <formula>AE$9&lt;8/24</formula>
    </cfRule>
  </conditionalFormatting>
  <conditionalFormatting sqref="B55:D60 E60">
    <cfRule type="expression" dxfId="2588" priority="8">
      <formula>B$9&gt;=20/24</formula>
    </cfRule>
    <cfRule type="expression" dxfId="2587" priority="9">
      <formula>AND(B$9&gt;=14/24,B$9&lt;20/24)</formula>
    </cfRule>
    <cfRule type="expression" dxfId="2586" priority="10">
      <formula>AND(B$9&gt;=8/24,B$9&lt;14/24)</formula>
    </cfRule>
    <cfRule type="expression" dxfId="2585" priority="11">
      <formula>B$9&lt;8/24</formula>
    </cfRule>
  </conditionalFormatting>
  <conditionalFormatting sqref="B55:D60 E60">
    <cfRule type="expression" dxfId="2584" priority="7">
      <formula>B55&gt;$AG55</formula>
    </cfRule>
  </conditionalFormatting>
  <conditionalFormatting sqref="B67">
    <cfRule type="expression" dxfId="2583" priority="6">
      <formula>B67&gt;$AG67</formula>
    </cfRule>
  </conditionalFormatting>
  <conditionalFormatting sqref="B61:P66">
    <cfRule type="expression" dxfId="2582" priority="2">
      <formula>B$9&gt;=20/24</formula>
    </cfRule>
    <cfRule type="expression" dxfId="2581" priority="3">
      <formula>AND(B$9&gt;=14/24,B$9&lt;20/24)</formula>
    </cfRule>
    <cfRule type="expression" dxfId="2580" priority="4">
      <formula>AND(B$9&gt;=8/24,B$9&lt;14/24)</formula>
    </cfRule>
    <cfRule type="expression" dxfId="2579" priority="5">
      <formula>B$9&lt;8/24</formula>
    </cfRule>
  </conditionalFormatting>
  <conditionalFormatting sqref="B61:P66">
    <cfRule type="expression" dxfId="2578" priority="1">
      <formula>B61&gt;$AG61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7" id="{B1969D7D-3602-44FB-A792-333FFC9B7B4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68" id="{F30D2B25-6692-4686-81CF-19FB56CE988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69" id="{703707AE-1037-465C-937F-E5B4059967F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70" id="{EDE96680-5C59-4CB9-A3D6-7BE040EC8C0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83" id="{5EA88278-71A4-430E-ADAE-07AD7CB52B1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4" id="{A3DC4488-72FC-45F9-8A10-521A8B99BCA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5" id="{F015D7A2-BF78-4C56-900A-DB454475176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6" id="{E95AB00E-FDCA-42CB-B16D-B35F0EBB82B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77AB-78D4-4AD9-A30B-C142A4749524}">
  <sheetPr codeName="Sheet35"/>
  <dimension ref="A1:CJ281"/>
  <sheetViews>
    <sheetView zoomScale="91" zoomScaleNormal="91" workbookViewId="0">
      <pane xSplit="1" ySplit="10" topLeftCell="B110" activePane="bottomRight" state="frozen"/>
      <selection pane="topRight" activeCell="B1" sqref="B1"/>
      <selection pane="bottomLeft" activeCell="A11" sqref="A11"/>
      <selection pane="bottomRight" activeCell="AA11" sqref="AA11:AA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8" width="6.42578125" style="1" bestFit="1" customWidth="1"/>
    <col min="9" max="9" width="8.42578125" style="1" customWidth="1"/>
    <col min="10" max="10" width="8.140625" style="1" customWidth="1"/>
    <col min="11" max="11" width="9.7109375" style="1" customWidth="1"/>
    <col min="12" max="12" width="10.42578125" style="1" customWidth="1"/>
    <col min="13" max="13" width="11.140625" style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2080/02/29</v>
      </c>
      <c r="C4" s="191"/>
      <c r="D4" s="191"/>
      <c r="E4" s="192" t="str">
        <f ca="1">"2079/"&amp;"12/"&amp;INT(MID(CELL("filename",G6),FIND("]",CELL("filename",G6))+1,200))</f>
        <v>2079/12/29</v>
      </c>
      <c r="F4" s="192"/>
      <c r="G4" s="192"/>
      <c r="H4" s="192" t="str">
        <f ca="1">TEXT(E4,"dddd")</f>
        <v>Friday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66.400000000000006</v>
      </c>
      <c r="C5" s="30">
        <f t="shared" si="0"/>
        <v>62.3</v>
      </c>
      <c r="D5" s="30">
        <f t="shared" si="0"/>
        <v>58.2</v>
      </c>
      <c r="E5" s="30">
        <f t="shared" si="0"/>
        <v>43.9</v>
      </c>
      <c r="F5" s="30">
        <f t="shared" si="0"/>
        <v>33</v>
      </c>
      <c r="G5" s="30">
        <f t="shared" si="0"/>
        <v>36</v>
      </c>
      <c r="H5" s="30">
        <f t="shared" si="0"/>
        <v>29</v>
      </c>
      <c r="I5" s="30">
        <f t="shared" si="0"/>
        <v>28</v>
      </c>
      <c r="J5" s="30">
        <f t="shared" si="0"/>
        <v>28</v>
      </c>
      <c r="K5" s="30">
        <f t="shared" si="0"/>
        <v>39</v>
      </c>
      <c r="L5" s="30">
        <f t="shared" si="0"/>
        <v>39</v>
      </c>
      <c r="M5" s="30">
        <f t="shared" si="0"/>
        <v>46.6</v>
      </c>
      <c r="N5" s="30">
        <f t="shared" si="0"/>
        <v>49.2</v>
      </c>
      <c r="O5" s="30">
        <f t="shared" si="0"/>
        <v>46.5</v>
      </c>
      <c r="P5" s="30">
        <f t="shared" si="0"/>
        <v>50.8</v>
      </c>
      <c r="Q5" s="30">
        <f t="shared" si="0"/>
        <v>72.5</v>
      </c>
      <c r="R5" s="30">
        <f t="shared" si="0"/>
        <v>83.5</v>
      </c>
      <c r="S5" s="30">
        <f t="shared" si="0"/>
        <v>83.4</v>
      </c>
      <c r="T5" s="30">
        <f t="shared" si="0"/>
        <v>114.8</v>
      </c>
      <c r="U5" s="30">
        <f t="shared" si="0"/>
        <v>114.8</v>
      </c>
      <c r="V5" s="30">
        <f t="shared" si="0"/>
        <v>74</v>
      </c>
      <c r="W5" s="30">
        <f t="shared" si="0"/>
        <v>75.2</v>
      </c>
      <c r="X5" s="30">
        <f t="shared" si="0"/>
        <v>75.2</v>
      </c>
      <c r="Y5" s="30">
        <f t="shared" si="0"/>
        <v>75.2</v>
      </c>
      <c r="Z5" s="30">
        <f t="shared" si="0"/>
        <v>73.400000000000006</v>
      </c>
      <c r="AA5" s="30">
        <f t="shared" si="0"/>
        <v>69</v>
      </c>
      <c r="AB5" s="30">
        <f t="shared" si="0"/>
        <v>68.8</v>
      </c>
      <c r="AC5" s="30">
        <f t="shared" si="0"/>
        <v>68.8</v>
      </c>
      <c r="AD5" s="30">
        <f t="shared" si="0"/>
        <v>68.8</v>
      </c>
      <c r="AE5" s="30">
        <f t="shared" si="0"/>
        <v>49.5</v>
      </c>
      <c r="AF5" s="30">
        <f>B84</f>
        <v>61.9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1746MW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Load=428</v>
      </c>
      <c r="B7" s="35">
        <f t="shared" ref="B7:AF7" si="1">B91</f>
        <v>1637.19</v>
      </c>
      <c r="C7" s="35">
        <f t="shared" si="1"/>
        <v>1661.69</v>
      </c>
      <c r="D7" s="35">
        <f t="shared" si="1"/>
        <v>1674.89</v>
      </c>
      <c r="E7" s="35">
        <f t="shared" si="1"/>
        <v>1620.7900000000002</v>
      </c>
      <c r="F7" s="35">
        <f t="shared" si="1"/>
        <v>1634.39</v>
      </c>
      <c r="G7" s="35">
        <f t="shared" si="1"/>
        <v>1657.19</v>
      </c>
      <c r="H7" s="35">
        <f t="shared" si="1"/>
        <v>1680.69</v>
      </c>
      <c r="I7" s="35">
        <f t="shared" si="1"/>
        <v>1737.69</v>
      </c>
      <c r="J7" s="35">
        <f t="shared" si="1"/>
        <v>1736.69</v>
      </c>
      <c r="K7" s="35">
        <f t="shared" si="1"/>
        <v>1745.69</v>
      </c>
      <c r="L7" s="35">
        <f t="shared" si="1"/>
        <v>1685.4900000000002</v>
      </c>
      <c r="M7" s="35">
        <f t="shared" si="1"/>
        <v>427.54</v>
      </c>
      <c r="N7" s="35">
        <f>N91</f>
        <v>1519.5900000000001</v>
      </c>
      <c r="O7" s="35">
        <f t="shared" si="1"/>
        <v>1516.1900000000003</v>
      </c>
      <c r="P7" s="35">
        <f t="shared" si="1"/>
        <v>1556.6900000000003</v>
      </c>
      <c r="Q7" s="35">
        <f t="shared" si="1"/>
        <v>1673.6899999999998</v>
      </c>
      <c r="R7" s="35">
        <f t="shared" si="1"/>
        <v>1748.99</v>
      </c>
      <c r="S7" s="35">
        <f t="shared" si="1"/>
        <v>1812.99</v>
      </c>
      <c r="T7" s="35">
        <f t="shared" si="1"/>
        <v>1832.89</v>
      </c>
      <c r="U7" s="35">
        <f t="shared" si="1"/>
        <v>1771.74</v>
      </c>
      <c r="V7" s="35">
        <f t="shared" si="1"/>
        <v>1770.54</v>
      </c>
      <c r="W7" s="35">
        <f t="shared" si="1"/>
        <v>1694.54</v>
      </c>
      <c r="X7" s="35">
        <f t="shared" si="1"/>
        <v>1685.74</v>
      </c>
      <c r="Y7" s="35">
        <f t="shared" si="1"/>
        <v>1685.74</v>
      </c>
      <c r="Z7" s="35">
        <f t="shared" si="1"/>
        <v>1789.74</v>
      </c>
      <c r="AA7" s="35">
        <f t="shared" si="1"/>
        <v>1878.14</v>
      </c>
      <c r="AB7" s="35">
        <f t="shared" si="1"/>
        <v>1861.2399999999998</v>
      </c>
      <c r="AC7" s="35">
        <f t="shared" si="1"/>
        <v>1825.84</v>
      </c>
      <c r="AD7" s="35">
        <f t="shared" si="1"/>
        <v>1827.84</v>
      </c>
      <c r="AE7" s="35">
        <f t="shared" si="1"/>
        <v>1830.8400000000001</v>
      </c>
      <c r="AF7" s="35">
        <f t="shared" si="1"/>
        <v>1804.54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30.5</v>
      </c>
      <c r="C11" s="45">
        <v>30.5</v>
      </c>
      <c r="D11" s="45">
        <v>30.5</v>
      </c>
      <c r="E11" s="45">
        <v>30.5</v>
      </c>
      <c r="F11" s="45">
        <v>30.5</v>
      </c>
      <c r="G11" s="45">
        <v>30.5</v>
      </c>
      <c r="H11" s="45">
        <v>30.5</v>
      </c>
      <c r="I11" s="45">
        <v>30.5</v>
      </c>
      <c r="J11" s="45">
        <v>30.5</v>
      </c>
      <c r="K11" s="45">
        <v>30.5</v>
      </c>
      <c r="L11" s="45">
        <v>30.5</v>
      </c>
      <c r="M11" s="45" t="s">
        <v>278</v>
      </c>
      <c r="N11" s="45">
        <v>34</v>
      </c>
      <c r="O11" s="45">
        <v>35</v>
      </c>
      <c r="P11" s="45">
        <v>36</v>
      </c>
      <c r="Q11" s="45">
        <v>37</v>
      </c>
      <c r="R11" s="45">
        <v>37</v>
      </c>
      <c r="S11" s="45">
        <v>37</v>
      </c>
      <c r="T11" s="45">
        <v>37</v>
      </c>
      <c r="U11" s="45">
        <v>35</v>
      </c>
      <c r="V11" s="45">
        <v>35</v>
      </c>
      <c r="W11" s="45">
        <v>35</v>
      </c>
      <c r="X11" s="45">
        <v>35</v>
      </c>
      <c r="Y11" s="45">
        <v>35</v>
      </c>
      <c r="Z11" s="45">
        <v>35</v>
      </c>
      <c r="AA11" s="45">
        <v>45</v>
      </c>
      <c r="AB11" s="45">
        <v>45</v>
      </c>
      <c r="AC11" s="45">
        <v>45</v>
      </c>
      <c r="AD11" s="45">
        <v>45</v>
      </c>
      <c r="AE11" s="45">
        <v>45</v>
      </c>
      <c r="AF11" s="45">
        <v>45</v>
      </c>
      <c r="AG11" s="46">
        <v>86</v>
      </c>
      <c r="AH11" s="47">
        <f t="shared" ref="AH11:AH76" si="2">MAX(B11:AF11)</f>
        <v>45</v>
      </c>
      <c r="AI11" s="48">
        <f t="shared" ref="AI11:AI76" si="3">MIN(B11:AF11)</f>
        <v>30.5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16</v>
      </c>
      <c r="C12" s="45">
        <v>16</v>
      </c>
      <c r="D12" s="45">
        <v>16</v>
      </c>
      <c r="E12" s="45">
        <v>16</v>
      </c>
      <c r="F12" s="45">
        <v>16</v>
      </c>
      <c r="G12" s="45">
        <v>16</v>
      </c>
      <c r="H12" s="45">
        <v>10</v>
      </c>
      <c r="I12" s="45">
        <v>10</v>
      </c>
      <c r="J12" s="45">
        <v>10</v>
      </c>
      <c r="K12" s="45">
        <v>25</v>
      </c>
      <c r="L12" s="45">
        <v>25</v>
      </c>
      <c r="M12" s="45" t="s">
        <v>279</v>
      </c>
      <c r="N12" s="45">
        <v>25</v>
      </c>
      <c r="O12" s="45">
        <v>25</v>
      </c>
      <c r="P12" s="45">
        <v>25</v>
      </c>
      <c r="Q12" s="45">
        <v>25</v>
      </c>
      <c r="R12" s="45">
        <v>25</v>
      </c>
      <c r="S12" s="45">
        <v>25</v>
      </c>
      <c r="T12" s="45">
        <v>25</v>
      </c>
      <c r="U12" s="45">
        <v>25</v>
      </c>
      <c r="V12" s="45">
        <v>25</v>
      </c>
      <c r="W12" s="45">
        <v>25</v>
      </c>
      <c r="X12" s="45">
        <v>25</v>
      </c>
      <c r="Y12" s="45">
        <v>25</v>
      </c>
      <c r="Z12" s="45">
        <v>25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50">
        <v>54</v>
      </c>
      <c r="AH12" s="47">
        <f t="shared" si="2"/>
        <v>25</v>
      </c>
      <c r="AI12" s="48">
        <f t="shared" si="3"/>
        <v>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16.7</v>
      </c>
      <c r="C13" s="45">
        <v>16.7</v>
      </c>
      <c r="D13" s="45">
        <v>27.9</v>
      </c>
      <c r="E13" s="45">
        <v>27.9</v>
      </c>
      <c r="F13" s="45">
        <v>27.9</v>
      </c>
      <c r="G13" s="45">
        <v>35</v>
      </c>
      <c r="H13" s="45">
        <v>35</v>
      </c>
      <c r="I13" s="45">
        <v>35</v>
      </c>
      <c r="J13" s="45">
        <v>35</v>
      </c>
      <c r="K13" s="45">
        <v>35</v>
      </c>
      <c r="L13" s="45">
        <v>35</v>
      </c>
      <c r="M13" s="45" t="s">
        <v>280</v>
      </c>
      <c r="N13" s="45">
        <v>35</v>
      </c>
      <c r="O13" s="45">
        <v>35</v>
      </c>
      <c r="P13" s="45">
        <v>35</v>
      </c>
      <c r="Q13" s="45">
        <v>35</v>
      </c>
      <c r="R13" s="45">
        <v>35</v>
      </c>
      <c r="S13" s="45">
        <v>35</v>
      </c>
      <c r="T13" s="45">
        <v>35</v>
      </c>
      <c r="U13" s="45">
        <v>34</v>
      </c>
      <c r="V13" s="45">
        <v>34</v>
      </c>
      <c r="W13" s="45">
        <v>34</v>
      </c>
      <c r="X13" s="45">
        <v>34</v>
      </c>
      <c r="Y13" s="45">
        <v>34</v>
      </c>
      <c r="Z13" s="45">
        <v>32</v>
      </c>
      <c r="AA13" s="45">
        <v>32</v>
      </c>
      <c r="AB13" s="45">
        <v>32</v>
      </c>
      <c r="AC13" s="45">
        <v>32</v>
      </c>
      <c r="AD13" s="45">
        <v>34</v>
      </c>
      <c r="AE13" s="45">
        <v>34.9</v>
      </c>
      <c r="AF13" s="45">
        <v>34.9</v>
      </c>
      <c r="AG13" s="46">
        <v>52.4</v>
      </c>
      <c r="AH13" s="47">
        <f t="shared" si="2"/>
        <v>35</v>
      </c>
      <c r="AI13" s="48">
        <f t="shared" si="3"/>
        <v>16.7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50.6</v>
      </c>
      <c r="C14" s="45">
        <v>50.6</v>
      </c>
      <c r="D14" s="45">
        <v>50.6</v>
      </c>
      <c r="E14" s="45">
        <v>50.6</v>
      </c>
      <c r="F14" s="45">
        <v>50.6</v>
      </c>
      <c r="G14" s="58">
        <v>50.6</v>
      </c>
      <c r="H14" s="58">
        <v>50.6</v>
      </c>
      <c r="I14" s="58">
        <v>50.6</v>
      </c>
      <c r="J14" s="58">
        <v>50.6</v>
      </c>
      <c r="K14" s="58">
        <v>50.6</v>
      </c>
      <c r="L14" s="58">
        <v>50.6</v>
      </c>
      <c r="M14" s="58" t="s">
        <v>281</v>
      </c>
      <c r="N14" s="58">
        <v>50.6</v>
      </c>
      <c r="O14" s="58">
        <v>50.6</v>
      </c>
      <c r="P14" s="58">
        <v>50.6</v>
      </c>
      <c r="Q14" s="58">
        <v>50.6</v>
      </c>
      <c r="R14" s="58">
        <v>50.6</v>
      </c>
      <c r="S14" s="58">
        <v>50.6</v>
      </c>
      <c r="T14" s="58">
        <v>50.6</v>
      </c>
      <c r="U14" s="58">
        <v>50.6</v>
      </c>
      <c r="V14" s="58">
        <v>50.6</v>
      </c>
      <c r="W14" s="58">
        <v>50.6</v>
      </c>
      <c r="X14" s="58">
        <v>50.6</v>
      </c>
      <c r="Y14" s="58">
        <v>50.6</v>
      </c>
      <c r="Z14" s="58">
        <v>50.6</v>
      </c>
      <c r="AA14" s="45">
        <v>50.7</v>
      </c>
      <c r="AB14" s="45">
        <v>50.7</v>
      </c>
      <c r="AC14" s="45">
        <v>50.7</v>
      </c>
      <c r="AD14" s="45">
        <v>50.7</v>
      </c>
      <c r="AE14" s="45">
        <v>50.7</v>
      </c>
      <c r="AF14" s="45">
        <v>50.7</v>
      </c>
      <c r="AG14" s="50">
        <v>50</v>
      </c>
      <c r="AH14" s="47">
        <f t="shared" si="2"/>
        <v>50.7</v>
      </c>
      <c r="AI14" s="48">
        <f t="shared" si="3"/>
        <v>50.6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46</v>
      </c>
      <c r="C15" s="45">
        <v>46</v>
      </c>
      <c r="D15" s="45">
        <v>46</v>
      </c>
      <c r="E15" s="45">
        <v>46</v>
      </c>
      <c r="F15" s="45">
        <v>44</v>
      </c>
      <c r="G15" s="45">
        <v>44</v>
      </c>
      <c r="H15" s="45">
        <v>44</v>
      </c>
      <c r="I15" s="45">
        <v>44</v>
      </c>
      <c r="J15" s="45">
        <v>44</v>
      </c>
      <c r="K15" s="45">
        <v>44</v>
      </c>
      <c r="L15" s="45">
        <v>44</v>
      </c>
      <c r="M15" s="45" t="s">
        <v>282</v>
      </c>
      <c r="N15" s="45">
        <v>44</v>
      </c>
      <c r="O15" s="45">
        <v>44</v>
      </c>
      <c r="P15" s="45">
        <v>44</v>
      </c>
      <c r="Q15" s="45">
        <v>44</v>
      </c>
      <c r="R15" s="45">
        <v>44</v>
      </c>
      <c r="S15" s="45">
        <v>44</v>
      </c>
      <c r="T15" s="45">
        <v>44</v>
      </c>
      <c r="U15" s="45">
        <v>37.200000000000003</v>
      </c>
      <c r="V15" s="45">
        <v>37.200000000000003</v>
      </c>
      <c r="W15" s="45">
        <v>37.200000000000003</v>
      </c>
      <c r="X15" s="45">
        <v>37.200000000000003</v>
      </c>
      <c r="Y15" s="45">
        <v>37.200000000000003</v>
      </c>
      <c r="Z15" s="45">
        <v>43.2</v>
      </c>
      <c r="AA15" s="45">
        <v>45.8</v>
      </c>
      <c r="AB15" s="45">
        <v>45.8</v>
      </c>
      <c r="AC15" s="45">
        <v>45.8</v>
      </c>
      <c r="AD15" s="45">
        <v>45.8</v>
      </c>
      <c r="AE15" s="45">
        <v>45.8</v>
      </c>
      <c r="AF15" s="45">
        <v>46</v>
      </c>
      <c r="AG15" s="50">
        <v>45</v>
      </c>
      <c r="AH15" s="47">
        <f t="shared" si="2"/>
        <v>46</v>
      </c>
      <c r="AI15" s="48">
        <f t="shared" si="3"/>
        <v>37.200000000000003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41</v>
      </c>
      <c r="C16" s="45">
        <v>41</v>
      </c>
      <c r="D16" s="45">
        <v>41</v>
      </c>
      <c r="E16" s="45">
        <v>41</v>
      </c>
      <c r="F16" s="45">
        <v>41</v>
      </c>
      <c r="G16" s="45">
        <v>41</v>
      </c>
      <c r="H16" s="45">
        <v>41</v>
      </c>
      <c r="I16" s="45">
        <v>41</v>
      </c>
      <c r="J16" s="45">
        <v>41</v>
      </c>
      <c r="K16" s="45">
        <v>41</v>
      </c>
      <c r="L16" s="45">
        <v>41</v>
      </c>
      <c r="M16" s="45" t="s">
        <v>279</v>
      </c>
      <c r="N16" s="45">
        <v>41</v>
      </c>
      <c r="O16" s="45">
        <v>41</v>
      </c>
      <c r="P16" s="45">
        <v>41</v>
      </c>
      <c r="Q16" s="45">
        <v>41</v>
      </c>
      <c r="R16" s="45">
        <v>41</v>
      </c>
      <c r="S16" s="45">
        <v>41</v>
      </c>
      <c r="T16" s="45">
        <v>41</v>
      </c>
      <c r="U16" s="45">
        <v>41</v>
      </c>
      <c r="V16" s="45">
        <v>41</v>
      </c>
      <c r="W16" s="45">
        <v>41</v>
      </c>
      <c r="X16" s="45">
        <v>41</v>
      </c>
      <c r="Y16" s="45">
        <v>41</v>
      </c>
      <c r="Z16" s="45">
        <v>41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50">
        <v>44</v>
      </c>
      <c r="AH16" s="47">
        <f>MAX(B16:AG16)</f>
        <v>44</v>
      </c>
      <c r="AI16" s="48">
        <f>MIN(B16:AG16)</f>
        <v>41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36.5</v>
      </c>
      <c r="C17" s="45">
        <v>36.5</v>
      </c>
      <c r="D17" s="45">
        <v>36.5</v>
      </c>
      <c r="E17" s="45">
        <v>36.5</v>
      </c>
      <c r="F17" s="45">
        <v>36.5</v>
      </c>
      <c r="G17" s="45">
        <v>36.5</v>
      </c>
      <c r="H17" s="45">
        <v>40</v>
      </c>
      <c r="I17" s="45">
        <v>40</v>
      </c>
      <c r="J17" s="45">
        <v>40</v>
      </c>
      <c r="K17" s="45">
        <v>36</v>
      </c>
      <c r="L17" s="45">
        <v>36</v>
      </c>
      <c r="M17" s="45" t="s">
        <v>283</v>
      </c>
      <c r="N17" s="45">
        <v>36</v>
      </c>
      <c r="O17" s="45">
        <v>36</v>
      </c>
      <c r="P17" s="45">
        <v>36</v>
      </c>
      <c r="Q17" s="45">
        <v>36</v>
      </c>
      <c r="R17" s="45">
        <v>36</v>
      </c>
      <c r="S17" s="45">
        <v>36</v>
      </c>
      <c r="T17" s="45">
        <v>36</v>
      </c>
      <c r="U17" s="45">
        <v>36</v>
      </c>
      <c r="V17" s="45">
        <v>36</v>
      </c>
      <c r="W17" s="45">
        <v>36</v>
      </c>
      <c r="X17" s="45">
        <v>36</v>
      </c>
      <c r="Y17" s="45">
        <v>36</v>
      </c>
      <c r="Z17" s="45">
        <v>36</v>
      </c>
      <c r="AA17" s="45">
        <v>36.5</v>
      </c>
      <c r="AB17" s="45">
        <v>36.5</v>
      </c>
      <c r="AC17" s="45">
        <v>36.5</v>
      </c>
      <c r="AD17" s="45">
        <v>36.5</v>
      </c>
      <c r="AE17" s="45">
        <v>35</v>
      </c>
      <c r="AF17" s="45">
        <v>30</v>
      </c>
      <c r="AG17" s="50">
        <v>42</v>
      </c>
      <c r="AH17" s="47">
        <f t="shared" si="2"/>
        <v>40</v>
      </c>
      <c r="AI17" s="48">
        <f t="shared" si="3"/>
        <v>30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 t="s">
        <v>255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32</v>
      </c>
      <c r="C19" s="45">
        <v>32</v>
      </c>
      <c r="D19" s="45">
        <v>32</v>
      </c>
      <c r="E19" s="45">
        <v>32</v>
      </c>
      <c r="F19" s="45">
        <v>32</v>
      </c>
      <c r="G19" s="45">
        <v>32</v>
      </c>
      <c r="H19" s="45">
        <v>32</v>
      </c>
      <c r="I19" s="45">
        <v>32</v>
      </c>
      <c r="J19" s="45">
        <v>32</v>
      </c>
      <c r="K19" s="45">
        <v>32</v>
      </c>
      <c r="L19" s="45">
        <v>32</v>
      </c>
      <c r="M19" s="45" t="s">
        <v>284</v>
      </c>
      <c r="N19" s="45">
        <v>32</v>
      </c>
      <c r="O19" s="45">
        <v>32</v>
      </c>
      <c r="P19" s="45">
        <v>32</v>
      </c>
      <c r="Q19" s="45">
        <v>32</v>
      </c>
      <c r="R19" s="45">
        <v>32</v>
      </c>
      <c r="S19" s="45">
        <v>32</v>
      </c>
      <c r="T19" s="45">
        <v>32</v>
      </c>
      <c r="U19" s="45">
        <v>32</v>
      </c>
      <c r="V19" s="45">
        <v>32</v>
      </c>
      <c r="W19" s="45">
        <v>32</v>
      </c>
      <c r="X19" s="45">
        <v>32</v>
      </c>
      <c r="Y19" s="45">
        <v>32</v>
      </c>
      <c r="Z19" s="45">
        <v>32</v>
      </c>
      <c r="AA19" s="45">
        <v>32</v>
      </c>
      <c r="AB19" s="45">
        <v>32</v>
      </c>
      <c r="AC19" s="45">
        <v>32</v>
      </c>
      <c r="AD19" s="45">
        <v>32</v>
      </c>
      <c r="AE19" s="45">
        <v>32</v>
      </c>
      <c r="AF19" s="45">
        <v>32</v>
      </c>
      <c r="AG19" s="50">
        <v>36</v>
      </c>
      <c r="AH19" s="47">
        <f t="shared" si="2"/>
        <v>32</v>
      </c>
      <c r="AI19" s="48">
        <f t="shared" si="3"/>
        <v>32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5</v>
      </c>
      <c r="I20" s="45">
        <v>5</v>
      </c>
      <c r="J20" s="45">
        <v>5</v>
      </c>
      <c r="K20" s="45">
        <v>15</v>
      </c>
      <c r="L20" s="45">
        <v>15</v>
      </c>
      <c r="M20" s="45" t="s">
        <v>285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15</v>
      </c>
      <c r="Y20" s="45">
        <v>15</v>
      </c>
      <c r="Z20" s="45">
        <v>15</v>
      </c>
      <c r="AA20" s="45">
        <v>28.2</v>
      </c>
      <c r="AB20" s="45">
        <v>28.2</v>
      </c>
      <c r="AC20" s="45">
        <v>28.2</v>
      </c>
      <c r="AD20" s="45">
        <v>28.2</v>
      </c>
      <c r="AE20" s="45">
        <v>28.2</v>
      </c>
      <c r="AF20" s="45">
        <v>29.5</v>
      </c>
      <c r="AG20" s="51">
        <v>30</v>
      </c>
      <c r="AH20" s="47">
        <f t="shared" si="2"/>
        <v>29.5</v>
      </c>
      <c r="AI20" s="48">
        <f t="shared" si="3"/>
        <v>5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15</v>
      </c>
      <c r="C21" s="45">
        <v>15</v>
      </c>
      <c r="D21" s="45">
        <v>15</v>
      </c>
      <c r="E21" s="45">
        <v>15</v>
      </c>
      <c r="F21" s="45">
        <v>18</v>
      </c>
      <c r="G21" s="45">
        <v>18</v>
      </c>
      <c r="H21" s="45">
        <v>18</v>
      </c>
      <c r="I21" s="45">
        <v>18</v>
      </c>
      <c r="J21" s="45">
        <v>18</v>
      </c>
      <c r="K21" s="45">
        <v>18</v>
      </c>
      <c r="L21" s="45">
        <v>18</v>
      </c>
      <c r="M21" s="45" t="s">
        <v>284</v>
      </c>
      <c r="N21" s="45">
        <v>18</v>
      </c>
      <c r="O21" s="45">
        <v>18</v>
      </c>
      <c r="P21" s="45">
        <v>18</v>
      </c>
      <c r="Q21" s="45">
        <v>18</v>
      </c>
      <c r="R21" s="45">
        <v>18</v>
      </c>
      <c r="S21" s="45">
        <v>18</v>
      </c>
      <c r="T21" s="45">
        <v>18</v>
      </c>
      <c r="U21" s="45">
        <v>18</v>
      </c>
      <c r="V21" s="45">
        <v>18</v>
      </c>
      <c r="W21" s="45">
        <v>18</v>
      </c>
      <c r="X21" s="45">
        <v>18</v>
      </c>
      <c r="Y21" s="45">
        <v>18</v>
      </c>
      <c r="Z21" s="45">
        <v>18</v>
      </c>
      <c r="AA21" s="45">
        <v>19</v>
      </c>
      <c r="AB21" s="45">
        <v>19</v>
      </c>
      <c r="AC21" s="45">
        <v>19</v>
      </c>
      <c r="AD21" s="45">
        <v>19</v>
      </c>
      <c r="AE21" s="45">
        <v>19</v>
      </c>
      <c r="AF21" s="45">
        <v>19.8</v>
      </c>
      <c r="AG21" s="50">
        <v>24.2</v>
      </c>
      <c r="AH21" s="47">
        <f t="shared" si="2"/>
        <v>19.8</v>
      </c>
      <c r="AI21" s="48">
        <f t="shared" si="3"/>
        <v>15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16</v>
      </c>
      <c r="C22" s="45">
        <v>16</v>
      </c>
      <c r="D22" s="45">
        <v>16</v>
      </c>
      <c r="E22" s="45">
        <v>16</v>
      </c>
      <c r="F22" s="45">
        <v>16</v>
      </c>
      <c r="G22" s="45">
        <v>16</v>
      </c>
      <c r="H22" s="45">
        <v>16</v>
      </c>
      <c r="I22" s="45">
        <v>16</v>
      </c>
      <c r="J22" s="45">
        <v>16</v>
      </c>
      <c r="K22" s="45">
        <v>16</v>
      </c>
      <c r="L22" s="45">
        <v>16</v>
      </c>
      <c r="M22" s="45" t="s">
        <v>281</v>
      </c>
      <c r="N22" s="45">
        <v>16</v>
      </c>
      <c r="O22" s="45">
        <v>16</v>
      </c>
      <c r="P22" s="45">
        <v>16</v>
      </c>
      <c r="Q22" s="45">
        <v>16</v>
      </c>
      <c r="R22" s="45">
        <v>16</v>
      </c>
      <c r="S22" s="45">
        <v>16</v>
      </c>
      <c r="T22" s="45">
        <v>16</v>
      </c>
      <c r="U22" s="45">
        <v>16</v>
      </c>
      <c r="V22" s="45">
        <v>16</v>
      </c>
      <c r="W22" s="45">
        <v>16</v>
      </c>
      <c r="X22" s="45">
        <v>16</v>
      </c>
      <c r="Y22" s="45">
        <v>16</v>
      </c>
      <c r="Z22" s="45">
        <v>16</v>
      </c>
      <c r="AA22" s="45">
        <v>16</v>
      </c>
      <c r="AB22" s="45">
        <v>16</v>
      </c>
      <c r="AC22" s="45">
        <v>16</v>
      </c>
      <c r="AD22" s="45">
        <v>16</v>
      </c>
      <c r="AE22" s="45">
        <v>16</v>
      </c>
      <c r="AF22" s="45">
        <v>16</v>
      </c>
      <c r="AG22" s="50">
        <v>28</v>
      </c>
      <c r="AH22" s="47">
        <f t="shared" si="2"/>
        <v>16</v>
      </c>
      <c r="AI22" s="48">
        <f t="shared" si="3"/>
        <v>16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5</v>
      </c>
      <c r="I23" s="45">
        <v>5</v>
      </c>
      <c r="J23" s="45">
        <v>5</v>
      </c>
      <c r="K23" s="45">
        <v>10</v>
      </c>
      <c r="L23" s="45">
        <v>10</v>
      </c>
      <c r="M23" s="45" t="s">
        <v>286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20</v>
      </c>
      <c r="AB23" s="45">
        <v>20</v>
      </c>
      <c r="AC23" s="45">
        <v>20</v>
      </c>
      <c r="AD23" s="45">
        <v>20</v>
      </c>
      <c r="AE23" s="45">
        <v>20</v>
      </c>
      <c r="AF23" s="45">
        <v>20</v>
      </c>
      <c r="AG23" s="51">
        <v>30</v>
      </c>
      <c r="AH23" s="47">
        <f t="shared" si="2"/>
        <v>20</v>
      </c>
      <c r="AI23" s="48">
        <f t="shared" si="3"/>
        <v>5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16.899999999999999</v>
      </c>
      <c r="C24" s="45">
        <v>16.899999999999999</v>
      </c>
      <c r="D24" s="45">
        <v>23</v>
      </c>
      <c r="E24" s="45">
        <v>23</v>
      </c>
      <c r="F24" s="45">
        <v>23</v>
      </c>
      <c r="G24" s="45">
        <v>23</v>
      </c>
      <c r="H24" s="45">
        <v>23</v>
      </c>
      <c r="I24" s="45">
        <v>23</v>
      </c>
      <c r="J24" s="45">
        <v>23</v>
      </c>
      <c r="K24" s="45">
        <v>23</v>
      </c>
      <c r="L24" s="45">
        <v>23</v>
      </c>
      <c r="M24" s="45" t="s">
        <v>287</v>
      </c>
      <c r="N24" s="45">
        <v>23</v>
      </c>
      <c r="O24" s="45">
        <v>23</v>
      </c>
      <c r="P24" s="45">
        <v>23</v>
      </c>
      <c r="Q24" s="45">
        <v>23</v>
      </c>
      <c r="R24" s="45">
        <v>23</v>
      </c>
      <c r="S24" s="45">
        <v>23</v>
      </c>
      <c r="T24" s="45">
        <v>23</v>
      </c>
      <c r="U24" s="45">
        <v>23</v>
      </c>
      <c r="V24" s="45">
        <v>23</v>
      </c>
      <c r="W24" s="45">
        <v>23</v>
      </c>
      <c r="X24" s="45">
        <v>23</v>
      </c>
      <c r="Y24" s="45">
        <v>23</v>
      </c>
      <c r="Z24" s="45">
        <v>23</v>
      </c>
      <c r="AA24" s="45">
        <v>23</v>
      </c>
      <c r="AB24" s="45">
        <v>23</v>
      </c>
      <c r="AC24" s="45">
        <v>23</v>
      </c>
      <c r="AD24" s="45">
        <v>23</v>
      </c>
      <c r="AE24" s="45">
        <v>23</v>
      </c>
      <c r="AF24" s="45">
        <v>23</v>
      </c>
      <c r="AG24" s="50">
        <v>25</v>
      </c>
      <c r="AH24" s="47">
        <f t="shared" si="2"/>
        <v>23</v>
      </c>
      <c r="AI24" s="48">
        <f t="shared" si="3"/>
        <v>16.899999999999999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>
        <v>14</v>
      </c>
      <c r="G25" s="45">
        <v>14</v>
      </c>
      <c r="H25" s="45">
        <v>0</v>
      </c>
      <c r="I25" s="45">
        <v>14</v>
      </c>
      <c r="J25" s="45">
        <v>14</v>
      </c>
      <c r="K25" s="45">
        <v>14</v>
      </c>
      <c r="L25" s="45">
        <v>14</v>
      </c>
      <c r="M25" s="45" t="s">
        <v>255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 t="s">
        <v>288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50">
        <v>25</v>
      </c>
      <c r="AH26" s="47">
        <f t="shared" si="2"/>
        <v>25</v>
      </c>
      <c r="AI26" s="48">
        <f t="shared" si="3"/>
        <v>25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7</v>
      </c>
      <c r="C27" s="45">
        <v>7</v>
      </c>
      <c r="D27" s="45">
        <v>7</v>
      </c>
      <c r="E27" s="45">
        <v>7</v>
      </c>
      <c r="F27" s="45">
        <v>7</v>
      </c>
      <c r="G27" s="45">
        <v>7</v>
      </c>
      <c r="H27" s="45">
        <v>5</v>
      </c>
      <c r="I27" s="45">
        <v>5</v>
      </c>
      <c r="J27" s="45">
        <v>5</v>
      </c>
      <c r="K27" s="45">
        <v>10</v>
      </c>
      <c r="L27" s="45">
        <v>10</v>
      </c>
      <c r="M27" s="45" t="s">
        <v>289</v>
      </c>
      <c r="N27" s="45">
        <v>10</v>
      </c>
      <c r="O27" s="45">
        <v>10</v>
      </c>
      <c r="P27" s="45">
        <v>10</v>
      </c>
      <c r="Q27" s="45">
        <v>10</v>
      </c>
      <c r="R27" s="45">
        <v>10</v>
      </c>
      <c r="S27" s="45">
        <v>10</v>
      </c>
      <c r="T27" s="45">
        <v>10</v>
      </c>
      <c r="U27" s="45">
        <v>10</v>
      </c>
      <c r="V27" s="45">
        <v>10</v>
      </c>
      <c r="W27" s="45">
        <v>10</v>
      </c>
      <c r="X27" s="45">
        <v>10</v>
      </c>
      <c r="Y27" s="45">
        <v>10</v>
      </c>
      <c r="Z27" s="45">
        <v>10</v>
      </c>
      <c r="AA27" s="45">
        <v>18</v>
      </c>
      <c r="AB27" s="45">
        <v>18</v>
      </c>
      <c r="AC27" s="45">
        <v>18</v>
      </c>
      <c r="AD27" s="45">
        <v>18</v>
      </c>
      <c r="AE27" s="45">
        <v>18</v>
      </c>
      <c r="AF27" s="45">
        <v>18</v>
      </c>
      <c r="AG27" s="50">
        <v>25</v>
      </c>
      <c r="AH27" s="47">
        <f t="shared" si="2"/>
        <v>18</v>
      </c>
      <c r="AI27" s="48">
        <f t="shared" si="3"/>
        <v>5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7.3</v>
      </c>
      <c r="C28" s="45">
        <v>7.3</v>
      </c>
      <c r="D28" s="45">
        <v>7.3</v>
      </c>
      <c r="E28" s="45">
        <v>7.3</v>
      </c>
      <c r="F28" s="45">
        <v>7.3</v>
      </c>
      <c r="G28" s="45">
        <v>7.3</v>
      </c>
      <c r="H28" s="45">
        <v>7.3</v>
      </c>
      <c r="I28" s="45">
        <v>7.3</v>
      </c>
      <c r="J28" s="45">
        <v>7.3</v>
      </c>
      <c r="K28" s="45">
        <v>7.3</v>
      </c>
      <c r="L28" s="45">
        <v>7.3</v>
      </c>
      <c r="M28" s="45" t="s">
        <v>283</v>
      </c>
      <c r="N28" s="45">
        <v>7.3</v>
      </c>
      <c r="O28" s="45">
        <v>7.3</v>
      </c>
      <c r="P28" s="45">
        <v>7.3</v>
      </c>
      <c r="Q28" s="45">
        <v>7.3</v>
      </c>
      <c r="R28" s="45">
        <v>7.3</v>
      </c>
      <c r="S28" s="45">
        <v>7.3</v>
      </c>
      <c r="T28" s="45">
        <v>7.3</v>
      </c>
      <c r="U28" s="45">
        <v>7.3</v>
      </c>
      <c r="V28" s="45">
        <v>7.3</v>
      </c>
      <c r="W28" s="45">
        <v>7.3</v>
      </c>
      <c r="X28" s="45">
        <v>7.3</v>
      </c>
      <c r="Y28" s="45">
        <v>7.3</v>
      </c>
      <c r="Z28" s="45">
        <v>7.3</v>
      </c>
      <c r="AA28" s="45">
        <v>7.3</v>
      </c>
      <c r="AB28" s="45">
        <v>7.3</v>
      </c>
      <c r="AC28" s="45">
        <v>7.3</v>
      </c>
      <c r="AD28" s="45">
        <v>7.3</v>
      </c>
      <c r="AE28" s="45">
        <v>7.3</v>
      </c>
      <c r="AF28" s="45">
        <v>7.3</v>
      </c>
      <c r="AG28" s="50">
        <v>23.5</v>
      </c>
      <c r="AH28" s="47">
        <f t="shared" si="2"/>
        <v>7.3</v>
      </c>
      <c r="AI28" s="48">
        <f t="shared" si="3"/>
        <v>7.3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3.5</v>
      </c>
      <c r="C29" s="45">
        <v>3.5</v>
      </c>
      <c r="D29" s="45">
        <v>3.5</v>
      </c>
      <c r="E29" s="45">
        <v>3.5</v>
      </c>
      <c r="F29" s="45">
        <v>3.5</v>
      </c>
      <c r="G29" s="45">
        <v>3.5</v>
      </c>
      <c r="H29" s="45">
        <v>3.5</v>
      </c>
      <c r="I29" s="45">
        <v>3.5</v>
      </c>
      <c r="J29" s="45">
        <v>3.5</v>
      </c>
      <c r="K29" s="45">
        <v>3.5</v>
      </c>
      <c r="L29" s="45">
        <v>3.5</v>
      </c>
      <c r="M29" s="45" t="s">
        <v>283</v>
      </c>
      <c r="N29" s="45">
        <v>3.5</v>
      </c>
      <c r="O29" s="45">
        <v>3.5</v>
      </c>
      <c r="P29" s="45">
        <v>3.5</v>
      </c>
      <c r="Q29" s="45">
        <v>3.5</v>
      </c>
      <c r="R29" s="45">
        <v>3.5</v>
      </c>
      <c r="S29" s="45">
        <v>3.5</v>
      </c>
      <c r="T29" s="45">
        <v>3.5</v>
      </c>
      <c r="U29" s="45">
        <v>3.5</v>
      </c>
      <c r="V29" s="45">
        <v>3.5</v>
      </c>
      <c r="W29" s="45">
        <v>3.5</v>
      </c>
      <c r="X29" s="45">
        <v>3.5</v>
      </c>
      <c r="Y29" s="45">
        <v>3.5</v>
      </c>
      <c r="Z29" s="45">
        <v>3.5</v>
      </c>
      <c r="AA29" s="45">
        <v>3.5</v>
      </c>
      <c r="AB29" s="45">
        <v>3.5</v>
      </c>
      <c r="AC29" s="45">
        <v>3.5</v>
      </c>
      <c r="AD29" s="45">
        <v>3.5</v>
      </c>
      <c r="AE29" s="45">
        <v>3.5</v>
      </c>
      <c r="AF29" s="45">
        <v>3.5</v>
      </c>
      <c r="AG29" s="50">
        <v>22.2</v>
      </c>
      <c r="AH29" s="47">
        <f t="shared" si="2"/>
        <v>3.5</v>
      </c>
      <c r="AI29" s="48">
        <f t="shared" si="3"/>
        <v>3.5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>
        <v>4.5999999999999996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 t="s">
        <v>279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4.5999999999999996</v>
      </c>
      <c r="AB30" s="45">
        <v>4.5999999999999996</v>
      </c>
      <c r="AC30" s="45">
        <v>4.5999999999999996</v>
      </c>
      <c r="AD30" s="45">
        <v>4.5999999999999996</v>
      </c>
      <c r="AE30" s="45">
        <v>4.5999999999999996</v>
      </c>
      <c r="AF30" s="45">
        <v>4.5999999999999996</v>
      </c>
      <c r="AG30" s="50">
        <v>22.1</v>
      </c>
      <c r="AH30" s="47">
        <f t="shared" si="2"/>
        <v>4.5999999999999996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 t="s">
        <v>278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50">
        <v>22</v>
      </c>
      <c r="AH31" s="47">
        <f t="shared" si="2"/>
        <v>10</v>
      </c>
      <c r="AI31" s="48">
        <f t="shared" si="3"/>
        <v>4.5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9</v>
      </c>
      <c r="C32" s="45">
        <v>9</v>
      </c>
      <c r="D32" s="45">
        <v>9</v>
      </c>
      <c r="E32" s="45">
        <v>9</v>
      </c>
      <c r="F32" s="45">
        <v>10</v>
      </c>
      <c r="G32" s="45">
        <v>10</v>
      </c>
      <c r="H32" s="45">
        <v>8</v>
      </c>
      <c r="I32" s="45">
        <v>8</v>
      </c>
      <c r="J32" s="45">
        <v>8</v>
      </c>
      <c r="K32" s="45">
        <v>8</v>
      </c>
      <c r="L32" s="45">
        <v>8</v>
      </c>
      <c r="M32" s="45" t="s">
        <v>284</v>
      </c>
      <c r="N32" s="45">
        <v>8</v>
      </c>
      <c r="O32" s="45">
        <v>8</v>
      </c>
      <c r="P32" s="45">
        <v>8</v>
      </c>
      <c r="Q32" s="45">
        <v>8</v>
      </c>
      <c r="R32" s="45">
        <v>8</v>
      </c>
      <c r="S32" s="45">
        <v>8</v>
      </c>
      <c r="T32" s="45">
        <v>8</v>
      </c>
      <c r="U32" s="45">
        <v>8</v>
      </c>
      <c r="V32" s="45">
        <v>8</v>
      </c>
      <c r="W32" s="45">
        <v>8</v>
      </c>
      <c r="X32" s="45">
        <v>8</v>
      </c>
      <c r="Y32" s="45">
        <v>8</v>
      </c>
      <c r="Z32" s="45">
        <v>8</v>
      </c>
      <c r="AA32" s="45">
        <v>11.6</v>
      </c>
      <c r="AB32" s="45">
        <v>11.6</v>
      </c>
      <c r="AC32" s="45">
        <v>11.6</v>
      </c>
      <c r="AD32" s="45">
        <v>11.6</v>
      </c>
      <c r="AE32" s="45">
        <v>11.6</v>
      </c>
      <c r="AF32" s="45">
        <v>11.6</v>
      </c>
      <c r="AG32" s="50">
        <v>22</v>
      </c>
      <c r="AH32" s="47">
        <f t="shared" si="2"/>
        <v>11.6</v>
      </c>
      <c r="AI32" s="48">
        <f t="shared" si="3"/>
        <v>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 t="s">
        <v>286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4</v>
      </c>
      <c r="AG33" s="50">
        <v>20</v>
      </c>
      <c r="AH33" s="47">
        <f t="shared" si="2"/>
        <v>5</v>
      </c>
      <c r="AI33" s="48">
        <f t="shared" si="3"/>
        <v>4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8.6</v>
      </c>
      <c r="C34" s="45">
        <v>8.6</v>
      </c>
      <c r="D34" s="45">
        <v>8.6</v>
      </c>
      <c r="E34" s="45">
        <v>8.6</v>
      </c>
      <c r="F34" s="45">
        <v>8.6</v>
      </c>
      <c r="G34" s="45">
        <v>8.6</v>
      </c>
      <c r="H34" s="45">
        <v>8.6</v>
      </c>
      <c r="I34" s="45">
        <v>8.6</v>
      </c>
      <c r="J34" s="45">
        <v>8.6</v>
      </c>
      <c r="K34" s="45">
        <v>8.6</v>
      </c>
      <c r="L34" s="45">
        <v>8.6</v>
      </c>
      <c r="M34" s="45"/>
      <c r="N34" s="45">
        <v>8.6</v>
      </c>
      <c r="O34" s="45">
        <v>8.6</v>
      </c>
      <c r="P34" s="45">
        <v>8.6</v>
      </c>
      <c r="Q34" s="45">
        <v>8.6</v>
      </c>
      <c r="R34" s="45">
        <v>8.6</v>
      </c>
      <c r="S34" s="45">
        <v>8.6</v>
      </c>
      <c r="T34" s="45">
        <v>8.6</v>
      </c>
      <c r="U34" s="45">
        <v>8.6</v>
      </c>
      <c r="V34" s="45">
        <v>8.6</v>
      </c>
      <c r="W34" s="45">
        <v>8.6</v>
      </c>
      <c r="X34" s="45">
        <v>8.6</v>
      </c>
      <c r="Y34" s="45">
        <v>8.6</v>
      </c>
      <c r="Z34" s="45">
        <v>8.6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50">
        <v>18</v>
      </c>
      <c r="AH34" s="47">
        <f t="shared" si="2"/>
        <v>10</v>
      </c>
      <c r="AI34" s="48">
        <f t="shared" si="3"/>
        <v>8.6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/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/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/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/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50">
        <v>13</v>
      </c>
      <c r="AH38" s="47">
        <f t="shared" si="2"/>
        <v>6</v>
      </c>
      <c r="AI38" s="48">
        <f t="shared" si="3"/>
        <v>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4</v>
      </c>
      <c r="C39" s="45">
        <v>4</v>
      </c>
      <c r="D39" s="45">
        <v>4</v>
      </c>
      <c r="E39" s="45">
        <v>4</v>
      </c>
      <c r="F39" s="45">
        <v>4</v>
      </c>
      <c r="G39" s="45">
        <v>4</v>
      </c>
      <c r="H39" s="45">
        <v>4</v>
      </c>
      <c r="I39" s="45">
        <v>4</v>
      </c>
      <c r="J39" s="45">
        <v>4</v>
      </c>
      <c r="K39" s="45">
        <v>7</v>
      </c>
      <c r="L39" s="45">
        <v>7</v>
      </c>
      <c r="M39" s="45"/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8</v>
      </c>
      <c r="AB39" s="45">
        <v>8</v>
      </c>
      <c r="AC39" s="45">
        <v>8</v>
      </c>
      <c r="AD39" s="45">
        <v>8</v>
      </c>
      <c r="AE39" s="45">
        <v>8</v>
      </c>
      <c r="AF39" s="45">
        <v>8</v>
      </c>
      <c r="AG39" s="50">
        <v>12</v>
      </c>
      <c r="AH39" s="47">
        <f t="shared" si="2"/>
        <v>8</v>
      </c>
      <c r="AI39" s="48">
        <f t="shared" si="3"/>
        <v>4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/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/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/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/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/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3.6</v>
      </c>
      <c r="C45" s="45">
        <v>3.6</v>
      </c>
      <c r="D45" s="45">
        <v>3.6</v>
      </c>
      <c r="E45" s="45">
        <v>3.6</v>
      </c>
      <c r="F45" s="45">
        <v>3.6</v>
      </c>
      <c r="G45" s="45">
        <v>3.6</v>
      </c>
      <c r="H45" s="45">
        <v>3.6</v>
      </c>
      <c r="I45" s="45">
        <v>3.6</v>
      </c>
      <c r="J45" s="45">
        <v>3.6</v>
      </c>
      <c r="K45" s="45">
        <v>3.6</v>
      </c>
      <c r="L45" s="45">
        <v>3.6</v>
      </c>
      <c r="M45" s="45"/>
      <c r="N45" s="45">
        <v>3.6</v>
      </c>
      <c r="O45" s="45">
        <v>3.6</v>
      </c>
      <c r="P45" s="45">
        <v>3.6</v>
      </c>
      <c r="Q45" s="45">
        <v>3.6</v>
      </c>
      <c r="R45" s="45">
        <v>3.6</v>
      </c>
      <c r="S45" s="45">
        <v>3.6</v>
      </c>
      <c r="T45" s="45">
        <v>3.6</v>
      </c>
      <c r="U45" s="45">
        <v>3.6</v>
      </c>
      <c r="V45" s="45">
        <v>3.6</v>
      </c>
      <c r="W45" s="45">
        <v>3.6</v>
      </c>
      <c r="X45" s="45">
        <v>3.6</v>
      </c>
      <c r="Y45" s="45">
        <v>3.6</v>
      </c>
      <c r="Z45" s="45">
        <v>3.6</v>
      </c>
      <c r="AA45" s="45">
        <v>9.6</v>
      </c>
      <c r="AB45" s="45">
        <v>9.6</v>
      </c>
      <c r="AC45" s="45">
        <v>9.6</v>
      </c>
      <c r="AD45" s="45">
        <v>9.6</v>
      </c>
      <c r="AE45" s="45">
        <v>9.6</v>
      </c>
      <c r="AF45" s="45">
        <v>9.6</v>
      </c>
      <c r="AG45" s="54">
        <v>10</v>
      </c>
      <c r="AH45" s="47">
        <f t="shared" si="2"/>
        <v>9.6</v>
      </c>
      <c r="AI45" s="48">
        <f t="shared" si="3"/>
        <v>3.6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7</v>
      </c>
      <c r="C46" s="45">
        <v>7</v>
      </c>
      <c r="D46" s="45">
        <v>7</v>
      </c>
      <c r="E46" s="45">
        <v>7</v>
      </c>
      <c r="F46" s="45">
        <v>7</v>
      </c>
      <c r="G46" s="45">
        <v>7</v>
      </c>
      <c r="H46" s="45">
        <v>7</v>
      </c>
      <c r="I46" s="45">
        <v>7</v>
      </c>
      <c r="J46" s="45">
        <v>7</v>
      </c>
      <c r="K46" s="45">
        <v>7</v>
      </c>
      <c r="L46" s="45">
        <v>7</v>
      </c>
      <c r="M46" s="45"/>
      <c r="N46" s="45">
        <v>7</v>
      </c>
      <c r="O46" s="45">
        <v>7</v>
      </c>
      <c r="P46" s="45">
        <v>7</v>
      </c>
      <c r="Q46" s="45">
        <v>7</v>
      </c>
      <c r="R46" s="45">
        <v>7</v>
      </c>
      <c r="S46" s="45">
        <v>7</v>
      </c>
      <c r="T46" s="45">
        <v>7</v>
      </c>
      <c r="U46" s="45">
        <v>7</v>
      </c>
      <c r="V46" s="45">
        <v>7</v>
      </c>
      <c r="W46" s="45">
        <v>7</v>
      </c>
      <c r="X46" s="45">
        <v>7</v>
      </c>
      <c r="Y46" s="45">
        <v>7</v>
      </c>
      <c r="Z46" s="45">
        <v>7</v>
      </c>
      <c r="AA46" s="45">
        <v>7</v>
      </c>
      <c r="AB46" s="45">
        <v>7</v>
      </c>
      <c r="AC46" s="45">
        <v>7</v>
      </c>
      <c r="AD46" s="45">
        <v>7</v>
      </c>
      <c r="AE46" s="45">
        <v>7</v>
      </c>
      <c r="AF46" s="45">
        <v>7</v>
      </c>
      <c r="AG46" s="54">
        <v>10</v>
      </c>
      <c r="AH46" s="47">
        <f t="shared" si="2"/>
        <v>7</v>
      </c>
      <c r="AI46" s="48">
        <f t="shared" si="3"/>
        <v>7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6.8</v>
      </c>
      <c r="C47" s="45">
        <v>6.8</v>
      </c>
      <c r="D47" s="45">
        <v>6.8</v>
      </c>
      <c r="E47" s="45">
        <v>6.8</v>
      </c>
      <c r="F47" s="45">
        <v>6.8</v>
      </c>
      <c r="G47" s="45">
        <v>6.8</v>
      </c>
      <c r="H47" s="45">
        <v>6.8</v>
      </c>
      <c r="I47" s="45">
        <v>6.8</v>
      </c>
      <c r="J47" s="45">
        <v>6.8</v>
      </c>
      <c r="K47" s="45">
        <v>6.8</v>
      </c>
      <c r="L47" s="45">
        <v>6.8</v>
      </c>
      <c r="M47" s="45"/>
      <c r="N47" s="45">
        <v>6.8</v>
      </c>
      <c r="O47" s="45">
        <v>6.8</v>
      </c>
      <c r="P47" s="45">
        <v>6.8</v>
      </c>
      <c r="Q47" s="45">
        <v>6.8</v>
      </c>
      <c r="R47" s="45">
        <v>6.8</v>
      </c>
      <c r="S47" s="45">
        <v>6.8</v>
      </c>
      <c r="T47" s="45">
        <v>6.8</v>
      </c>
      <c r="U47" s="45">
        <v>6.8</v>
      </c>
      <c r="V47" s="45">
        <v>6.8</v>
      </c>
      <c r="W47" s="45">
        <v>6.8</v>
      </c>
      <c r="X47" s="45">
        <v>6.8</v>
      </c>
      <c r="Y47" s="45">
        <v>6.8</v>
      </c>
      <c r="Z47" s="45">
        <v>6.8</v>
      </c>
      <c r="AA47" s="45">
        <v>6.8</v>
      </c>
      <c r="AB47" s="45">
        <v>6.8</v>
      </c>
      <c r="AC47" s="45">
        <v>6.8</v>
      </c>
      <c r="AD47" s="45">
        <v>6.8</v>
      </c>
      <c r="AE47" s="45">
        <v>6.8</v>
      </c>
      <c r="AF47" s="45">
        <v>6.8</v>
      </c>
      <c r="AG47" s="54">
        <v>10</v>
      </c>
      <c r="AH47" s="47">
        <f t="shared" si="2"/>
        <v>6.8</v>
      </c>
      <c r="AI47" s="48">
        <f t="shared" si="3"/>
        <v>6.8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230</v>
      </c>
      <c r="C48" s="56">
        <v>230</v>
      </c>
      <c r="D48" s="56">
        <v>230</v>
      </c>
      <c r="E48" s="56">
        <v>230</v>
      </c>
      <c r="F48" s="56">
        <v>230</v>
      </c>
      <c r="G48" s="56">
        <v>230</v>
      </c>
      <c r="H48" s="56">
        <v>230</v>
      </c>
      <c r="I48" s="56">
        <v>230</v>
      </c>
      <c r="J48" s="56">
        <v>230</v>
      </c>
      <c r="K48" s="56">
        <v>230</v>
      </c>
      <c r="L48" s="56">
        <v>230</v>
      </c>
      <c r="M48" s="56"/>
      <c r="N48" s="56">
        <v>230</v>
      </c>
      <c r="O48" s="56">
        <v>230</v>
      </c>
      <c r="P48" s="56">
        <v>230</v>
      </c>
      <c r="Q48" s="56">
        <v>230</v>
      </c>
      <c r="R48" s="56">
        <v>230</v>
      </c>
      <c r="S48" s="56">
        <v>230</v>
      </c>
      <c r="T48" s="56">
        <v>230</v>
      </c>
      <c r="U48" s="56">
        <v>230</v>
      </c>
      <c r="V48" s="56">
        <v>230</v>
      </c>
      <c r="W48" s="56">
        <v>230</v>
      </c>
      <c r="X48" s="56">
        <v>230</v>
      </c>
      <c r="Y48" s="56">
        <v>230</v>
      </c>
      <c r="Z48" s="56">
        <v>230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230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6"/>
      <c r="F49" s="58">
        <v>94</v>
      </c>
      <c r="G49" s="58">
        <v>94</v>
      </c>
      <c r="H49" s="58">
        <v>94</v>
      </c>
      <c r="I49" s="58">
        <v>94</v>
      </c>
      <c r="J49" s="58">
        <v>94</v>
      </c>
      <c r="K49" s="58">
        <v>94</v>
      </c>
      <c r="L49" s="58">
        <v>94</v>
      </c>
      <c r="M49" s="58"/>
      <c r="N49" s="58">
        <v>94</v>
      </c>
      <c r="O49" s="58">
        <v>94</v>
      </c>
      <c r="P49" s="58">
        <v>94</v>
      </c>
      <c r="Q49" s="58">
        <v>94</v>
      </c>
      <c r="R49" s="58">
        <v>94</v>
      </c>
      <c r="S49" s="58">
        <v>94</v>
      </c>
      <c r="T49" s="58">
        <v>94</v>
      </c>
      <c r="U49" s="58"/>
      <c r="V49" s="58"/>
      <c r="W49" s="58"/>
      <c r="X49" s="58"/>
      <c r="Y49" s="58"/>
      <c r="Z49" s="58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94</v>
      </c>
      <c r="AI49" s="48">
        <f t="shared" si="3"/>
        <v>94</v>
      </c>
      <c r="AK49" s="49"/>
    </row>
    <row r="50" spans="1:41" ht="15.75" thickBot="1" x14ac:dyDescent="0.3">
      <c r="A50" s="59" t="s">
        <v>56</v>
      </c>
      <c r="B50" s="60">
        <f>SUM(B11:B48)</f>
        <v>746.40000000000009</v>
      </c>
      <c r="C50" s="60">
        <f t="shared" ref="C50:AF50" si="4">SUM(C11:C48)</f>
        <v>746.40000000000009</v>
      </c>
      <c r="D50" s="60">
        <f t="shared" si="4"/>
        <v>763.7</v>
      </c>
      <c r="E50" s="60">
        <f>SUM(E11:E48)</f>
        <v>763.7</v>
      </c>
      <c r="F50" s="60">
        <f t="shared" si="4"/>
        <v>765.7</v>
      </c>
      <c r="G50" s="60">
        <f t="shared" si="4"/>
        <v>772.80000000000007</v>
      </c>
      <c r="H50" s="60">
        <f t="shared" si="4"/>
        <v>743.30000000000007</v>
      </c>
      <c r="I50" s="60">
        <f t="shared" si="4"/>
        <v>757.30000000000007</v>
      </c>
      <c r="J50" s="60">
        <f t="shared" si="4"/>
        <v>757.30000000000007</v>
      </c>
      <c r="K50" s="60">
        <f>SUM(K11:K48)</f>
        <v>791.30000000000007</v>
      </c>
      <c r="L50" s="60">
        <f t="shared" si="4"/>
        <v>791.30000000000007</v>
      </c>
      <c r="M50" s="60">
        <f t="shared" si="4"/>
        <v>0</v>
      </c>
      <c r="N50" s="60">
        <f t="shared" si="4"/>
        <v>794.80000000000007</v>
      </c>
      <c r="O50" s="60">
        <f t="shared" si="4"/>
        <v>795.80000000000007</v>
      </c>
      <c r="P50" s="60">
        <f t="shared" si="4"/>
        <v>796.80000000000007</v>
      </c>
      <c r="Q50" s="60">
        <f t="shared" si="4"/>
        <v>797.80000000000007</v>
      </c>
      <c r="R50" s="60">
        <f t="shared" si="4"/>
        <v>797.80000000000007</v>
      </c>
      <c r="S50" s="60">
        <f>SUM(S11:S48)</f>
        <v>797.80000000000007</v>
      </c>
      <c r="T50" s="60">
        <f t="shared" si="4"/>
        <v>797.80000000000007</v>
      </c>
      <c r="U50" s="60">
        <f t="shared" si="4"/>
        <v>788.00000000000011</v>
      </c>
      <c r="V50" s="60">
        <f t="shared" si="4"/>
        <v>788.00000000000011</v>
      </c>
      <c r="W50" s="60">
        <f t="shared" si="4"/>
        <v>788.00000000000011</v>
      </c>
      <c r="X50" s="60">
        <f t="shared" si="4"/>
        <v>788.00000000000011</v>
      </c>
      <c r="Y50" s="60">
        <f t="shared" ref="Y50:Z50" si="5">SUM(Y11:Y48)</f>
        <v>788.00000000000011</v>
      </c>
      <c r="Z50" s="60">
        <f t="shared" si="5"/>
        <v>792.00000000000011</v>
      </c>
      <c r="AA50" s="60">
        <v>852.9</v>
      </c>
      <c r="AB50" s="60">
        <f t="shared" si="4"/>
        <v>852.9</v>
      </c>
      <c r="AC50" s="60">
        <f t="shared" si="4"/>
        <v>852.9</v>
      </c>
      <c r="AD50" s="60">
        <f t="shared" si="4"/>
        <v>854.9</v>
      </c>
      <c r="AE50" s="60">
        <f t="shared" si="4"/>
        <v>854.30000000000007</v>
      </c>
      <c r="AF50" s="60">
        <f t="shared" si="4"/>
        <v>850.6</v>
      </c>
      <c r="AG50" s="61">
        <f>SUM(AG13:AG48)</f>
        <v>922.14</v>
      </c>
      <c r="AH50" s="47">
        <f t="shared" si="2"/>
        <v>854.9</v>
      </c>
      <c r="AI50" s="48">
        <f t="shared" si="3"/>
        <v>0</v>
      </c>
      <c r="AK50" s="49"/>
    </row>
    <row r="51" spans="1:41" x14ac:dyDescent="0.25">
      <c r="A51" s="62" t="s">
        <v>57</v>
      </c>
      <c r="B51" s="45">
        <v>330</v>
      </c>
      <c r="C51" s="45">
        <v>350</v>
      </c>
      <c r="D51" s="45">
        <v>350</v>
      </c>
      <c r="E51" s="45">
        <v>300</v>
      </c>
      <c r="F51" s="45">
        <v>323</v>
      </c>
      <c r="G51" s="45">
        <v>350</v>
      </c>
      <c r="H51" s="45">
        <v>400</v>
      </c>
      <c r="I51" s="45">
        <v>450</v>
      </c>
      <c r="J51" s="45">
        <v>450</v>
      </c>
      <c r="K51" s="45">
        <v>425</v>
      </c>
      <c r="L51" s="45">
        <v>354</v>
      </c>
      <c r="M51" s="45">
        <v>325</v>
      </c>
      <c r="N51" s="45">
        <v>170</v>
      </c>
      <c r="O51" s="45">
        <v>160</v>
      </c>
      <c r="P51" s="63">
        <v>180</v>
      </c>
      <c r="Q51" s="63">
        <v>270</v>
      </c>
      <c r="R51" s="63">
        <v>305</v>
      </c>
      <c r="S51" s="63">
        <v>360</v>
      </c>
      <c r="T51" s="63">
        <v>380</v>
      </c>
      <c r="U51" s="45">
        <v>361.9</v>
      </c>
      <c r="V51" s="45">
        <v>361.9</v>
      </c>
      <c r="W51" s="45">
        <v>340</v>
      </c>
      <c r="X51" s="45">
        <v>330</v>
      </c>
      <c r="Y51" s="45">
        <v>330</v>
      </c>
      <c r="Z51" s="45">
        <v>330</v>
      </c>
      <c r="AA51" s="45">
        <v>340</v>
      </c>
      <c r="AB51" s="45">
        <v>390</v>
      </c>
      <c r="AC51" s="45">
        <v>398</v>
      </c>
      <c r="AD51" s="45">
        <v>398</v>
      </c>
      <c r="AE51" s="45">
        <v>398</v>
      </c>
      <c r="AF51" s="45">
        <v>398</v>
      </c>
      <c r="AG51" s="51">
        <v>456</v>
      </c>
      <c r="AH51" s="47">
        <f t="shared" si="2"/>
        <v>450</v>
      </c>
      <c r="AI51" s="48">
        <f t="shared" si="3"/>
        <v>160</v>
      </c>
      <c r="AK51" s="49"/>
    </row>
    <row r="52" spans="1:41" x14ac:dyDescent="0.25">
      <c r="A52" s="64" t="s">
        <v>58</v>
      </c>
      <c r="B52" s="65">
        <v>60</v>
      </c>
      <c r="C52" s="65">
        <v>60</v>
      </c>
      <c r="D52" s="65">
        <v>60</v>
      </c>
      <c r="E52" s="65">
        <v>60</v>
      </c>
      <c r="F52" s="65">
        <v>60</v>
      </c>
      <c r="G52" s="65">
        <v>60</v>
      </c>
      <c r="H52" s="65">
        <v>60</v>
      </c>
      <c r="I52" s="65">
        <v>60</v>
      </c>
      <c r="J52" s="65">
        <v>60</v>
      </c>
      <c r="K52" s="65">
        <v>60</v>
      </c>
      <c r="L52" s="65">
        <v>60</v>
      </c>
      <c r="M52" s="65">
        <v>60</v>
      </c>
      <c r="N52" s="65">
        <v>60</v>
      </c>
      <c r="O52" s="65">
        <v>60</v>
      </c>
      <c r="P52" s="65">
        <v>60</v>
      </c>
      <c r="Q52" s="65">
        <v>60</v>
      </c>
      <c r="R52" s="65">
        <v>60</v>
      </c>
      <c r="S52" s="65">
        <v>60</v>
      </c>
      <c r="T52" s="65">
        <v>60</v>
      </c>
      <c r="U52" s="65">
        <v>60</v>
      </c>
      <c r="V52" s="65">
        <v>60</v>
      </c>
      <c r="W52" s="65">
        <v>60</v>
      </c>
      <c r="X52" s="65">
        <v>60</v>
      </c>
      <c r="Y52" s="65">
        <v>60</v>
      </c>
      <c r="Z52" s="65">
        <v>60</v>
      </c>
      <c r="AA52" s="65">
        <v>60</v>
      </c>
      <c r="AB52" s="65">
        <v>60</v>
      </c>
      <c r="AC52" s="65">
        <v>60</v>
      </c>
      <c r="AD52" s="65">
        <v>60</v>
      </c>
      <c r="AE52" s="65">
        <v>60</v>
      </c>
      <c r="AF52" s="65">
        <v>60</v>
      </c>
      <c r="AG52" s="54">
        <v>60</v>
      </c>
      <c r="AH52" s="47">
        <f t="shared" si="2"/>
        <v>60</v>
      </c>
      <c r="AI52" s="48">
        <f t="shared" si="3"/>
        <v>60</v>
      </c>
      <c r="AK52" s="49"/>
    </row>
    <row r="53" spans="1:41" ht="15.75" thickBot="1" x14ac:dyDescent="0.3">
      <c r="A53" s="66" t="s">
        <v>59</v>
      </c>
      <c r="B53" s="67">
        <v>22</v>
      </c>
      <c r="C53" s="67">
        <v>22</v>
      </c>
      <c r="D53" s="67">
        <v>22</v>
      </c>
      <c r="E53" s="67">
        <v>22</v>
      </c>
      <c r="F53" s="67">
        <v>22</v>
      </c>
      <c r="G53" s="67">
        <v>22</v>
      </c>
      <c r="H53" s="67">
        <v>22</v>
      </c>
      <c r="I53" s="67">
        <v>22</v>
      </c>
      <c r="J53" s="67">
        <v>22</v>
      </c>
      <c r="K53" s="67">
        <v>22</v>
      </c>
      <c r="L53" s="67">
        <v>22</v>
      </c>
      <c r="M53" s="67"/>
      <c r="N53" s="67">
        <v>22</v>
      </c>
      <c r="O53" s="67">
        <v>22</v>
      </c>
      <c r="P53" s="67">
        <v>22</v>
      </c>
      <c r="Q53" s="67">
        <v>22.4</v>
      </c>
      <c r="R53" s="67">
        <v>22.4</v>
      </c>
      <c r="S53" s="67">
        <v>22.4</v>
      </c>
      <c r="T53" s="67">
        <v>22.4</v>
      </c>
      <c r="U53" s="67">
        <v>22.4</v>
      </c>
      <c r="V53" s="67">
        <v>22.4</v>
      </c>
      <c r="W53" s="67">
        <v>22.4</v>
      </c>
      <c r="X53" s="67">
        <v>22.4</v>
      </c>
      <c r="Y53" s="67">
        <v>22.4</v>
      </c>
      <c r="Z53" s="67">
        <v>22.4</v>
      </c>
      <c r="AA53" s="67">
        <v>22.4</v>
      </c>
      <c r="AB53" s="67">
        <v>22.4</v>
      </c>
      <c r="AC53" s="67">
        <v>22.4</v>
      </c>
      <c r="AD53" s="67">
        <v>22.4</v>
      </c>
      <c r="AE53" s="67">
        <v>22.4</v>
      </c>
      <c r="AF53" s="67">
        <v>22.4</v>
      </c>
      <c r="AG53" s="68">
        <v>22.1</v>
      </c>
      <c r="AH53" s="47">
        <f t="shared" si="2"/>
        <v>22.4</v>
      </c>
      <c r="AI53" s="48">
        <f t="shared" si="3"/>
        <v>22</v>
      </c>
      <c r="AK53" s="49"/>
    </row>
    <row r="54" spans="1:41" ht="15.75" thickBot="1" x14ac:dyDescent="0.3">
      <c r="A54" s="69" t="s">
        <v>60</v>
      </c>
      <c r="B54" s="60">
        <f>SUM(B51:B53)</f>
        <v>412</v>
      </c>
      <c r="C54" s="60">
        <f t="shared" ref="C54:AG54" si="6">SUM(C51:C53)</f>
        <v>432</v>
      </c>
      <c r="D54" s="60">
        <f t="shared" si="6"/>
        <v>432</v>
      </c>
      <c r="E54" s="60">
        <f>SUM(E51:E53)</f>
        <v>382</v>
      </c>
      <c r="F54" s="60">
        <f t="shared" si="6"/>
        <v>405</v>
      </c>
      <c r="G54" s="60">
        <f t="shared" si="6"/>
        <v>432</v>
      </c>
      <c r="H54" s="60">
        <f t="shared" si="6"/>
        <v>482</v>
      </c>
      <c r="I54" s="60">
        <f t="shared" si="6"/>
        <v>532</v>
      </c>
      <c r="J54" s="60">
        <f t="shared" si="6"/>
        <v>532</v>
      </c>
      <c r="K54" s="60">
        <f>SUM(K51:K53)</f>
        <v>507</v>
      </c>
      <c r="L54" s="60">
        <f>SUM(L51:L53)</f>
        <v>436</v>
      </c>
      <c r="M54" s="60">
        <f t="shared" si="6"/>
        <v>385</v>
      </c>
      <c r="N54" s="60">
        <f t="shared" si="6"/>
        <v>252</v>
      </c>
      <c r="O54" s="60">
        <f t="shared" si="6"/>
        <v>242</v>
      </c>
      <c r="P54" s="60">
        <f t="shared" si="6"/>
        <v>262</v>
      </c>
      <c r="Q54" s="60">
        <f t="shared" si="6"/>
        <v>352.4</v>
      </c>
      <c r="R54" s="60">
        <f t="shared" si="6"/>
        <v>387.4</v>
      </c>
      <c r="S54" s="60">
        <f>SUM(S51:S53)</f>
        <v>442.4</v>
      </c>
      <c r="T54" s="60">
        <f t="shared" si="6"/>
        <v>462.4</v>
      </c>
      <c r="U54" s="60">
        <f t="shared" si="6"/>
        <v>444.29999999999995</v>
      </c>
      <c r="V54" s="60">
        <f t="shared" si="6"/>
        <v>444.29999999999995</v>
      </c>
      <c r="W54" s="60">
        <f t="shared" si="6"/>
        <v>422.4</v>
      </c>
      <c r="X54" s="60">
        <f t="shared" si="6"/>
        <v>412.4</v>
      </c>
      <c r="Y54" s="60">
        <f t="shared" ref="Y54:Z54" si="7">SUM(Y51:Y53)</f>
        <v>412.4</v>
      </c>
      <c r="Z54" s="60">
        <f t="shared" si="7"/>
        <v>412.4</v>
      </c>
      <c r="AA54" s="60">
        <v>422.4</v>
      </c>
      <c r="AB54" s="60">
        <f t="shared" si="6"/>
        <v>472.4</v>
      </c>
      <c r="AC54" s="60">
        <f t="shared" si="6"/>
        <v>480.4</v>
      </c>
      <c r="AD54" s="60">
        <f t="shared" si="6"/>
        <v>480.4</v>
      </c>
      <c r="AE54" s="60">
        <f t="shared" si="6"/>
        <v>480.4</v>
      </c>
      <c r="AF54" s="60">
        <f t="shared" si="6"/>
        <v>480.4</v>
      </c>
      <c r="AG54" s="61">
        <f t="shared" si="6"/>
        <v>538.1</v>
      </c>
      <c r="AH54" s="47">
        <f t="shared" si="2"/>
        <v>532</v>
      </c>
      <c r="AI54" s="48">
        <f t="shared" si="3"/>
        <v>242</v>
      </c>
      <c r="AK54" s="49"/>
    </row>
    <row r="55" spans="1:41" x14ac:dyDescent="0.25">
      <c r="A55" s="44" t="s">
        <v>61</v>
      </c>
      <c r="B55" s="45">
        <v>143</v>
      </c>
      <c r="C55" s="45">
        <v>143</v>
      </c>
      <c r="D55" s="45">
        <v>143</v>
      </c>
      <c r="E55" s="45">
        <v>143</v>
      </c>
      <c r="F55" s="45">
        <v>143.9</v>
      </c>
      <c r="G55" s="45">
        <v>144</v>
      </c>
      <c r="H55" s="45">
        <v>144</v>
      </c>
      <c r="I55" s="45">
        <v>144</v>
      </c>
      <c r="J55" s="45">
        <v>144</v>
      </c>
      <c r="K55" s="45">
        <v>144</v>
      </c>
      <c r="L55" s="45">
        <v>144</v>
      </c>
      <c r="M55" s="45"/>
      <c r="N55" s="45">
        <v>144</v>
      </c>
      <c r="O55" s="45">
        <v>144</v>
      </c>
      <c r="P55" s="45">
        <v>144</v>
      </c>
      <c r="Q55" s="45">
        <v>145.80000000000001</v>
      </c>
      <c r="R55" s="45">
        <v>145.80000000000001</v>
      </c>
      <c r="S55" s="45">
        <v>145.80000000000001</v>
      </c>
      <c r="T55" s="45">
        <v>145.80000000000001</v>
      </c>
      <c r="U55" s="45">
        <v>138.69999999999999</v>
      </c>
      <c r="V55" s="45">
        <v>138.69999999999999</v>
      </c>
      <c r="W55" s="45">
        <v>142</v>
      </c>
      <c r="X55" s="45">
        <v>142</v>
      </c>
      <c r="Y55" s="45">
        <v>142</v>
      </c>
      <c r="Z55" s="45">
        <v>142</v>
      </c>
      <c r="AA55" s="45">
        <v>145.9</v>
      </c>
      <c r="AB55" s="45">
        <v>145.69999999999999</v>
      </c>
      <c r="AC55" s="45">
        <v>145.69999999999999</v>
      </c>
      <c r="AD55" s="45">
        <v>145.69999999999999</v>
      </c>
      <c r="AE55" s="45">
        <v>145.69999999999999</v>
      </c>
      <c r="AF55" s="45">
        <v>145.69999999999999</v>
      </c>
      <c r="AG55" s="51">
        <v>144</v>
      </c>
      <c r="AH55" s="47">
        <f t="shared" si="2"/>
        <v>145.9</v>
      </c>
      <c r="AI55" s="48">
        <f t="shared" si="3"/>
        <v>138.69999999999999</v>
      </c>
      <c r="AK55" s="49"/>
    </row>
    <row r="56" spans="1:41" x14ac:dyDescent="0.25">
      <c r="A56" s="53" t="s">
        <v>62</v>
      </c>
      <c r="B56" s="45">
        <v>70</v>
      </c>
      <c r="C56" s="45">
        <v>70</v>
      </c>
      <c r="D56" s="45">
        <v>70</v>
      </c>
      <c r="E56" s="45">
        <v>70</v>
      </c>
      <c r="F56" s="65">
        <v>71.5</v>
      </c>
      <c r="G56" s="65">
        <v>71.7</v>
      </c>
      <c r="H56" s="65">
        <v>71.7</v>
      </c>
      <c r="I56" s="65">
        <v>71.7</v>
      </c>
      <c r="J56" s="65">
        <v>71.7</v>
      </c>
      <c r="K56" s="65">
        <v>71.7</v>
      </c>
      <c r="L56" s="65">
        <v>71.7</v>
      </c>
      <c r="M56" s="65"/>
      <c r="N56" s="65">
        <v>71.7</v>
      </c>
      <c r="O56" s="65">
        <v>71.7</v>
      </c>
      <c r="P56" s="65">
        <v>71.7</v>
      </c>
      <c r="Q56" s="65">
        <v>72.2</v>
      </c>
      <c r="R56" s="65">
        <v>72.2</v>
      </c>
      <c r="S56" s="65">
        <v>72.2</v>
      </c>
      <c r="T56" s="65">
        <v>72.2</v>
      </c>
      <c r="U56" s="45">
        <v>70.400000000000006</v>
      </c>
      <c r="V56" s="45">
        <v>70.400000000000006</v>
      </c>
      <c r="W56" s="45">
        <v>70.400000000000006</v>
      </c>
      <c r="X56" s="45">
        <v>70.400000000000006</v>
      </c>
      <c r="Y56" s="45">
        <v>70.400000000000006</v>
      </c>
      <c r="Z56" s="45">
        <v>70.400000000000006</v>
      </c>
      <c r="AA56" s="45">
        <v>70</v>
      </c>
      <c r="AB56" s="45">
        <v>69.099999999999994</v>
      </c>
      <c r="AC56" s="45">
        <v>69.099999999999994</v>
      </c>
      <c r="AD56" s="45">
        <v>69.099999999999994</v>
      </c>
      <c r="AE56" s="45">
        <v>69.099999999999994</v>
      </c>
      <c r="AF56" s="45">
        <v>69.099999999999994</v>
      </c>
      <c r="AG56" s="54">
        <v>70</v>
      </c>
      <c r="AH56" s="47">
        <f t="shared" si="2"/>
        <v>72.2</v>
      </c>
      <c r="AI56" s="48">
        <f t="shared" si="3"/>
        <v>69.099999999999994</v>
      </c>
      <c r="AK56" s="49"/>
    </row>
    <row r="57" spans="1:41" x14ac:dyDescent="0.25">
      <c r="A57" s="53" t="s">
        <v>63</v>
      </c>
      <c r="B57" s="45">
        <v>69</v>
      </c>
      <c r="C57" s="45">
        <v>69</v>
      </c>
      <c r="D57" s="45">
        <v>69</v>
      </c>
      <c r="E57" s="45">
        <v>69</v>
      </c>
      <c r="F57" s="65">
        <v>69.5</v>
      </c>
      <c r="G57" s="65">
        <v>69</v>
      </c>
      <c r="H57" s="65">
        <v>69</v>
      </c>
      <c r="I57" s="65">
        <v>69</v>
      </c>
      <c r="J57" s="65">
        <v>69</v>
      </c>
      <c r="K57" s="65">
        <v>69</v>
      </c>
      <c r="L57" s="65">
        <v>69</v>
      </c>
      <c r="M57" s="65"/>
      <c r="N57" s="65">
        <v>69</v>
      </c>
      <c r="O57" s="65">
        <v>69</v>
      </c>
      <c r="P57" s="65">
        <v>69</v>
      </c>
      <c r="Q57" s="65">
        <v>69.900000000000006</v>
      </c>
      <c r="R57" s="65">
        <v>69.900000000000006</v>
      </c>
      <c r="S57" s="65">
        <v>69.900000000000006</v>
      </c>
      <c r="T57" s="65">
        <v>69.900000000000006</v>
      </c>
      <c r="U57" s="45">
        <v>61.8</v>
      </c>
      <c r="V57" s="45">
        <v>61.8</v>
      </c>
      <c r="W57" s="45">
        <v>61.8</v>
      </c>
      <c r="X57" s="45">
        <v>61.8</v>
      </c>
      <c r="Y57" s="45">
        <v>61.8</v>
      </c>
      <c r="Z57" s="45">
        <v>61.8</v>
      </c>
      <c r="AA57" s="45">
        <v>70</v>
      </c>
      <c r="AB57" s="45">
        <v>60.4</v>
      </c>
      <c r="AC57" s="45">
        <v>60.4</v>
      </c>
      <c r="AD57" s="45">
        <v>60.4</v>
      </c>
      <c r="AE57" s="45">
        <v>64</v>
      </c>
      <c r="AF57" s="45">
        <v>64</v>
      </c>
      <c r="AG57" s="54">
        <v>69</v>
      </c>
      <c r="AH57" s="47">
        <f t="shared" si="2"/>
        <v>70</v>
      </c>
      <c r="AI57" s="48">
        <f t="shared" si="3"/>
        <v>60.4</v>
      </c>
      <c r="AK57" s="49"/>
    </row>
    <row r="58" spans="1:41" x14ac:dyDescent="0.25">
      <c r="A58" s="53" t="s">
        <v>64</v>
      </c>
      <c r="B58" s="45">
        <v>60.4</v>
      </c>
      <c r="C58" s="45">
        <v>60.4</v>
      </c>
      <c r="D58" s="45">
        <v>60.4</v>
      </c>
      <c r="E58" s="45">
        <v>60.4</v>
      </c>
      <c r="F58" s="56">
        <v>60.4</v>
      </c>
      <c r="G58" s="56">
        <v>60.2</v>
      </c>
      <c r="H58" s="56">
        <v>60.2</v>
      </c>
      <c r="I58" s="56">
        <v>60.2</v>
      </c>
      <c r="J58" s="56">
        <v>60.2</v>
      </c>
      <c r="K58" s="56">
        <v>60.2</v>
      </c>
      <c r="L58" s="56">
        <v>60.2</v>
      </c>
      <c r="M58" s="56"/>
      <c r="N58" s="56">
        <v>60.2</v>
      </c>
      <c r="O58" s="56">
        <v>60.2</v>
      </c>
      <c r="P58" s="56">
        <v>60.2</v>
      </c>
      <c r="Q58" s="65">
        <v>60.4</v>
      </c>
      <c r="R58" s="65">
        <v>60.4</v>
      </c>
      <c r="S58" s="65">
        <v>60.4</v>
      </c>
      <c r="T58" s="65">
        <v>60.4</v>
      </c>
      <c r="U58" s="45">
        <v>59.5</v>
      </c>
      <c r="V58" s="45">
        <v>59.5</v>
      </c>
      <c r="W58" s="45">
        <v>59.5</v>
      </c>
      <c r="X58" s="45">
        <v>59.5</v>
      </c>
      <c r="Y58" s="45">
        <v>59.5</v>
      </c>
      <c r="Z58" s="45">
        <v>59.5</v>
      </c>
      <c r="AA58" s="45">
        <v>60.2</v>
      </c>
      <c r="AB58" s="45">
        <v>60.2</v>
      </c>
      <c r="AC58" s="45">
        <v>60.2</v>
      </c>
      <c r="AD58" s="45">
        <v>60.2</v>
      </c>
      <c r="AE58" s="45">
        <v>60.2</v>
      </c>
      <c r="AF58" s="45">
        <v>60.2</v>
      </c>
      <c r="AG58" s="54">
        <v>60</v>
      </c>
      <c r="AH58" s="47">
        <f t="shared" si="2"/>
        <v>60.4</v>
      </c>
      <c r="AI58" s="48">
        <f t="shared" si="3"/>
        <v>59.5</v>
      </c>
      <c r="AK58" s="49"/>
    </row>
    <row r="59" spans="1:41" x14ac:dyDescent="0.25">
      <c r="A59" s="53" t="s">
        <v>65</v>
      </c>
      <c r="B59" s="45">
        <v>20</v>
      </c>
      <c r="C59" s="45">
        <v>20</v>
      </c>
      <c r="D59" s="45">
        <v>20</v>
      </c>
      <c r="E59" s="45">
        <v>20</v>
      </c>
      <c r="F59" s="45">
        <v>20</v>
      </c>
      <c r="G59" s="45">
        <v>20</v>
      </c>
      <c r="H59" s="45">
        <v>20</v>
      </c>
      <c r="I59" s="45">
        <v>20</v>
      </c>
      <c r="J59" s="45">
        <v>20</v>
      </c>
      <c r="K59" s="45">
        <v>20</v>
      </c>
      <c r="L59" s="45">
        <v>15</v>
      </c>
      <c r="M59" s="45"/>
      <c r="N59" s="45">
        <v>22</v>
      </c>
      <c r="O59" s="45">
        <v>25</v>
      </c>
      <c r="P59" s="45">
        <v>25</v>
      </c>
      <c r="Q59" s="65">
        <v>30</v>
      </c>
      <c r="R59" s="65">
        <v>30</v>
      </c>
      <c r="S59" s="65">
        <v>30</v>
      </c>
      <c r="T59" s="65">
        <v>30</v>
      </c>
      <c r="U59" s="45">
        <v>15</v>
      </c>
      <c r="V59" s="45">
        <v>15</v>
      </c>
      <c r="W59" s="45">
        <v>15</v>
      </c>
      <c r="X59" s="45">
        <v>15</v>
      </c>
      <c r="Y59" s="45">
        <v>15</v>
      </c>
      <c r="Z59" s="45">
        <v>15</v>
      </c>
      <c r="AA59" s="45">
        <v>10</v>
      </c>
      <c r="AB59" s="45">
        <v>10</v>
      </c>
      <c r="AC59" s="45">
        <v>10</v>
      </c>
      <c r="AD59" s="45">
        <v>10</v>
      </c>
      <c r="AE59" s="45">
        <v>10</v>
      </c>
      <c r="AF59" s="45">
        <v>10</v>
      </c>
      <c r="AG59" s="54">
        <v>30</v>
      </c>
      <c r="AH59" s="47">
        <f t="shared" si="2"/>
        <v>30</v>
      </c>
      <c r="AI59" s="48">
        <f t="shared" si="3"/>
        <v>10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4.8</v>
      </c>
      <c r="M60" s="65"/>
      <c r="N60" s="65">
        <v>4.8</v>
      </c>
      <c r="O60" s="65">
        <v>4.8</v>
      </c>
      <c r="P60" s="65">
        <v>4.8</v>
      </c>
      <c r="Q60" s="65">
        <v>4.8</v>
      </c>
      <c r="R60" s="65">
        <v>5.9</v>
      </c>
      <c r="S60" s="65">
        <v>5.9</v>
      </c>
      <c r="T60" s="65">
        <v>5.9</v>
      </c>
      <c r="U60" s="45">
        <v>6.8</v>
      </c>
      <c r="V60" s="45">
        <v>6.8</v>
      </c>
      <c r="W60" s="45">
        <v>6.8</v>
      </c>
      <c r="X60" s="45">
        <v>6.8</v>
      </c>
      <c r="Y60" s="45">
        <v>6.8</v>
      </c>
      <c r="Z60" s="45">
        <v>6.8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6.8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15.5</v>
      </c>
      <c r="C61" s="65">
        <v>15.5</v>
      </c>
      <c r="D61" s="65">
        <v>15.5</v>
      </c>
      <c r="E61" s="65">
        <v>15.5</v>
      </c>
      <c r="F61" s="65">
        <v>15.5</v>
      </c>
      <c r="G61" s="65">
        <v>15.5</v>
      </c>
      <c r="H61" s="65">
        <v>15.5</v>
      </c>
      <c r="I61" s="65">
        <v>15.5</v>
      </c>
      <c r="J61" s="65">
        <v>15.5</v>
      </c>
      <c r="K61" s="65">
        <v>15.5</v>
      </c>
      <c r="L61" s="65">
        <v>15.5</v>
      </c>
      <c r="M61" s="65"/>
      <c r="N61" s="65">
        <v>15.5</v>
      </c>
      <c r="O61" s="65">
        <v>15.5</v>
      </c>
      <c r="P61" s="65">
        <v>15.5</v>
      </c>
      <c r="Q61" s="65">
        <v>17</v>
      </c>
      <c r="R61" s="65">
        <v>17</v>
      </c>
      <c r="S61" s="65">
        <v>17</v>
      </c>
      <c r="T61" s="65">
        <v>17</v>
      </c>
      <c r="U61" s="65">
        <v>17</v>
      </c>
      <c r="V61" s="65">
        <v>17</v>
      </c>
      <c r="W61" s="65">
        <v>17</v>
      </c>
      <c r="X61" s="65">
        <v>17</v>
      </c>
      <c r="Y61" s="65">
        <v>17</v>
      </c>
      <c r="Z61" s="65">
        <v>17</v>
      </c>
      <c r="AA61" s="65">
        <v>17</v>
      </c>
      <c r="AB61" s="65">
        <v>17</v>
      </c>
      <c r="AC61" s="65">
        <v>17</v>
      </c>
      <c r="AD61" s="65">
        <v>17</v>
      </c>
      <c r="AE61" s="65">
        <v>17</v>
      </c>
      <c r="AF61" s="65">
        <v>17</v>
      </c>
      <c r="AG61" s="54">
        <v>24</v>
      </c>
      <c r="AH61" s="47">
        <f t="shared" si="2"/>
        <v>17</v>
      </c>
      <c r="AI61" s="48">
        <f t="shared" si="3"/>
        <v>15.5</v>
      </c>
      <c r="AK61" s="49"/>
    </row>
    <row r="62" spans="1:41" x14ac:dyDescent="0.25">
      <c r="A62" s="53" t="s">
        <v>68</v>
      </c>
      <c r="B62" s="65">
        <v>1.4</v>
      </c>
      <c r="C62" s="65">
        <v>1.4</v>
      </c>
      <c r="D62" s="65">
        <v>1.4</v>
      </c>
      <c r="E62" s="65">
        <v>1.4</v>
      </c>
      <c r="F62" s="65">
        <v>1.4</v>
      </c>
      <c r="G62" s="65">
        <v>1.4</v>
      </c>
      <c r="H62" s="65">
        <v>1.4</v>
      </c>
      <c r="I62" s="65">
        <v>1.4</v>
      </c>
      <c r="J62" s="65">
        <v>1.4</v>
      </c>
      <c r="K62" s="65">
        <v>1.4</v>
      </c>
      <c r="L62" s="65">
        <v>1.4</v>
      </c>
      <c r="M62" s="65"/>
      <c r="N62" s="65">
        <v>1.4</v>
      </c>
      <c r="O62" s="65">
        <v>1.4</v>
      </c>
      <c r="P62" s="65">
        <v>1.4</v>
      </c>
      <c r="Q62" s="65">
        <v>1.4</v>
      </c>
      <c r="R62" s="65">
        <v>1.4</v>
      </c>
      <c r="S62" s="65">
        <v>1.4</v>
      </c>
      <c r="T62" s="65">
        <v>1.4</v>
      </c>
      <c r="U62" s="65">
        <v>1.4</v>
      </c>
      <c r="V62" s="65">
        <v>1.4</v>
      </c>
      <c r="W62" s="65">
        <v>1.4</v>
      </c>
      <c r="X62" s="65">
        <v>1.4</v>
      </c>
      <c r="Y62" s="65">
        <v>1.4</v>
      </c>
      <c r="Z62" s="65">
        <v>1.4</v>
      </c>
      <c r="AA62" s="65">
        <v>1.4</v>
      </c>
      <c r="AB62" s="65">
        <v>1.4</v>
      </c>
      <c r="AC62" s="65">
        <v>1.4</v>
      </c>
      <c r="AD62" s="65">
        <v>1.4</v>
      </c>
      <c r="AE62" s="65">
        <v>1.4</v>
      </c>
      <c r="AF62" s="65">
        <v>1.4</v>
      </c>
      <c r="AG62" s="54">
        <v>15</v>
      </c>
      <c r="AH62" s="47">
        <f t="shared" si="2"/>
        <v>1.4</v>
      </c>
      <c r="AI62" s="48">
        <f t="shared" si="3"/>
        <v>1.4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12.4</v>
      </c>
      <c r="C63" s="65">
        <v>12.4</v>
      </c>
      <c r="D63" s="65">
        <v>12.4</v>
      </c>
      <c r="E63" s="65">
        <v>12.4</v>
      </c>
      <c r="F63" s="65">
        <v>12.4</v>
      </c>
      <c r="G63" s="65">
        <v>12.4</v>
      </c>
      <c r="H63" s="65">
        <v>12.4</v>
      </c>
      <c r="I63" s="65">
        <v>12.4</v>
      </c>
      <c r="J63" s="65">
        <v>12.4</v>
      </c>
      <c r="K63" s="65">
        <v>12.4</v>
      </c>
      <c r="L63" s="65">
        <v>12.4</v>
      </c>
      <c r="M63" s="65"/>
      <c r="N63" s="65">
        <v>12.4</v>
      </c>
      <c r="O63" s="65">
        <v>12.4</v>
      </c>
      <c r="P63" s="65">
        <v>12.4</v>
      </c>
      <c r="Q63" s="65">
        <v>12.4</v>
      </c>
      <c r="R63" s="65">
        <v>12.4</v>
      </c>
      <c r="S63" s="65">
        <v>12.4</v>
      </c>
      <c r="T63" s="65">
        <v>12.4</v>
      </c>
      <c r="U63" s="65">
        <v>10.9</v>
      </c>
      <c r="V63" s="65">
        <v>10.9</v>
      </c>
      <c r="W63" s="65">
        <v>10.9</v>
      </c>
      <c r="X63" s="65">
        <v>10.9</v>
      </c>
      <c r="Y63" s="65">
        <v>10.9</v>
      </c>
      <c r="Z63" s="65">
        <v>10.9</v>
      </c>
      <c r="AA63" s="65">
        <v>11.6</v>
      </c>
      <c r="AB63" s="65">
        <v>11.6</v>
      </c>
      <c r="AC63" s="65">
        <v>11.6</v>
      </c>
      <c r="AD63" s="65">
        <v>11.6</v>
      </c>
      <c r="AE63" s="65">
        <v>11.6</v>
      </c>
      <c r="AF63" s="65">
        <v>11.6</v>
      </c>
      <c r="AG63" s="54">
        <v>14.1</v>
      </c>
      <c r="AH63" s="47">
        <f t="shared" si="2"/>
        <v>12.4</v>
      </c>
      <c r="AI63" s="48">
        <f t="shared" si="3"/>
        <v>10.9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13.6</v>
      </c>
      <c r="C64" s="65">
        <v>13.6</v>
      </c>
      <c r="D64" s="65">
        <v>13.6</v>
      </c>
      <c r="E64" s="65">
        <v>13.6</v>
      </c>
      <c r="F64" s="65">
        <v>13.6</v>
      </c>
      <c r="G64" s="65">
        <v>13.6</v>
      </c>
      <c r="H64" s="65">
        <v>13.6</v>
      </c>
      <c r="I64" s="65">
        <v>13.6</v>
      </c>
      <c r="J64" s="65">
        <v>13.6</v>
      </c>
      <c r="K64" s="65">
        <v>13.6</v>
      </c>
      <c r="L64" s="65">
        <v>13.6</v>
      </c>
      <c r="M64" s="65"/>
      <c r="N64" s="65">
        <v>13.6</v>
      </c>
      <c r="O64" s="65">
        <v>13.6</v>
      </c>
      <c r="P64" s="65">
        <v>13.6</v>
      </c>
      <c r="Q64" s="65">
        <v>13.6</v>
      </c>
      <c r="R64" s="65">
        <v>14</v>
      </c>
      <c r="S64" s="65">
        <v>14</v>
      </c>
      <c r="T64" s="65">
        <v>14</v>
      </c>
      <c r="U64" s="65">
        <v>14</v>
      </c>
      <c r="V64" s="65">
        <v>14</v>
      </c>
      <c r="W64" s="65">
        <v>14</v>
      </c>
      <c r="X64" s="65">
        <v>14</v>
      </c>
      <c r="Y64" s="65">
        <v>14</v>
      </c>
      <c r="Z64" s="65">
        <v>14</v>
      </c>
      <c r="AA64" s="65">
        <v>14.1</v>
      </c>
      <c r="AB64" s="65">
        <v>14.1</v>
      </c>
      <c r="AC64" s="65">
        <v>14.1</v>
      </c>
      <c r="AD64" s="65">
        <v>14.1</v>
      </c>
      <c r="AE64" s="65">
        <v>14.1</v>
      </c>
      <c r="AF64" s="65">
        <v>14.1</v>
      </c>
      <c r="AG64" s="54">
        <v>14</v>
      </c>
      <c r="AH64" s="47">
        <f t="shared" si="2"/>
        <v>14.1</v>
      </c>
      <c r="AI64" s="48">
        <f t="shared" si="3"/>
        <v>13.6</v>
      </c>
      <c r="AK64" s="49"/>
    </row>
    <row r="65" spans="1:40" x14ac:dyDescent="0.25">
      <c r="A65" s="53" t="s">
        <v>71</v>
      </c>
      <c r="B65" s="65">
        <v>5.85</v>
      </c>
      <c r="C65" s="65">
        <v>5.85</v>
      </c>
      <c r="D65" s="65">
        <v>5.85</v>
      </c>
      <c r="E65" s="65">
        <v>5.85</v>
      </c>
      <c r="F65" s="65">
        <v>5.85</v>
      </c>
      <c r="G65" s="65">
        <v>5.85</v>
      </c>
      <c r="H65" s="65">
        <v>5.85</v>
      </c>
      <c r="I65" s="65">
        <v>5.85</v>
      </c>
      <c r="J65" s="65">
        <v>5.85</v>
      </c>
      <c r="K65" s="65">
        <v>5.85</v>
      </c>
      <c r="L65" s="65">
        <v>5.85</v>
      </c>
      <c r="M65" s="65"/>
      <c r="N65" s="65">
        <v>5.85</v>
      </c>
      <c r="O65" s="65">
        <v>5.85</v>
      </c>
      <c r="P65" s="65">
        <v>5.85</v>
      </c>
      <c r="Q65" s="65">
        <v>5.85</v>
      </c>
      <c r="R65" s="65">
        <v>5.85</v>
      </c>
      <c r="S65" s="65">
        <v>5.85</v>
      </c>
      <c r="T65" s="65">
        <v>5.85</v>
      </c>
      <c r="U65" s="65">
        <v>5.6</v>
      </c>
      <c r="V65" s="65">
        <v>5.6</v>
      </c>
      <c r="W65" s="65">
        <v>5.6</v>
      </c>
      <c r="X65" s="65">
        <v>5.6</v>
      </c>
      <c r="Y65" s="65">
        <v>5.6</v>
      </c>
      <c r="Z65" s="65">
        <v>5.6</v>
      </c>
      <c r="AA65" s="65">
        <v>5.6</v>
      </c>
      <c r="AB65" s="65">
        <v>5.6</v>
      </c>
      <c r="AC65" s="65">
        <v>5.6</v>
      </c>
      <c r="AD65" s="65">
        <v>5.6</v>
      </c>
      <c r="AE65" s="65">
        <v>5.6</v>
      </c>
      <c r="AF65" s="65">
        <v>5.6</v>
      </c>
      <c r="AG65" s="54">
        <v>10.050000000000001</v>
      </c>
      <c r="AH65" s="47">
        <f t="shared" si="2"/>
        <v>5.85</v>
      </c>
      <c r="AI65" s="48">
        <f t="shared" si="3"/>
        <v>5.6</v>
      </c>
      <c r="AK65" s="49"/>
    </row>
    <row r="66" spans="1:40" x14ac:dyDescent="0.25">
      <c r="A66" s="53" t="s">
        <v>72</v>
      </c>
      <c r="B66" s="65">
        <v>2.2000000000000002</v>
      </c>
      <c r="C66" s="65">
        <v>2.2000000000000002</v>
      </c>
      <c r="D66" s="65">
        <v>2.2000000000000002</v>
      </c>
      <c r="E66" s="65">
        <v>2.2000000000000002</v>
      </c>
      <c r="F66" s="65">
        <v>2.2000000000000002</v>
      </c>
      <c r="G66" s="65">
        <v>2.2000000000000002</v>
      </c>
      <c r="H66" s="65">
        <v>2.2000000000000002</v>
      </c>
      <c r="I66" s="65">
        <v>2.2000000000000002</v>
      </c>
      <c r="J66" s="65">
        <v>2.2000000000000002</v>
      </c>
      <c r="K66" s="65">
        <v>2.2000000000000002</v>
      </c>
      <c r="L66" s="65">
        <v>2.2000000000000002</v>
      </c>
      <c r="M66" s="65"/>
      <c r="N66" s="65">
        <v>2.2000000000000002</v>
      </c>
      <c r="O66" s="65">
        <v>2.2000000000000002</v>
      </c>
      <c r="P66" s="65">
        <v>2.2000000000000002</v>
      </c>
      <c r="Q66" s="65">
        <v>2.2000000000000002</v>
      </c>
      <c r="R66" s="65">
        <v>2.2000000000000002</v>
      </c>
      <c r="S66" s="65">
        <v>2.2000000000000002</v>
      </c>
      <c r="T66" s="65">
        <v>2.2000000000000002</v>
      </c>
      <c r="U66" s="65">
        <v>2.2000000000000002</v>
      </c>
      <c r="V66" s="65">
        <v>2.2000000000000002</v>
      </c>
      <c r="W66" s="65">
        <v>2.2000000000000002</v>
      </c>
      <c r="X66" s="65">
        <v>2.2000000000000002</v>
      </c>
      <c r="Y66" s="65">
        <v>2.2000000000000002</v>
      </c>
      <c r="Z66" s="65">
        <v>2.2000000000000002</v>
      </c>
      <c r="AA66" s="65">
        <v>2.2000000000000002</v>
      </c>
      <c r="AB66" s="65">
        <v>2.2000000000000002</v>
      </c>
      <c r="AC66" s="65">
        <v>2.2000000000000002</v>
      </c>
      <c r="AD66" s="65">
        <v>2.2000000000000002</v>
      </c>
      <c r="AE66" s="65">
        <v>2.2000000000000002</v>
      </c>
      <c r="AF66" s="65">
        <v>2.2000000000000002</v>
      </c>
      <c r="AG66" s="54">
        <v>6.2</v>
      </c>
      <c r="AH66" s="47">
        <f t="shared" si="2"/>
        <v>2.2000000000000002</v>
      </c>
      <c r="AI66" s="48">
        <f t="shared" si="3"/>
        <v>2.2000000000000002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>SUM(B55:B67)</f>
        <v>416.89</v>
      </c>
      <c r="C68" s="60">
        <f t="shared" ref="C68:AG68" si="8">SUM(C55:C67)</f>
        <v>416.89</v>
      </c>
      <c r="D68" s="60">
        <f t="shared" si="8"/>
        <v>416.89</v>
      </c>
      <c r="E68" s="60">
        <f>SUM(E55:E67)</f>
        <v>416.89</v>
      </c>
      <c r="F68" s="60">
        <f t="shared" si="8"/>
        <v>419.78999999999996</v>
      </c>
      <c r="G68" s="60">
        <f t="shared" si="8"/>
        <v>419.39</v>
      </c>
      <c r="H68" s="60">
        <f t="shared" si="8"/>
        <v>419.39</v>
      </c>
      <c r="I68" s="60">
        <f t="shared" si="8"/>
        <v>419.39</v>
      </c>
      <c r="J68" s="60">
        <f t="shared" si="8"/>
        <v>419.39</v>
      </c>
      <c r="K68" s="60">
        <f>SUM(K55:K67)</f>
        <v>419.39</v>
      </c>
      <c r="L68" s="60">
        <f t="shared" si="8"/>
        <v>419.19</v>
      </c>
      <c r="M68" s="60">
        <f t="shared" si="8"/>
        <v>3.54</v>
      </c>
      <c r="N68" s="60">
        <f t="shared" si="8"/>
        <v>426.19</v>
      </c>
      <c r="O68" s="60">
        <f t="shared" si="8"/>
        <v>429.19</v>
      </c>
      <c r="P68" s="60">
        <f t="shared" si="8"/>
        <v>429.19</v>
      </c>
      <c r="Q68" s="60">
        <f t="shared" si="8"/>
        <v>439.09</v>
      </c>
      <c r="R68" s="60">
        <f t="shared" si="8"/>
        <v>440.58999999999992</v>
      </c>
      <c r="S68" s="60">
        <f>SUM(S55:S67)</f>
        <v>440.58999999999992</v>
      </c>
      <c r="T68" s="60">
        <f t="shared" si="8"/>
        <v>440.58999999999992</v>
      </c>
      <c r="U68" s="60">
        <f t="shared" si="8"/>
        <v>406.84</v>
      </c>
      <c r="V68" s="60">
        <f t="shared" si="8"/>
        <v>406.84</v>
      </c>
      <c r="W68" s="60">
        <f t="shared" si="8"/>
        <v>410.14</v>
      </c>
      <c r="X68" s="60">
        <f t="shared" si="8"/>
        <v>410.14</v>
      </c>
      <c r="Y68" s="60">
        <f t="shared" ref="Y68:Z68" si="9">SUM(Y55:Y67)</f>
        <v>410.14</v>
      </c>
      <c r="Z68" s="60">
        <f t="shared" si="9"/>
        <v>410.14</v>
      </c>
      <c r="AA68" s="60">
        <v>411.54</v>
      </c>
      <c r="AB68" s="60">
        <f t="shared" si="8"/>
        <v>400.84000000000003</v>
      </c>
      <c r="AC68" s="60">
        <f t="shared" si="8"/>
        <v>400.84000000000003</v>
      </c>
      <c r="AD68" s="60">
        <f t="shared" si="8"/>
        <v>400.84000000000003</v>
      </c>
      <c r="AE68" s="60">
        <f t="shared" si="8"/>
        <v>404.44</v>
      </c>
      <c r="AF68" s="60">
        <f t="shared" si="8"/>
        <v>404.44</v>
      </c>
      <c r="AG68" s="61">
        <f t="shared" si="8"/>
        <v>489.91</v>
      </c>
      <c r="AH68" s="47">
        <f t="shared" si="2"/>
        <v>440.58999999999992</v>
      </c>
      <c r="AI68" s="48">
        <f t="shared" si="3"/>
        <v>3.54</v>
      </c>
      <c r="AK68" s="49"/>
    </row>
    <row r="69" spans="1:40" x14ac:dyDescent="0.25">
      <c r="A69" s="44" t="s">
        <v>75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14</v>
      </c>
      <c r="Q69" s="45">
        <v>20</v>
      </c>
      <c r="R69" s="45">
        <v>30</v>
      </c>
      <c r="S69" s="45">
        <v>28</v>
      </c>
      <c r="T69" s="45">
        <v>28</v>
      </c>
      <c r="U69" s="45">
        <v>11.2</v>
      </c>
      <c r="V69" s="45">
        <v>10</v>
      </c>
      <c r="W69" s="45">
        <v>0</v>
      </c>
      <c r="X69" s="45">
        <v>0</v>
      </c>
      <c r="Y69" s="45">
        <v>0</v>
      </c>
      <c r="Z69" s="45">
        <v>0</v>
      </c>
      <c r="AA69" s="45">
        <v>10</v>
      </c>
      <c r="AB69" s="45">
        <v>10</v>
      </c>
      <c r="AC69" s="45">
        <v>14</v>
      </c>
      <c r="AD69" s="45">
        <v>14</v>
      </c>
      <c r="AE69" s="45">
        <v>14</v>
      </c>
      <c r="AF69" s="45">
        <v>14</v>
      </c>
      <c r="AG69" s="51">
        <v>60</v>
      </c>
      <c r="AH69" s="47">
        <f t="shared" si="2"/>
        <v>30</v>
      </c>
      <c r="AI69" s="48">
        <f t="shared" si="3"/>
        <v>0</v>
      </c>
      <c r="AK69" s="49"/>
    </row>
    <row r="70" spans="1:40" x14ac:dyDescent="0.25">
      <c r="A70" s="53" t="s">
        <v>76</v>
      </c>
      <c r="B70" s="65">
        <v>0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5</v>
      </c>
      <c r="Q70" s="65">
        <v>10</v>
      </c>
      <c r="R70" s="65">
        <v>15.2</v>
      </c>
      <c r="S70" s="65">
        <v>15.2</v>
      </c>
      <c r="T70" s="65">
        <v>15.2</v>
      </c>
      <c r="U70" s="65">
        <v>4.8</v>
      </c>
      <c r="V70" s="65">
        <v>4.8</v>
      </c>
      <c r="W70" s="65">
        <v>0</v>
      </c>
      <c r="X70" s="65">
        <v>0</v>
      </c>
      <c r="Y70" s="65">
        <v>0</v>
      </c>
      <c r="Z70" s="65">
        <v>0</v>
      </c>
      <c r="AA70" s="65">
        <v>5.8</v>
      </c>
      <c r="AB70" s="65">
        <v>4.5</v>
      </c>
      <c r="AC70" s="65">
        <v>6.5</v>
      </c>
      <c r="AD70" s="65">
        <v>6.5</v>
      </c>
      <c r="AE70" s="65">
        <v>6.5</v>
      </c>
      <c r="AF70" s="65">
        <v>4.0999999999999996</v>
      </c>
      <c r="AG70" s="54">
        <v>32</v>
      </c>
      <c r="AH70" s="47">
        <f t="shared" si="2"/>
        <v>15.2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67">
        <v>0</v>
      </c>
      <c r="C71" s="67">
        <v>0</v>
      </c>
      <c r="D71" s="67">
        <v>0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0</v>
      </c>
      <c r="M71" s="67">
        <v>0</v>
      </c>
      <c r="N71" s="67">
        <v>0</v>
      </c>
      <c r="O71" s="67">
        <v>0</v>
      </c>
      <c r="P71" s="67">
        <v>3.2</v>
      </c>
      <c r="Q71" s="67">
        <v>3.6</v>
      </c>
      <c r="R71" s="67">
        <v>5.5</v>
      </c>
      <c r="S71" s="67">
        <v>5.5</v>
      </c>
      <c r="T71" s="67">
        <v>5.5</v>
      </c>
      <c r="U71" s="67">
        <v>1.8</v>
      </c>
      <c r="V71" s="67">
        <v>1.8</v>
      </c>
      <c r="W71" s="67">
        <v>0</v>
      </c>
      <c r="X71" s="67">
        <v>0</v>
      </c>
      <c r="Y71" s="67">
        <v>0</v>
      </c>
      <c r="Z71" s="67">
        <v>0</v>
      </c>
      <c r="AA71" s="67">
        <v>2.1</v>
      </c>
      <c r="AB71" s="67">
        <v>1.6</v>
      </c>
      <c r="AC71" s="67">
        <v>2.4</v>
      </c>
      <c r="AD71" s="67">
        <v>2.4</v>
      </c>
      <c r="AE71" s="67">
        <v>2.4</v>
      </c>
      <c r="AF71" s="67">
        <v>1.5</v>
      </c>
      <c r="AG71" s="68">
        <v>14</v>
      </c>
      <c r="AH71" s="47">
        <f t="shared" si="2"/>
        <v>5.5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0">M69+M70+M71</f>
        <v>0</v>
      </c>
      <c r="N72" s="60">
        <f t="shared" si="10"/>
        <v>0</v>
      </c>
      <c r="O72" s="60">
        <f t="shared" si="10"/>
        <v>0</v>
      </c>
      <c r="P72" s="60">
        <f t="shared" si="10"/>
        <v>22.2</v>
      </c>
      <c r="Q72" s="60">
        <f t="shared" si="10"/>
        <v>33.6</v>
      </c>
      <c r="R72" s="60">
        <f t="shared" si="10"/>
        <v>50.7</v>
      </c>
      <c r="S72" s="60">
        <f>S69+S70+S71</f>
        <v>48.7</v>
      </c>
      <c r="T72" s="60">
        <f t="shared" si="10"/>
        <v>48.7</v>
      </c>
      <c r="U72" s="60">
        <f t="shared" si="10"/>
        <v>17.8</v>
      </c>
      <c r="V72" s="60">
        <f t="shared" si="10"/>
        <v>16.600000000000001</v>
      </c>
      <c r="W72" s="60">
        <f t="shared" si="10"/>
        <v>0</v>
      </c>
      <c r="X72" s="60">
        <f t="shared" si="10"/>
        <v>0</v>
      </c>
      <c r="Y72" s="60">
        <f t="shared" ref="Y72:Z72" si="11">Y69+Y70+Y71</f>
        <v>0</v>
      </c>
      <c r="Z72" s="60">
        <f t="shared" si="11"/>
        <v>0</v>
      </c>
      <c r="AA72" s="60">
        <v>17.900000000000002</v>
      </c>
      <c r="AB72" s="60">
        <f t="shared" si="10"/>
        <v>16.100000000000001</v>
      </c>
      <c r="AC72" s="60">
        <f t="shared" si="10"/>
        <v>22.9</v>
      </c>
      <c r="AD72" s="60">
        <f t="shared" si="10"/>
        <v>22.9</v>
      </c>
      <c r="AE72" s="60">
        <f t="shared" si="10"/>
        <v>22.9</v>
      </c>
      <c r="AF72" s="60">
        <f t="shared" si="10"/>
        <v>19.600000000000001</v>
      </c>
      <c r="AG72" s="61">
        <f>SUM(AG69:AG71)</f>
        <v>106</v>
      </c>
      <c r="AH72" s="47">
        <f t="shared" si="2"/>
        <v>50.7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44.9</v>
      </c>
      <c r="C73" s="45">
        <v>49.4</v>
      </c>
      <c r="D73" s="45">
        <v>45.3</v>
      </c>
      <c r="E73" s="45">
        <v>41.2</v>
      </c>
      <c r="F73" s="45">
        <v>38.9</v>
      </c>
      <c r="G73" s="45">
        <v>33</v>
      </c>
      <c r="H73" s="45">
        <v>36</v>
      </c>
      <c r="I73" s="45">
        <v>29</v>
      </c>
      <c r="J73" s="45">
        <v>28</v>
      </c>
      <c r="K73" s="45">
        <v>28</v>
      </c>
      <c r="L73" s="45">
        <v>35</v>
      </c>
      <c r="M73" s="45">
        <v>35</v>
      </c>
      <c r="N73" s="45">
        <v>35</v>
      </c>
      <c r="O73" s="45">
        <v>35</v>
      </c>
      <c r="P73" s="45">
        <v>35</v>
      </c>
      <c r="Q73" s="45">
        <v>39.799999999999997</v>
      </c>
      <c r="R73" s="45">
        <v>60</v>
      </c>
      <c r="S73" s="45">
        <v>71</v>
      </c>
      <c r="T73" s="45">
        <v>70.900000000000006</v>
      </c>
      <c r="U73" s="45">
        <v>68.3</v>
      </c>
      <c r="V73" s="45">
        <v>68.3</v>
      </c>
      <c r="W73" s="45">
        <v>58.5</v>
      </c>
      <c r="X73" s="45">
        <v>59.7</v>
      </c>
      <c r="Y73" s="45">
        <v>59.7</v>
      </c>
      <c r="Z73" s="45">
        <v>59.7</v>
      </c>
      <c r="AA73" s="45">
        <v>57.9</v>
      </c>
      <c r="AB73" s="45">
        <v>53.5</v>
      </c>
      <c r="AC73" s="45">
        <v>53.3</v>
      </c>
      <c r="AD73" s="45">
        <v>53.3</v>
      </c>
      <c r="AE73" s="45">
        <v>53.3</v>
      </c>
      <c r="AF73" s="45">
        <v>34</v>
      </c>
      <c r="AG73" s="51"/>
      <c r="AH73" s="47">
        <f t="shared" si="2"/>
        <v>71</v>
      </c>
      <c r="AI73" s="48">
        <f t="shared" si="3"/>
        <v>28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-143</v>
      </c>
      <c r="C75" s="65">
        <v>-150</v>
      </c>
      <c r="D75" s="65">
        <v>-220</v>
      </c>
      <c r="E75" s="65">
        <v>-175</v>
      </c>
      <c r="F75" s="65">
        <v>-173.8</v>
      </c>
      <c r="G75" s="65">
        <v>-205</v>
      </c>
      <c r="H75" s="65">
        <v>-262</v>
      </c>
      <c r="I75" s="65">
        <v>-301</v>
      </c>
      <c r="J75" s="65">
        <v>-262</v>
      </c>
      <c r="K75" s="65">
        <v>-238</v>
      </c>
      <c r="L75" s="65">
        <v>-116</v>
      </c>
      <c r="M75" s="65">
        <v>-125</v>
      </c>
      <c r="N75" s="65">
        <v>-20</v>
      </c>
      <c r="O75" s="65">
        <v>-55</v>
      </c>
      <c r="P75" s="65">
        <v>-21</v>
      </c>
      <c r="Q75" s="65">
        <v>-27.2</v>
      </c>
      <c r="R75" s="65">
        <v>-22</v>
      </c>
      <c r="S75" s="65">
        <v>-54</v>
      </c>
      <c r="T75" s="65">
        <v>-50.4</v>
      </c>
      <c r="U75" s="65">
        <v>-31.4</v>
      </c>
      <c r="V75" s="65">
        <v>-80</v>
      </c>
      <c r="W75" s="65">
        <v>-40</v>
      </c>
      <c r="X75" s="65">
        <v>-30</v>
      </c>
      <c r="Y75" s="65">
        <v>-30</v>
      </c>
      <c r="Z75" s="65">
        <v>-30</v>
      </c>
      <c r="AA75" s="65">
        <v>0</v>
      </c>
      <c r="AB75" s="65">
        <v>-39.1</v>
      </c>
      <c r="AC75" s="65">
        <v>-49.5</v>
      </c>
      <c r="AD75" s="65">
        <v>-49.5</v>
      </c>
      <c r="AE75" s="65">
        <v>-49.5</v>
      </c>
      <c r="AF75" s="65">
        <v>-80.3</v>
      </c>
      <c r="AG75" s="75"/>
      <c r="AH75" s="47">
        <f t="shared" si="2"/>
        <v>0</v>
      </c>
      <c r="AI75" s="48">
        <f t="shared" si="3"/>
        <v>-301</v>
      </c>
      <c r="AK75" s="49"/>
    </row>
    <row r="76" spans="1:40" x14ac:dyDescent="0.25">
      <c r="A76" s="53" t="s">
        <v>82</v>
      </c>
      <c r="B76" s="76">
        <v>12</v>
      </c>
      <c r="C76" s="76">
        <v>12</v>
      </c>
      <c r="D76" s="76">
        <v>12</v>
      </c>
      <c r="E76" s="76">
        <v>12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7.6</v>
      </c>
      <c r="O76" s="76">
        <v>10.199999999999999</v>
      </c>
      <c r="P76" s="76">
        <v>6</v>
      </c>
      <c r="Q76" s="76">
        <v>5.5</v>
      </c>
      <c r="R76" s="76">
        <v>7</v>
      </c>
      <c r="S76" s="76">
        <v>7</v>
      </c>
      <c r="T76" s="76">
        <v>7</v>
      </c>
      <c r="U76" s="76">
        <v>41</v>
      </c>
      <c r="V76" s="76">
        <v>41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75"/>
      <c r="AH76" s="47">
        <f t="shared" si="2"/>
        <v>41</v>
      </c>
      <c r="AI76" s="48">
        <f t="shared" si="3"/>
        <v>0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2">MAX(B77:AF77)</f>
        <v>0</v>
      </c>
      <c r="AI77" s="48">
        <f t="shared" ref="AI77:AI120" si="13">MIN(B77:AF77)</f>
        <v>0</v>
      </c>
      <c r="AK77" s="49"/>
    </row>
    <row r="78" spans="1:40" x14ac:dyDescent="0.25">
      <c r="A78" s="53" t="s">
        <v>84</v>
      </c>
      <c r="B78" s="77">
        <v>5</v>
      </c>
      <c r="C78" s="77">
        <v>5</v>
      </c>
      <c r="D78" s="77">
        <v>5</v>
      </c>
      <c r="E78" s="77">
        <v>5</v>
      </c>
      <c r="F78" s="77">
        <v>5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4</v>
      </c>
      <c r="M78" s="77">
        <v>4</v>
      </c>
      <c r="N78" s="77">
        <v>4</v>
      </c>
      <c r="O78" s="77">
        <v>4</v>
      </c>
      <c r="P78" s="77">
        <v>5.5</v>
      </c>
      <c r="Q78" s="77">
        <v>5.5</v>
      </c>
      <c r="R78" s="77">
        <v>5.5</v>
      </c>
      <c r="S78" s="77">
        <v>5.5</v>
      </c>
      <c r="T78" s="77">
        <v>5.5</v>
      </c>
      <c r="U78" s="77">
        <v>5.5</v>
      </c>
      <c r="V78" s="77">
        <v>5.5</v>
      </c>
      <c r="W78" s="77">
        <v>5.5</v>
      </c>
      <c r="X78" s="77">
        <v>5.5</v>
      </c>
      <c r="Y78" s="77">
        <v>5.5</v>
      </c>
      <c r="Z78" s="77">
        <v>5.5</v>
      </c>
      <c r="AA78" s="77">
        <v>5.5</v>
      </c>
      <c r="AB78" s="77">
        <v>5.5</v>
      </c>
      <c r="AC78" s="77">
        <v>5.5</v>
      </c>
      <c r="AD78" s="77">
        <v>5.5</v>
      </c>
      <c r="AE78" s="77">
        <v>5.5</v>
      </c>
      <c r="AF78" s="77">
        <v>5.5</v>
      </c>
      <c r="AG78" s="75"/>
      <c r="AH78" s="47">
        <f t="shared" si="12"/>
        <v>5.5</v>
      </c>
      <c r="AI78" s="48">
        <f t="shared" si="13"/>
        <v>0</v>
      </c>
      <c r="AK78" s="49"/>
    </row>
    <row r="79" spans="1:40" ht="15.75" thickBot="1" x14ac:dyDescent="0.3">
      <c r="A79" s="53" t="s">
        <v>85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2"/>
        <v>0</v>
      </c>
      <c r="AI79" s="48">
        <f t="shared" si="13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2"/>
        <v>0</v>
      </c>
      <c r="AI80" s="48">
        <f t="shared" si="13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2"/>
        <v>0</v>
      </c>
      <c r="AI81" s="48">
        <f t="shared" si="13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77">
        <v>0</v>
      </c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2"/>
        <v>0</v>
      </c>
      <c r="AI82" s="48">
        <f t="shared" si="13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2"/>
        <v>0</v>
      </c>
      <c r="AI83" s="48">
        <f t="shared" si="13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>SUMIF(B73:B83,"&gt;0")</f>
        <v>61.9</v>
      </c>
      <c r="C84" s="60">
        <f t="shared" ref="C84:AF84" si="14">SUMIF(C73:C83,"&gt;0")</f>
        <v>66.400000000000006</v>
      </c>
      <c r="D84" s="60">
        <f t="shared" si="14"/>
        <v>62.3</v>
      </c>
      <c r="E84" s="60">
        <f>SUMIF(E73:E83,"&gt;0")</f>
        <v>58.2</v>
      </c>
      <c r="F84" s="60">
        <f t="shared" si="14"/>
        <v>43.9</v>
      </c>
      <c r="G84" s="60">
        <f t="shared" si="14"/>
        <v>33</v>
      </c>
      <c r="H84" s="60">
        <f t="shared" si="14"/>
        <v>36</v>
      </c>
      <c r="I84" s="60">
        <f t="shared" si="14"/>
        <v>29</v>
      </c>
      <c r="J84" s="60">
        <f t="shared" si="14"/>
        <v>28</v>
      </c>
      <c r="K84" s="60">
        <f>SUMIF(K73:K83,"&gt;0")</f>
        <v>28</v>
      </c>
      <c r="L84" s="60">
        <f t="shared" si="14"/>
        <v>39</v>
      </c>
      <c r="M84" s="60">
        <f t="shared" si="14"/>
        <v>39</v>
      </c>
      <c r="N84" s="60">
        <f t="shared" si="14"/>
        <v>46.6</v>
      </c>
      <c r="O84" s="60">
        <f t="shared" si="14"/>
        <v>49.2</v>
      </c>
      <c r="P84" s="60">
        <f t="shared" si="14"/>
        <v>46.5</v>
      </c>
      <c r="Q84" s="60">
        <f t="shared" si="14"/>
        <v>50.8</v>
      </c>
      <c r="R84" s="60">
        <f t="shared" si="14"/>
        <v>72.5</v>
      </c>
      <c r="S84" s="60">
        <f t="shared" si="14"/>
        <v>83.5</v>
      </c>
      <c r="T84" s="60">
        <f t="shared" si="14"/>
        <v>83.4</v>
      </c>
      <c r="U84" s="60">
        <f t="shared" si="14"/>
        <v>114.8</v>
      </c>
      <c r="V84" s="60">
        <f t="shared" si="14"/>
        <v>114.8</v>
      </c>
      <c r="W84" s="60">
        <f t="shared" si="14"/>
        <v>74</v>
      </c>
      <c r="X84" s="60">
        <f t="shared" si="14"/>
        <v>75.2</v>
      </c>
      <c r="Y84" s="60">
        <f t="shared" ref="Y84:Z84" si="15">SUMIF(Y73:Y83,"&gt;0")</f>
        <v>75.2</v>
      </c>
      <c r="Z84" s="60">
        <f t="shared" si="15"/>
        <v>75.2</v>
      </c>
      <c r="AA84" s="60">
        <v>73.400000000000006</v>
      </c>
      <c r="AB84" s="60">
        <f t="shared" si="14"/>
        <v>69</v>
      </c>
      <c r="AC84" s="60">
        <f t="shared" si="14"/>
        <v>68.8</v>
      </c>
      <c r="AD84" s="60">
        <f t="shared" si="14"/>
        <v>68.8</v>
      </c>
      <c r="AE84" s="60">
        <f t="shared" si="14"/>
        <v>68.8</v>
      </c>
      <c r="AF84" s="60">
        <f t="shared" si="14"/>
        <v>49.5</v>
      </c>
      <c r="AG84" s="88">
        <f>SUM(AG73:AG83)</f>
        <v>0</v>
      </c>
      <c r="AH84" s="47">
        <f t="shared" si="12"/>
        <v>114.8</v>
      </c>
      <c r="AI84" s="48">
        <f t="shared" si="13"/>
        <v>28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2"/>
        <v>0</v>
      </c>
      <c r="AI85" s="48">
        <f t="shared" si="13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2"/>
        <v>0</v>
      </c>
      <c r="AI86" s="48">
        <f t="shared" si="13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2"/>
        <v>0</v>
      </c>
      <c r="AI87" s="48">
        <f t="shared" si="13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>
        <v>0</v>
      </c>
      <c r="Z88" s="60">
        <v>0</v>
      </c>
      <c r="AA88" s="60">
        <v>0</v>
      </c>
      <c r="AB88" s="60"/>
      <c r="AC88" s="60"/>
      <c r="AD88" s="60"/>
      <c r="AE88" s="60"/>
      <c r="AF88" s="60"/>
      <c r="AG88" s="88">
        <f>SUM(AG85:AG87)</f>
        <v>55.4</v>
      </c>
      <c r="AH88" s="47">
        <f t="shared" si="12"/>
        <v>0</v>
      </c>
      <c r="AI88" s="48">
        <f t="shared" si="13"/>
        <v>0</v>
      </c>
    </row>
    <row r="89" spans="1:40" ht="15.75" thickBot="1" x14ac:dyDescent="0.3">
      <c r="A89" s="74" t="s">
        <v>98</v>
      </c>
      <c r="B89" s="95">
        <f>B50+B54+B72+B68+B84+B88</f>
        <v>1637.19</v>
      </c>
      <c r="C89" s="95">
        <f t="shared" ref="C89:AG89" si="16">C50+C54+C72+C68+C84+C88</f>
        <v>1661.69</v>
      </c>
      <c r="D89" s="95">
        <f t="shared" si="16"/>
        <v>1674.89</v>
      </c>
      <c r="E89" s="95">
        <f>E50+E54+E72+E68+E84+E88</f>
        <v>1620.7900000000002</v>
      </c>
      <c r="F89" s="95">
        <f t="shared" si="16"/>
        <v>1634.39</v>
      </c>
      <c r="G89" s="95">
        <f t="shared" si="16"/>
        <v>1657.19</v>
      </c>
      <c r="H89" s="95">
        <f t="shared" si="16"/>
        <v>1680.69</v>
      </c>
      <c r="I89" s="95">
        <f t="shared" si="16"/>
        <v>1737.69</v>
      </c>
      <c r="J89" s="95">
        <f t="shared" si="16"/>
        <v>1736.69</v>
      </c>
      <c r="K89" s="95">
        <f>K50+K54+K72+K68+K84+K88</f>
        <v>1745.69</v>
      </c>
      <c r="L89" s="95">
        <f t="shared" si="16"/>
        <v>1685.4900000000002</v>
      </c>
      <c r="M89" s="95">
        <f t="shared" si="16"/>
        <v>427.54</v>
      </c>
      <c r="N89" s="95">
        <f t="shared" si="16"/>
        <v>1519.5900000000001</v>
      </c>
      <c r="O89" s="95">
        <f t="shared" si="16"/>
        <v>1516.1900000000003</v>
      </c>
      <c r="P89" s="95">
        <f t="shared" si="16"/>
        <v>1556.6900000000003</v>
      </c>
      <c r="Q89" s="95">
        <f t="shared" si="16"/>
        <v>1673.6899999999998</v>
      </c>
      <c r="R89" s="95">
        <f t="shared" si="16"/>
        <v>1748.99</v>
      </c>
      <c r="S89" s="95">
        <f t="shared" si="16"/>
        <v>1812.99</v>
      </c>
      <c r="T89" s="95">
        <f t="shared" si="16"/>
        <v>1832.89</v>
      </c>
      <c r="U89" s="95">
        <f t="shared" si="16"/>
        <v>1771.74</v>
      </c>
      <c r="V89" s="95">
        <f t="shared" si="16"/>
        <v>1770.54</v>
      </c>
      <c r="W89" s="95">
        <f t="shared" si="16"/>
        <v>1694.54</v>
      </c>
      <c r="X89" s="95">
        <f t="shared" si="16"/>
        <v>1685.74</v>
      </c>
      <c r="Y89" s="95">
        <f t="shared" ref="Y89:Z89" si="17">Y50+Y54+Y72+Y68+Y84+Y88</f>
        <v>1685.74</v>
      </c>
      <c r="Z89" s="95">
        <f t="shared" si="17"/>
        <v>1689.74</v>
      </c>
      <c r="AA89" s="95">
        <v>1778.14</v>
      </c>
      <c r="AB89" s="95">
        <f t="shared" si="16"/>
        <v>1811.2399999999998</v>
      </c>
      <c r="AC89" s="95">
        <f t="shared" si="16"/>
        <v>1825.84</v>
      </c>
      <c r="AD89" s="95">
        <f t="shared" si="16"/>
        <v>1827.84</v>
      </c>
      <c r="AE89" s="95">
        <f t="shared" si="16"/>
        <v>1830.8400000000001</v>
      </c>
      <c r="AF89" s="95">
        <f t="shared" si="16"/>
        <v>1804.54</v>
      </c>
      <c r="AG89" s="61">
        <f t="shared" si="16"/>
        <v>2111.5500000000002</v>
      </c>
      <c r="AH89" s="47">
        <f t="shared" si="12"/>
        <v>1832.89</v>
      </c>
      <c r="AI89" s="48">
        <f t="shared" si="13"/>
        <v>427.54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>
        <v>100</v>
      </c>
      <c r="AA90" s="97">
        <v>100</v>
      </c>
      <c r="AB90" s="97">
        <v>50</v>
      </c>
      <c r="AC90" s="97"/>
      <c r="AD90" s="97"/>
      <c r="AE90" s="97"/>
      <c r="AF90" s="97"/>
      <c r="AG90" s="88"/>
      <c r="AH90" s="47">
        <f t="shared" si="12"/>
        <v>100</v>
      </c>
      <c r="AI90" s="48">
        <f t="shared" si="13"/>
        <v>50</v>
      </c>
    </row>
    <row r="91" spans="1:40" ht="15.75" thickBot="1" x14ac:dyDescent="0.3">
      <c r="A91" s="74" t="s">
        <v>100</v>
      </c>
      <c r="B91" s="95">
        <f>B89+B90</f>
        <v>1637.19</v>
      </c>
      <c r="C91" s="95">
        <f t="shared" ref="C91:AF91" si="18">C89+C90</f>
        <v>1661.69</v>
      </c>
      <c r="D91" s="95">
        <f t="shared" si="18"/>
        <v>1674.89</v>
      </c>
      <c r="E91" s="95">
        <f>E89+E90</f>
        <v>1620.7900000000002</v>
      </c>
      <c r="F91" s="95">
        <f t="shared" si="18"/>
        <v>1634.39</v>
      </c>
      <c r="G91" s="95">
        <f t="shared" si="18"/>
        <v>1657.19</v>
      </c>
      <c r="H91" s="95">
        <f t="shared" si="18"/>
        <v>1680.69</v>
      </c>
      <c r="I91" s="95">
        <f t="shared" si="18"/>
        <v>1737.69</v>
      </c>
      <c r="J91" s="95">
        <f t="shared" si="18"/>
        <v>1736.69</v>
      </c>
      <c r="K91" s="95">
        <f>K89+K90</f>
        <v>1745.69</v>
      </c>
      <c r="L91" s="95">
        <f t="shared" si="18"/>
        <v>1685.4900000000002</v>
      </c>
      <c r="M91" s="95">
        <f t="shared" si="18"/>
        <v>427.54</v>
      </c>
      <c r="N91" s="95">
        <f t="shared" si="18"/>
        <v>1519.5900000000001</v>
      </c>
      <c r="O91" s="95">
        <f t="shared" si="18"/>
        <v>1516.1900000000003</v>
      </c>
      <c r="P91" s="95">
        <f t="shared" si="18"/>
        <v>1556.6900000000003</v>
      </c>
      <c r="Q91" s="95">
        <f t="shared" si="18"/>
        <v>1673.6899999999998</v>
      </c>
      <c r="R91" s="95">
        <f t="shared" si="18"/>
        <v>1748.99</v>
      </c>
      <c r="S91" s="95">
        <f t="shared" si="18"/>
        <v>1812.99</v>
      </c>
      <c r="T91" s="95">
        <f t="shared" si="18"/>
        <v>1832.89</v>
      </c>
      <c r="U91" s="95">
        <f t="shared" si="18"/>
        <v>1771.74</v>
      </c>
      <c r="V91" s="95">
        <f t="shared" si="18"/>
        <v>1770.54</v>
      </c>
      <c r="W91" s="95">
        <f t="shared" si="18"/>
        <v>1694.54</v>
      </c>
      <c r="X91" s="95">
        <f t="shared" si="18"/>
        <v>1685.74</v>
      </c>
      <c r="Y91" s="95">
        <f t="shared" ref="Y91:Z91" si="19">Y89+Y90</f>
        <v>1685.74</v>
      </c>
      <c r="Z91" s="95">
        <f t="shared" si="19"/>
        <v>1789.74</v>
      </c>
      <c r="AA91" s="95">
        <v>1878.14</v>
      </c>
      <c r="AB91" s="95">
        <f t="shared" si="18"/>
        <v>1861.2399999999998</v>
      </c>
      <c r="AC91" s="95">
        <f t="shared" si="18"/>
        <v>1825.84</v>
      </c>
      <c r="AD91" s="95">
        <f t="shared" si="18"/>
        <v>1827.84</v>
      </c>
      <c r="AE91" s="95">
        <f t="shared" si="18"/>
        <v>1830.8400000000001</v>
      </c>
      <c r="AF91" s="95">
        <f t="shared" si="18"/>
        <v>1804.54</v>
      </c>
      <c r="AG91" s="88">
        <f>AG88+AG84+AG72+AG68+AG50+AG90</f>
        <v>1573.45</v>
      </c>
      <c r="AH91" s="47">
        <f t="shared" si="12"/>
        <v>1878.14</v>
      </c>
      <c r="AI91" s="48">
        <f t="shared" si="13"/>
        <v>427.54</v>
      </c>
    </row>
    <row r="92" spans="1:40" ht="15.75" thickBot="1" x14ac:dyDescent="0.3">
      <c r="A92" s="74" t="s">
        <v>101</v>
      </c>
      <c r="B92" s="95">
        <f>B91-B99</f>
        <v>1637.19</v>
      </c>
      <c r="C92" s="95">
        <f t="shared" ref="C92:AF92" si="20">C91-C99</f>
        <v>1661.69</v>
      </c>
      <c r="D92" s="95">
        <f t="shared" si="20"/>
        <v>1674.89</v>
      </c>
      <c r="E92" s="95">
        <f>E91-E99</f>
        <v>1620.7900000000002</v>
      </c>
      <c r="F92" s="95">
        <f t="shared" si="20"/>
        <v>1634.39</v>
      </c>
      <c r="G92" s="95">
        <f t="shared" si="20"/>
        <v>1657.19</v>
      </c>
      <c r="H92" s="95">
        <f t="shared" si="20"/>
        <v>1680.69</v>
      </c>
      <c r="I92" s="95">
        <f t="shared" si="20"/>
        <v>1737.69</v>
      </c>
      <c r="J92" s="95">
        <f t="shared" si="20"/>
        <v>1736.69</v>
      </c>
      <c r="K92" s="95">
        <f>K91-K99</f>
        <v>1745.69</v>
      </c>
      <c r="L92" s="95">
        <f t="shared" si="20"/>
        <v>1685.4900000000002</v>
      </c>
      <c r="M92" s="95">
        <f t="shared" si="20"/>
        <v>427.54</v>
      </c>
      <c r="N92" s="95">
        <f t="shared" si="20"/>
        <v>1519.5900000000001</v>
      </c>
      <c r="O92" s="95">
        <f t="shared" si="20"/>
        <v>1516.1900000000003</v>
      </c>
      <c r="P92" s="95">
        <f t="shared" si="20"/>
        <v>1556.6900000000003</v>
      </c>
      <c r="Q92" s="95">
        <f t="shared" si="20"/>
        <v>1673.6899999999998</v>
      </c>
      <c r="R92" s="95">
        <f t="shared" si="20"/>
        <v>1748.99</v>
      </c>
      <c r="S92" s="95">
        <f t="shared" si="20"/>
        <v>1812.99</v>
      </c>
      <c r="T92" s="95">
        <f t="shared" si="20"/>
        <v>1832.89</v>
      </c>
      <c r="U92" s="95">
        <f t="shared" si="20"/>
        <v>1771.74</v>
      </c>
      <c r="V92" s="95">
        <f t="shared" si="20"/>
        <v>1770.54</v>
      </c>
      <c r="W92" s="95">
        <f t="shared" si="20"/>
        <v>1694.54</v>
      </c>
      <c r="X92" s="95">
        <f t="shared" si="20"/>
        <v>1685.74</v>
      </c>
      <c r="Y92" s="95">
        <f t="shared" ref="Y92:Z92" si="21">Y91-Y99</f>
        <v>1685.74</v>
      </c>
      <c r="Z92" s="95">
        <f t="shared" si="21"/>
        <v>1789.74</v>
      </c>
      <c r="AA92" s="95">
        <v>1878.14</v>
      </c>
      <c r="AB92" s="95">
        <f t="shared" si="20"/>
        <v>1861.2399999999998</v>
      </c>
      <c r="AC92" s="95">
        <f t="shared" si="20"/>
        <v>1825.84</v>
      </c>
      <c r="AD92" s="95">
        <f t="shared" si="20"/>
        <v>1827.84</v>
      </c>
      <c r="AE92" s="95">
        <f t="shared" si="20"/>
        <v>1830.8400000000001</v>
      </c>
      <c r="AF92" s="95">
        <f t="shared" si="20"/>
        <v>1804.54</v>
      </c>
      <c r="AG92" s="88"/>
      <c r="AH92" s="47">
        <f t="shared" si="12"/>
        <v>1878.14</v>
      </c>
      <c r="AI92" s="48">
        <f t="shared" si="13"/>
        <v>427.54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2"/>
        <v>0</v>
      </c>
      <c r="AI93" s="48">
        <f t="shared" si="13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2"/>
        <v>0</v>
      </c>
      <c r="AI94" s="48">
        <f t="shared" si="13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2"/>
        <v>0</v>
      </c>
      <c r="AI95" s="48">
        <f t="shared" si="13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2"/>
        <v>0</v>
      </c>
      <c r="AI96" s="48">
        <f t="shared" si="13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2"/>
        <v>0</v>
      </c>
      <c r="AI97" s="48">
        <f t="shared" si="13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2"/>
        <v>0</v>
      </c>
      <c r="AI98" s="48">
        <f t="shared" si="13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0</v>
      </c>
      <c r="AB99" s="60"/>
      <c r="AC99" s="60"/>
      <c r="AD99" s="60"/>
      <c r="AE99" s="60"/>
      <c r="AF99" s="60"/>
      <c r="AG99" s="88"/>
      <c r="AH99" s="47">
        <f t="shared" si="12"/>
        <v>0</v>
      </c>
      <c r="AI99" s="48">
        <f t="shared" si="13"/>
        <v>0</v>
      </c>
      <c r="AK99" s="49"/>
    </row>
    <row r="100" spans="1:37" ht="15.75" thickBot="1" x14ac:dyDescent="0.3">
      <c r="A100" s="74" t="s">
        <v>106</v>
      </c>
      <c r="B100" s="60">
        <f>B84-B99</f>
        <v>61.9</v>
      </c>
      <c r="C100" s="60">
        <f t="shared" ref="C100:AF100" si="22">C84-C99</f>
        <v>66.400000000000006</v>
      </c>
      <c r="D100" s="60">
        <f t="shared" si="22"/>
        <v>62.3</v>
      </c>
      <c r="E100" s="60">
        <f>E84-E99</f>
        <v>58.2</v>
      </c>
      <c r="F100" s="60">
        <f t="shared" si="22"/>
        <v>43.9</v>
      </c>
      <c r="G100" s="60">
        <f t="shared" si="22"/>
        <v>33</v>
      </c>
      <c r="H100" s="60">
        <f t="shared" si="22"/>
        <v>36</v>
      </c>
      <c r="I100" s="60">
        <f t="shared" si="22"/>
        <v>29</v>
      </c>
      <c r="J100" s="60">
        <f t="shared" si="22"/>
        <v>28</v>
      </c>
      <c r="K100" s="60">
        <f>K84-K99</f>
        <v>28</v>
      </c>
      <c r="L100" s="60">
        <f t="shared" si="22"/>
        <v>39</v>
      </c>
      <c r="M100" s="60">
        <f t="shared" si="22"/>
        <v>39</v>
      </c>
      <c r="N100" s="60">
        <f t="shared" si="22"/>
        <v>46.6</v>
      </c>
      <c r="O100" s="60">
        <f t="shared" si="22"/>
        <v>49.2</v>
      </c>
      <c r="P100" s="60">
        <f t="shared" si="22"/>
        <v>46.5</v>
      </c>
      <c r="Q100" s="60">
        <f t="shared" si="22"/>
        <v>50.8</v>
      </c>
      <c r="R100" s="60">
        <f t="shared" si="22"/>
        <v>72.5</v>
      </c>
      <c r="S100" s="60">
        <f t="shared" si="22"/>
        <v>83.5</v>
      </c>
      <c r="T100" s="60">
        <f t="shared" si="22"/>
        <v>83.4</v>
      </c>
      <c r="U100" s="60">
        <f t="shared" si="22"/>
        <v>114.8</v>
      </c>
      <c r="V100" s="60">
        <f t="shared" si="22"/>
        <v>114.8</v>
      </c>
      <c r="W100" s="60">
        <f t="shared" si="22"/>
        <v>74</v>
      </c>
      <c r="X100" s="60">
        <f t="shared" si="22"/>
        <v>75.2</v>
      </c>
      <c r="Y100" s="60">
        <f t="shared" ref="Y100:Z100" si="23">Y84-Y99</f>
        <v>75.2</v>
      </c>
      <c r="Z100" s="60">
        <f t="shared" si="23"/>
        <v>75.2</v>
      </c>
      <c r="AA100" s="60">
        <v>73.400000000000006</v>
      </c>
      <c r="AB100" s="60">
        <f t="shared" si="22"/>
        <v>69</v>
      </c>
      <c r="AC100" s="60">
        <f t="shared" si="22"/>
        <v>68.8</v>
      </c>
      <c r="AD100" s="60">
        <f t="shared" si="22"/>
        <v>68.8</v>
      </c>
      <c r="AE100" s="60">
        <f t="shared" si="22"/>
        <v>68.8</v>
      </c>
      <c r="AF100" s="60">
        <f t="shared" si="22"/>
        <v>49.5</v>
      </c>
      <c r="AG100" s="88"/>
      <c r="AH100" s="47">
        <f t="shared" si="12"/>
        <v>114.8</v>
      </c>
      <c r="AI100" s="48">
        <f t="shared" si="13"/>
        <v>28</v>
      </c>
    </row>
    <row r="101" spans="1:37" x14ac:dyDescent="0.25">
      <c r="A101" s="100" t="s">
        <v>107</v>
      </c>
      <c r="B101" s="101">
        <v>49.987000000000002</v>
      </c>
      <c r="C101" s="101">
        <v>49.97</v>
      </c>
      <c r="D101" s="101">
        <v>49.951999999999998</v>
      </c>
      <c r="E101" s="101">
        <v>49.951999999999998</v>
      </c>
      <c r="F101" s="101">
        <v>49.957000000000001</v>
      </c>
      <c r="G101" s="101">
        <v>49.975999999999999</v>
      </c>
      <c r="H101" s="101">
        <v>49.951000000000001</v>
      </c>
      <c r="I101" s="101">
        <v>49.997</v>
      </c>
      <c r="J101" s="101">
        <v>49.948</v>
      </c>
      <c r="K101" s="101">
        <v>50.09</v>
      </c>
      <c r="L101" s="101">
        <v>50</v>
      </c>
      <c r="M101" s="101">
        <v>50</v>
      </c>
      <c r="N101" s="101">
        <v>50</v>
      </c>
      <c r="O101" s="101">
        <v>50</v>
      </c>
      <c r="P101" s="101">
        <v>50.067999999999998</v>
      </c>
      <c r="Q101" s="101">
        <v>49.953000000000003</v>
      </c>
      <c r="R101" s="101">
        <v>49.991</v>
      </c>
      <c r="S101" s="101">
        <v>49.98</v>
      </c>
      <c r="T101" s="101">
        <v>49.97</v>
      </c>
      <c r="U101" s="101">
        <v>50.023000000000003</v>
      </c>
      <c r="V101" s="101">
        <v>49.85</v>
      </c>
      <c r="W101" s="101">
        <v>50.04</v>
      </c>
      <c r="X101" s="101">
        <v>50.05</v>
      </c>
      <c r="Y101" s="101">
        <v>50.03</v>
      </c>
      <c r="Z101" s="101">
        <v>50.04</v>
      </c>
      <c r="AA101" s="101">
        <v>50.09</v>
      </c>
      <c r="AB101" s="101">
        <v>50.064999999999998</v>
      </c>
      <c r="AC101" s="101">
        <v>49.918999999999997</v>
      </c>
      <c r="AD101" s="101">
        <v>49.918999999999997</v>
      </c>
      <c r="AE101" s="101">
        <v>50.048000000000002</v>
      </c>
      <c r="AF101" s="101">
        <v>49.962000000000003</v>
      </c>
      <c r="AG101" s="102"/>
      <c r="AH101" s="47">
        <f t="shared" si="12"/>
        <v>50.09</v>
      </c>
      <c r="AI101" s="48">
        <f t="shared" si="13"/>
        <v>49.85</v>
      </c>
    </row>
    <row r="102" spans="1:37" x14ac:dyDescent="0.25">
      <c r="A102" s="103" t="s">
        <v>108</v>
      </c>
      <c r="B102" s="65">
        <v>120.1</v>
      </c>
      <c r="C102" s="65">
        <v>120.1</v>
      </c>
      <c r="D102" s="65">
        <v>120.1</v>
      </c>
      <c r="E102" s="65">
        <v>120.1</v>
      </c>
      <c r="F102" s="65">
        <v>123.8</v>
      </c>
      <c r="G102" s="65">
        <v>124.5</v>
      </c>
      <c r="H102" s="65">
        <v>121.7</v>
      </c>
      <c r="I102" s="65">
        <v>122</v>
      </c>
      <c r="J102" s="65">
        <v>122</v>
      </c>
      <c r="K102" s="65">
        <v>118.8</v>
      </c>
      <c r="L102" s="65">
        <v>120.9</v>
      </c>
      <c r="M102" s="65">
        <v>120.9</v>
      </c>
      <c r="N102" s="65">
        <v>120.9</v>
      </c>
      <c r="O102" s="65">
        <v>120.9</v>
      </c>
      <c r="P102" s="65">
        <v>118.9</v>
      </c>
      <c r="Q102" s="65">
        <v>117.4</v>
      </c>
      <c r="R102" s="65">
        <v>119</v>
      </c>
      <c r="S102" s="65">
        <v>118</v>
      </c>
      <c r="T102" s="65">
        <v>120.6</v>
      </c>
      <c r="U102" s="65">
        <v>118.5</v>
      </c>
      <c r="V102" s="65">
        <v>122</v>
      </c>
      <c r="W102" s="65">
        <v>123.5</v>
      </c>
      <c r="X102" s="65">
        <v>123.6</v>
      </c>
      <c r="Y102" s="65">
        <v>123.6</v>
      </c>
      <c r="Z102" s="65">
        <v>123.6</v>
      </c>
      <c r="AA102" s="65">
        <v>122.3</v>
      </c>
      <c r="AB102" s="65">
        <v>123.8</v>
      </c>
      <c r="AC102" s="65">
        <v>122.2</v>
      </c>
      <c r="AD102" s="65">
        <v>122.2</v>
      </c>
      <c r="AE102" s="65">
        <v>120.7</v>
      </c>
      <c r="AF102" s="65">
        <v>120.4</v>
      </c>
      <c r="AG102" s="104"/>
      <c r="AH102" s="47">
        <f t="shared" si="12"/>
        <v>124.5</v>
      </c>
      <c r="AI102" s="48">
        <f t="shared" si="13"/>
        <v>117.4</v>
      </c>
    </row>
    <row r="103" spans="1:37" x14ac:dyDescent="0.25">
      <c r="A103" s="103" t="s">
        <v>109</v>
      </c>
      <c r="B103" s="65">
        <v>126.5</v>
      </c>
      <c r="C103" s="65">
        <v>126.5</v>
      </c>
      <c r="D103" s="65">
        <v>126.5</v>
      </c>
      <c r="E103" s="65">
        <v>126.5</v>
      </c>
      <c r="F103" s="65">
        <v>129</v>
      </c>
      <c r="G103" s="65">
        <v>129.69999999999999</v>
      </c>
      <c r="H103" s="65">
        <v>127</v>
      </c>
      <c r="I103" s="65">
        <v>127</v>
      </c>
      <c r="J103" s="65">
        <v>127</v>
      </c>
      <c r="K103" s="65">
        <v>124.3</v>
      </c>
      <c r="L103" s="65">
        <v>125.6</v>
      </c>
      <c r="M103" s="65">
        <v>125.6</v>
      </c>
      <c r="N103" s="65">
        <v>125.6</v>
      </c>
      <c r="O103" s="65">
        <v>125.6</v>
      </c>
      <c r="P103" s="65">
        <v>123</v>
      </c>
      <c r="Q103" s="65">
        <v>122.7</v>
      </c>
      <c r="R103" s="65">
        <v>123.6</v>
      </c>
      <c r="S103" s="65">
        <v>123.6</v>
      </c>
      <c r="T103" s="65">
        <v>125</v>
      </c>
      <c r="U103" s="65">
        <v>123.3</v>
      </c>
      <c r="V103" s="65">
        <v>123.3</v>
      </c>
      <c r="W103" s="65">
        <v>123.3</v>
      </c>
      <c r="X103" s="65">
        <v>127.1</v>
      </c>
      <c r="Y103" s="65">
        <v>127.1</v>
      </c>
      <c r="Z103" s="65">
        <v>127.1</v>
      </c>
      <c r="AA103" s="65">
        <v>125.8</v>
      </c>
      <c r="AB103" s="65">
        <v>127.5</v>
      </c>
      <c r="AC103" s="65">
        <v>126.4</v>
      </c>
      <c r="AD103" s="65">
        <v>126.4</v>
      </c>
      <c r="AE103" s="65">
        <v>126.6</v>
      </c>
      <c r="AF103" s="65">
        <v>126.5</v>
      </c>
      <c r="AG103" s="104"/>
      <c r="AH103" s="47">
        <f t="shared" si="12"/>
        <v>129.69999999999999</v>
      </c>
      <c r="AI103" s="48">
        <f t="shared" si="13"/>
        <v>122.7</v>
      </c>
    </row>
    <row r="104" spans="1:37" x14ac:dyDescent="0.25">
      <c r="A104" s="103" t="s">
        <v>110</v>
      </c>
      <c r="B104" s="65">
        <v>130.4</v>
      </c>
      <c r="C104" s="65">
        <v>130.4</v>
      </c>
      <c r="D104" s="65">
        <v>130.4</v>
      </c>
      <c r="E104" s="65">
        <v>130.4</v>
      </c>
      <c r="F104" s="65">
        <v>132</v>
      </c>
      <c r="G104" s="65">
        <v>133</v>
      </c>
      <c r="H104" s="65">
        <v>130</v>
      </c>
      <c r="I104" s="65">
        <v>131.69999999999999</v>
      </c>
      <c r="J104" s="65">
        <v>131.69999999999999</v>
      </c>
      <c r="K104" s="65">
        <v>126.6</v>
      </c>
      <c r="L104" s="65">
        <v>131.9</v>
      </c>
      <c r="M104" s="65">
        <v>131.9</v>
      </c>
      <c r="N104" s="65">
        <v>131.9</v>
      </c>
      <c r="O104" s="65">
        <v>131.9</v>
      </c>
      <c r="P104" s="65">
        <v>129.1</v>
      </c>
      <c r="Q104" s="65">
        <v>132.1</v>
      </c>
      <c r="R104" s="65">
        <v>126.6</v>
      </c>
      <c r="S104" s="65">
        <v>126.6</v>
      </c>
      <c r="T104" s="65">
        <v>124.6</v>
      </c>
      <c r="U104" s="65">
        <v>127.1</v>
      </c>
      <c r="V104" s="65">
        <v>127.1</v>
      </c>
      <c r="W104" s="65">
        <v>127.1</v>
      </c>
      <c r="X104" s="65">
        <v>132.1</v>
      </c>
      <c r="Y104" s="65">
        <v>132.1</v>
      </c>
      <c r="Z104" s="65">
        <v>132.1</v>
      </c>
      <c r="AA104" s="65">
        <v>127</v>
      </c>
      <c r="AB104" s="65">
        <v>127.6</v>
      </c>
      <c r="AC104" s="65">
        <v>125.4</v>
      </c>
      <c r="AD104" s="65">
        <v>125.4</v>
      </c>
      <c r="AE104" s="65">
        <v>127.3</v>
      </c>
      <c r="AF104" s="65">
        <v>126.1</v>
      </c>
      <c r="AG104" s="104"/>
      <c r="AH104" s="47">
        <f t="shared" si="12"/>
        <v>133</v>
      </c>
      <c r="AI104" s="48">
        <f t="shared" si="13"/>
        <v>124.6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12"/>
        <v>0</v>
      </c>
      <c r="AI105" s="48">
        <f t="shared" si="13"/>
        <v>0</v>
      </c>
    </row>
    <row r="106" spans="1:37" x14ac:dyDescent="0.25">
      <c r="A106" s="105" t="s">
        <v>112</v>
      </c>
      <c r="B106" s="65">
        <v>127.9</v>
      </c>
      <c r="C106" s="65">
        <v>127.9</v>
      </c>
      <c r="D106" s="65">
        <v>127.9</v>
      </c>
      <c r="E106" s="65">
        <v>127.9</v>
      </c>
      <c r="F106" s="106">
        <v>129</v>
      </c>
      <c r="G106" s="106">
        <v>136</v>
      </c>
      <c r="H106" s="106">
        <v>130.9</v>
      </c>
      <c r="I106" s="106">
        <v>127</v>
      </c>
      <c r="J106" s="106">
        <v>127</v>
      </c>
      <c r="K106" s="106">
        <v>132.19999999999999</v>
      </c>
      <c r="L106" s="106">
        <v>132.80000000000001</v>
      </c>
      <c r="M106" s="106">
        <v>132.80000000000001</v>
      </c>
      <c r="N106" s="106">
        <v>132.80000000000001</v>
      </c>
      <c r="O106" s="106">
        <v>132.80000000000001</v>
      </c>
      <c r="P106" s="106">
        <v>137.30000000000001</v>
      </c>
      <c r="Q106" s="106">
        <v>128.30000000000001</v>
      </c>
      <c r="R106" s="106">
        <v>129.5</v>
      </c>
      <c r="S106" s="106">
        <v>129.5</v>
      </c>
      <c r="T106" s="106">
        <v>131.30000000000001</v>
      </c>
      <c r="U106" s="106">
        <v>133.80000000000001</v>
      </c>
      <c r="V106" s="106">
        <v>133.80000000000001</v>
      </c>
      <c r="W106" s="106">
        <v>133.80000000000001</v>
      </c>
      <c r="X106" s="106">
        <v>135.4</v>
      </c>
      <c r="Y106" s="106">
        <v>135</v>
      </c>
      <c r="Z106" s="106">
        <v>135.4</v>
      </c>
      <c r="AA106" s="106">
        <v>131</v>
      </c>
      <c r="AB106" s="106">
        <v>137.30000000000001</v>
      </c>
      <c r="AC106" s="106">
        <v>132.30000000000001</v>
      </c>
      <c r="AD106" s="106">
        <v>132.30000000000001</v>
      </c>
      <c r="AE106" s="106">
        <v>127.4</v>
      </c>
      <c r="AF106" s="106">
        <v>127.7</v>
      </c>
      <c r="AG106" s="107"/>
      <c r="AH106" s="47">
        <f t="shared" si="12"/>
        <v>137.30000000000001</v>
      </c>
      <c r="AI106" s="48">
        <f t="shared" si="13"/>
        <v>127</v>
      </c>
    </row>
    <row r="107" spans="1:37" x14ac:dyDescent="0.25">
      <c r="A107" s="103" t="s">
        <v>113</v>
      </c>
      <c r="B107" s="106">
        <v>124</v>
      </c>
      <c r="C107" s="106">
        <v>124</v>
      </c>
      <c r="D107" s="106">
        <v>124</v>
      </c>
      <c r="E107" s="106">
        <v>124</v>
      </c>
      <c r="F107" s="65">
        <v>133</v>
      </c>
      <c r="G107" s="65">
        <v>128</v>
      </c>
      <c r="H107" s="65">
        <v>128</v>
      </c>
      <c r="I107" s="65">
        <v>117</v>
      </c>
      <c r="J107" s="65">
        <v>117</v>
      </c>
      <c r="K107" s="65">
        <v>128.69999999999999</v>
      </c>
      <c r="L107" s="65">
        <v>127</v>
      </c>
      <c r="M107" s="65">
        <v>127</v>
      </c>
      <c r="N107" s="65">
        <v>127</v>
      </c>
      <c r="O107" s="65">
        <v>127</v>
      </c>
      <c r="P107" s="65">
        <v>122.1</v>
      </c>
      <c r="Q107" s="65">
        <v>126.9</v>
      </c>
      <c r="R107" s="65">
        <v>130.5</v>
      </c>
      <c r="S107" s="65">
        <v>130.5</v>
      </c>
      <c r="T107" s="65">
        <v>126.6</v>
      </c>
      <c r="U107" s="65">
        <v>126.6</v>
      </c>
      <c r="V107" s="65">
        <v>126.6</v>
      </c>
      <c r="W107" s="65">
        <v>126.6</v>
      </c>
      <c r="X107" s="65">
        <v>127.5</v>
      </c>
      <c r="Y107" s="65">
        <v>127.5</v>
      </c>
      <c r="Z107" s="65">
        <v>127.5</v>
      </c>
      <c r="AA107" s="65">
        <v>126.4</v>
      </c>
      <c r="AB107" s="65">
        <v>125.9</v>
      </c>
      <c r="AC107" s="65">
        <v>128</v>
      </c>
      <c r="AD107" s="65">
        <v>128</v>
      </c>
      <c r="AE107" s="65">
        <v>121.7</v>
      </c>
      <c r="AF107" s="65">
        <v>128.6</v>
      </c>
      <c r="AG107" s="104"/>
      <c r="AH107" s="47">
        <f t="shared" si="12"/>
        <v>133</v>
      </c>
      <c r="AI107" s="48">
        <f t="shared" si="13"/>
        <v>117</v>
      </c>
    </row>
    <row r="108" spans="1:37" ht="15.75" thickBot="1" x14ac:dyDescent="0.3">
      <c r="A108" s="103" t="s">
        <v>114</v>
      </c>
      <c r="B108" s="92">
        <v>63.2</v>
      </c>
      <c r="C108" s="92">
        <v>63.2</v>
      </c>
      <c r="D108" s="92">
        <v>63.2</v>
      </c>
      <c r="E108" s="92">
        <v>63.2</v>
      </c>
      <c r="F108" s="92">
        <v>64.8</v>
      </c>
      <c r="G108" s="92">
        <v>65</v>
      </c>
      <c r="H108" s="92">
        <v>63.9</v>
      </c>
      <c r="I108" s="92">
        <v>64</v>
      </c>
      <c r="J108" s="92">
        <v>64</v>
      </c>
      <c r="K108" s="92">
        <v>62.5</v>
      </c>
      <c r="L108" s="92">
        <v>63</v>
      </c>
      <c r="M108" s="92">
        <v>63</v>
      </c>
      <c r="N108" s="92">
        <v>63</v>
      </c>
      <c r="O108" s="92">
        <v>63</v>
      </c>
      <c r="P108" s="92">
        <v>61.8</v>
      </c>
      <c r="Q108" s="92">
        <v>61.5</v>
      </c>
      <c r="R108" s="92">
        <v>61.9</v>
      </c>
      <c r="S108" s="92">
        <v>61.9</v>
      </c>
      <c r="T108" s="92">
        <v>62.8</v>
      </c>
      <c r="U108" s="92">
        <v>62.8</v>
      </c>
      <c r="V108" s="92">
        <v>62.8</v>
      </c>
      <c r="W108" s="92">
        <v>63.6</v>
      </c>
      <c r="X108" s="92">
        <v>64</v>
      </c>
      <c r="Y108" s="92">
        <v>64</v>
      </c>
      <c r="Z108" s="92">
        <v>64</v>
      </c>
      <c r="AA108" s="92">
        <v>63.2</v>
      </c>
      <c r="AB108" s="92">
        <v>64.3</v>
      </c>
      <c r="AC108" s="92" t="s">
        <v>306</v>
      </c>
      <c r="AD108" s="92" t="s">
        <v>307</v>
      </c>
      <c r="AE108" s="92" t="s">
        <v>308</v>
      </c>
      <c r="AF108" s="92">
        <v>63.7</v>
      </c>
      <c r="AG108" s="108"/>
      <c r="AH108" s="47">
        <f t="shared" si="12"/>
        <v>65</v>
      </c>
      <c r="AI108" s="48">
        <f t="shared" si="13"/>
        <v>61.5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 t="s">
        <v>115</v>
      </c>
      <c r="Z109" s="92" t="s">
        <v>115</v>
      </c>
      <c r="AA109" s="92" t="s">
        <v>304</v>
      </c>
      <c r="AB109" s="92"/>
      <c r="AC109" s="92"/>
      <c r="AD109" s="92"/>
      <c r="AE109" s="92"/>
      <c r="AF109" s="92"/>
      <c r="AG109" s="108"/>
      <c r="AH109" s="47">
        <f t="shared" si="12"/>
        <v>0</v>
      </c>
      <c r="AI109" s="48">
        <f t="shared" si="13"/>
        <v>0</v>
      </c>
    </row>
    <row r="110" spans="1:37" ht="15.75" thickBot="1" x14ac:dyDescent="0.3">
      <c r="A110" s="110" t="s">
        <v>116</v>
      </c>
      <c r="B110" s="111">
        <f>SUM(B20,B26,B29:B30,B58,B60:B61,B63,B65,B111:B115,B138,B144,B150,B159,B161,B173,B180,B183:B184,B191,B193,B195,B199:B201,B203:B205,B210,B216:B217,B219:B221,B229,B234)</f>
        <v>70.849999999999994</v>
      </c>
      <c r="C110" s="111">
        <f t="shared" ref="C110:O110" si="24">SUM(C20,C26,C29:C30,C58,C60:C61,C63,C65,C111:C115,C138,C144,C150,C159,C161,C173,C180,C183:C184,C191,C193,C195,C199:C201,C203:C205,C210,C216:C217,C219:C221,C229,C234)</f>
        <v>79.290000000000006</v>
      </c>
      <c r="D110" s="111">
        <f t="shared" si="24"/>
        <v>53.790000000000006</v>
      </c>
      <c r="E110" s="111">
        <f>SUM(E20,E26,E29:E30,E58,E60:E61,E63,E65,E111:E115,E138,E144,E150,E159,E161,E173,E180,E183:E184,E191,E193,E195,E199:E201,E203:E205,E210,E216:E217,E219:E221,E229,E234)</f>
        <v>49.889999999999993</v>
      </c>
      <c r="F110" s="111">
        <f t="shared" si="24"/>
        <v>52.190000000000019</v>
      </c>
      <c r="G110" s="111">
        <f t="shared" si="24"/>
        <v>70.390000000000015</v>
      </c>
      <c r="H110" s="111">
        <f t="shared" si="24"/>
        <v>86.490000000000038</v>
      </c>
      <c r="I110" s="111">
        <f t="shared" si="24"/>
        <v>120.79</v>
      </c>
      <c r="J110" s="111">
        <f t="shared" si="24"/>
        <v>167.49</v>
      </c>
      <c r="K110" s="111">
        <f>SUM(K20,K26,K29:K30,K58,K60:K61,K63,K65,K111:K115,K138,K144,K150,K159,K161,K173,K180,K183:K184,K191,K193,K195,K199:K201,K203:K205,K210,K216:K217,K219:K221,K229,K234)</f>
        <v>205.19</v>
      </c>
      <c r="L110" s="111">
        <f t="shared" si="24"/>
        <v>240.29000000000005</v>
      </c>
      <c r="M110" s="111">
        <f t="shared" si="24"/>
        <v>0.94</v>
      </c>
      <c r="N110" s="111">
        <f t="shared" si="24"/>
        <v>240.29000000000005</v>
      </c>
      <c r="O110" s="111">
        <f t="shared" si="24"/>
        <v>221.79000000000002</v>
      </c>
      <c r="P110" s="111">
        <v>42</v>
      </c>
      <c r="Q110" s="111">
        <f t="shared" ref="Q110:AF110" si="25">SUM(Q20,Q26,Q29:Q30,Q58,Q60:Q61,Q63,Q65,Q111:Q115,Q138,Q144,Q150,Q159,Q161,Q173,Q180,Q183:Q184,Q191,Q193,Q195,Q199:Q201,Q203:Q205,Q210,Q216:Q217,Q219:Q221,Q229,Q234)</f>
        <v>220.23</v>
      </c>
      <c r="R110" s="111">
        <f t="shared" si="25"/>
        <v>257.95</v>
      </c>
      <c r="S110" s="111">
        <f t="shared" si="25"/>
        <v>237.45000000000002</v>
      </c>
      <c r="T110" s="111">
        <f t="shared" si="25"/>
        <v>223.74999999999997</v>
      </c>
      <c r="U110" s="111">
        <f t="shared" si="25"/>
        <v>248.9</v>
      </c>
      <c r="V110" s="111">
        <f t="shared" si="25"/>
        <v>192.2</v>
      </c>
      <c r="W110" s="111">
        <f t="shared" si="25"/>
        <v>189.2</v>
      </c>
      <c r="X110" s="111">
        <f t="shared" si="25"/>
        <v>241.49999999999994</v>
      </c>
      <c r="Y110" s="111">
        <f t="shared" ref="Y110:Z110" si="26">SUM(Y20,Y26,Y29:Y30,Y58,Y60:Y61,Y63,Y65,Y111:Y115,Y138,Y144,Y150,Y159,Y161,Y173,Y180,Y183:Y184,Y191,Y193,Y195,Y199:Y201,Y203:Y205,Y210,Y216:Y217,Y219:Y221,Y229,Y234)</f>
        <v>241.49999999999994</v>
      </c>
      <c r="Z110" s="111">
        <f t="shared" si="26"/>
        <v>241.49999999999994</v>
      </c>
      <c r="AA110" s="111">
        <v>300.44000000000005</v>
      </c>
      <c r="AB110" s="111">
        <f t="shared" si="25"/>
        <v>288.59999999999997</v>
      </c>
      <c r="AC110" s="111">
        <f t="shared" si="25"/>
        <v>246</v>
      </c>
      <c r="AD110" s="111"/>
      <c r="AE110" s="111">
        <f t="shared" si="25"/>
        <v>154.89999999999998</v>
      </c>
      <c r="AF110" s="111">
        <f t="shared" si="25"/>
        <v>108.5</v>
      </c>
      <c r="AG110" s="112"/>
      <c r="AH110" s="47">
        <f t="shared" si="12"/>
        <v>300.44000000000005</v>
      </c>
      <c r="AI110" s="48">
        <f t="shared" si="13"/>
        <v>0.94</v>
      </c>
    </row>
    <row r="111" spans="1:37" x14ac:dyDescent="0.25">
      <c r="A111" s="100" t="s">
        <v>117</v>
      </c>
      <c r="B111" s="113">
        <v>19.100000000000001</v>
      </c>
      <c r="C111" s="113">
        <v>16.899999999999999</v>
      </c>
      <c r="D111" s="113">
        <v>16.899999999999999</v>
      </c>
      <c r="E111" s="113">
        <v>18.100000000000001</v>
      </c>
      <c r="F111" s="113">
        <v>18.399999999999999</v>
      </c>
      <c r="G111" s="113">
        <v>23</v>
      </c>
      <c r="H111" s="113">
        <v>22.3</v>
      </c>
      <c r="I111" s="113">
        <v>23.6</v>
      </c>
      <c r="J111" s="113">
        <v>18.399999999999999</v>
      </c>
      <c r="K111" s="113">
        <v>26.6</v>
      </c>
      <c r="L111" s="113">
        <v>30.3</v>
      </c>
      <c r="M111" s="113"/>
      <c r="N111" s="113">
        <v>30.3</v>
      </c>
      <c r="O111" s="113">
        <v>45</v>
      </c>
      <c r="P111" s="113">
        <v>59.5</v>
      </c>
      <c r="Q111" s="113">
        <v>42.98</v>
      </c>
      <c r="R111" s="113">
        <v>43.9</v>
      </c>
      <c r="S111" s="113">
        <v>43.9</v>
      </c>
      <c r="T111" s="113">
        <v>44.4</v>
      </c>
      <c r="U111" s="113">
        <v>59.8</v>
      </c>
      <c r="V111" s="113">
        <v>45</v>
      </c>
      <c r="W111" s="113">
        <v>29.5</v>
      </c>
      <c r="X111" s="113">
        <v>40.700000000000003</v>
      </c>
      <c r="Y111" s="113">
        <v>40.700000000000003</v>
      </c>
      <c r="Z111" s="113">
        <v>40.700000000000003</v>
      </c>
      <c r="AA111" s="113">
        <v>48.3</v>
      </c>
      <c r="AB111" s="113">
        <v>64.3</v>
      </c>
      <c r="AC111" s="113">
        <v>30.7</v>
      </c>
      <c r="AD111" s="113">
        <v>30.7</v>
      </c>
      <c r="AE111" s="113">
        <v>28.7</v>
      </c>
      <c r="AF111" s="113">
        <v>28.1</v>
      </c>
      <c r="AG111" s="114">
        <v>75</v>
      </c>
      <c r="AH111" s="47">
        <f t="shared" si="12"/>
        <v>64.3</v>
      </c>
      <c r="AI111" s="48">
        <f t="shared" si="13"/>
        <v>16.899999999999999</v>
      </c>
    </row>
    <row r="112" spans="1:37" x14ac:dyDescent="0.25">
      <c r="A112" s="103" t="s">
        <v>118</v>
      </c>
      <c r="B112" s="115">
        <v>36.700000000000003</v>
      </c>
      <c r="C112" s="115">
        <v>33.4</v>
      </c>
      <c r="D112" s="115">
        <v>33.4</v>
      </c>
      <c r="E112" s="115">
        <v>35.6</v>
      </c>
      <c r="F112" s="115">
        <v>34.700000000000003</v>
      </c>
      <c r="G112" s="115">
        <v>44</v>
      </c>
      <c r="H112" s="115">
        <v>40.299999999999997</v>
      </c>
      <c r="I112" s="115">
        <v>40.4</v>
      </c>
      <c r="J112" s="115">
        <v>32.299999999999997</v>
      </c>
      <c r="K112" s="115">
        <v>47.7</v>
      </c>
      <c r="L112" s="115">
        <v>52.8</v>
      </c>
      <c r="M112" s="115"/>
      <c r="N112" s="115">
        <v>52.8</v>
      </c>
      <c r="O112" s="115">
        <v>88</v>
      </c>
      <c r="P112" s="115">
        <v>95.9</v>
      </c>
      <c r="Q112" s="115">
        <v>71.400000000000006</v>
      </c>
      <c r="R112" s="115">
        <v>72.099999999999994</v>
      </c>
      <c r="S112" s="115">
        <v>75</v>
      </c>
      <c r="T112" s="115">
        <v>76.099999999999994</v>
      </c>
      <c r="U112" s="115">
        <v>94.4</v>
      </c>
      <c r="V112" s="115">
        <v>52.5</v>
      </c>
      <c r="W112" s="115">
        <v>49.5</v>
      </c>
      <c r="X112" s="115">
        <v>58.7</v>
      </c>
      <c r="Y112" s="115">
        <v>58.7</v>
      </c>
      <c r="Z112" s="115">
        <v>58.7</v>
      </c>
      <c r="AA112" s="115">
        <v>69.900000000000006</v>
      </c>
      <c r="AB112" s="115">
        <v>98.9</v>
      </c>
      <c r="AC112" s="115">
        <v>52.5</v>
      </c>
      <c r="AD112" s="115">
        <v>52.5</v>
      </c>
      <c r="AE112" s="115">
        <v>52.5</v>
      </c>
      <c r="AF112" s="115">
        <v>52.7</v>
      </c>
      <c r="AG112" s="114">
        <v>240</v>
      </c>
      <c r="AH112" s="47">
        <f t="shared" si="12"/>
        <v>98.9</v>
      </c>
      <c r="AI112" s="48">
        <f t="shared" si="13"/>
        <v>32.299999999999997</v>
      </c>
    </row>
    <row r="113" spans="1:37" x14ac:dyDescent="0.25">
      <c r="A113" s="103" t="s">
        <v>119</v>
      </c>
      <c r="B113" s="115">
        <v>-141.30000000000001</v>
      </c>
      <c r="C113" s="115">
        <v>-132</v>
      </c>
      <c r="D113" s="115">
        <v>-132</v>
      </c>
      <c r="E113" s="115">
        <v>-137.1</v>
      </c>
      <c r="F113" s="115">
        <v>-133</v>
      </c>
      <c r="G113" s="115">
        <v>-134</v>
      </c>
      <c r="H113" s="115">
        <v>-108</v>
      </c>
      <c r="I113" s="115">
        <v>-133</v>
      </c>
      <c r="J113" s="115">
        <v>-105</v>
      </c>
      <c r="K113" s="115">
        <v>-107</v>
      </c>
      <c r="L113" s="115">
        <v>-93</v>
      </c>
      <c r="M113" s="115"/>
      <c r="N113" s="115">
        <v>-93</v>
      </c>
      <c r="O113" s="115">
        <v>-120</v>
      </c>
      <c r="P113" s="115">
        <v>-145</v>
      </c>
      <c r="Q113" s="115">
        <v>-128</v>
      </c>
      <c r="R113" s="115">
        <v>-108</v>
      </c>
      <c r="S113" s="115">
        <f>-71-60.4</f>
        <v>-131.4</v>
      </c>
      <c r="T113" s="115">
        <f>-72.6-61.5</f>
        <v>-134.1</v>
      </c>
      <c r="U113" s="115">
        <f>-66.7-64.7</f>
        <v>-131.4</v>
      </c>
      <c r="V113" s="115">
        <f t="shared" ref="V113:W113" si="27">-66.7-64.7</f>
        <v>-131.4</v>
      </c>
      <c r="W113" s="115">
        <f t="shared" si="27"/>
        <v>-131.4</v>
      </c>
      <c r="X113" s="115">
        <f>-43.7-46.7</f>
        <v>-90.4</v>
      </c>
      <c r="Y113" s="115">
        <f t="shared" ref="Y113:Z113" si="28">-43.7-46.7</f>
        <v>-90.4</v>
      </c>
      <c r="Z113" s="115">
        <f t="shared" si="28"/>
        <v>-90.4</v>
      </c>
      <c r="AA113" s="115">
        <v>-95.7</v>
      </c>
      <c r="AB113" s="115">
        <v>-115</v>
      </c>
      <c r="AC113" s="115">
        <v>-95</v>
      </c>
      <c r="AD113" s="115">
        <v>-95</v>
      </c>
      <c r="AE113" s="115">
        <v>-146</v>
      </c>
      <c r="AF113" s="115">
        <v>-166</v>
      </c>
      <c r="AG113" s="114">
        <v>240</v>
      </c>
      <c r="AH113" s="47">
        <f t="shared" si="12"/>
        <v>-90.4</v>
      </c>
      <c r="AI113" s="48">
        <f t="shared" si="13"/>
        <v>-166</v>
      </c>
    </row>
    <row r="114" spans="1:37" x14ac:dyDescent="0.25">
      <c r="A114" s="103" t="s">
        <v>120</v>
      </c>
      <c r="B114" s="115">
        <v>-22.1</v>
      </c>
      <c r="C114" s="115">
        <v>-17.2</v>
      </c>
      <c r="D114" s="115">
        <v>-18.2</v>
      </c>
      <c r="E114" s="115">
        <v>-20.399999999999999</v>
      </c>
      <c r="F114" s="115">
        <v>-21</v>
      </c>
      <c r="G114" s="115">
        <v>-16</v>
      </c>
      <c r="H114" s="115">
        <v>-16.600000000000001</v>
      </c>
      <c r="I114" s="115">
        <v>-13.2</v>
      </c>
      <c r="J114" s="115">
        <v>-6.2</v>
      </c>
      <c r="K114" s="115">
        <v>-0.4</v>
      </c>
      <c r="L114" s="115">
        <v>3.4</v>
      </c>
      <c r="M114" s="115"/>
      <c r="N114" s="115">
        <v>3.4</v>
      </c>
      <c r="O114" s="115">
        <v>5</v>
      </c>
      <c r="P114" s="115">
        <v>8.1</v>
      </c>
      <c r="Q114" s="115">
        <v>14.2</v>
      </c>
      <c r="R114" s="115">
        <v>18.3</v>
      </c>
      <c r="S114" s="115">
        <v>18.3</v>
      </c>
      <c r="T114" s="115">
        <v>13.6</v>
      </c>
      <c r="U114" s="115">
        <v>-2.2999999999999998</v>
      </c>
      <c r="V114" s="115">
        <v>-2.2999999999999998</v>
      </c>
      <c r="W114" s="115">
        <v>-2.2999999999999998</v>
      </c>
      <c r="X114" s="115">
        <v>0.2</v>
      </c>
      <c r="Y114" s="115">
        <v>0.2</v>
      </c>
      <c r="Z114" s="115">
        <v>0.2</v>
      </c>
      <c r="AA114" s="115">
        <v>9.3000000000000007</v>
      </c>
      <c r="AB114" s="115">
        <v>6.4</v>
      </c>
      <c r="AC114" s="115">
        <v>6.4</v>
      </c>
      <c r="AD114" s="115">
        <v>6.4</v>
      </c>
      <c r="AE114" s="115">
        <v>-7.9</v>
      </c>
      <c r="AF114" s="115">
        <v>-12.2</v>
      </c>
      <c r="AG114" s="114">
        <v>60</v>
      </c>
      <c r="AH114" s="47">
        <f t="shared" si="12"/>
        <v>18.3</v>
      </c>
      <c r="AI114" s="48">
        <f t="shared" si="13"/>
        <v>-22.1</v>
      </c>
    </row>
    <row r="115" spans="1:37" x14ac:dyDescent="0.25">
      <c r="A115" s="116" t="s">
        <v>121</v>
      </c>
      <c r="B115" s="117">
        <v>41.2</v>
      </c>
      <c r="C115" s="117">
        <v>40</v>
      </c>
      <c r="D115" s="117">
        <v>15.5</v>
      </c>
      <c r="E115" s="117">
        <v>15.5</v>
      </c>
      <c r="F115" s="117">
        <v>14.9</v>
      </c>
      <c r="G115" s="117">
        <v>15.4</v>
      </c>
      <c r="H115" s="117">
        <v>15.5</v>
      </c>
      <c r="I115" s="117">
        <v>70</v>
      </c>
      <c r="J115" s="117">
        <v>95</v>
      </c>
      <c r="K115" s="117">
        <v>95.3</v>
      </c>
      <c r="L115" s="117">
        <v>99</v>
      </c>
      <c r="M115" s="117"/>
      <c r="N115" s="117">
        <v>99</v>
      </c>
      <c r="O115" s="117">
        <v>56</v>
      </c>
      <c r="P115" s="117">
        <v>52.8</v>
      </c>
      <c r="Q115" s="117">
        <v>71.099999999999994</v>
      </c>
      <c r="R115" s="117">
        <v>82</v>
      </c>
      <c r="S115" s="117">
        <v>82</v>
      </c>
      <c r="T115" s="117">
        <v>74.099999999999994</v>
      </c>
      <c r="U115" s="117">
        <v>80.5</v>
      </c>
      <c r="V115" s="117">
        <v>80.5</v>
      </c>
      <c r="W115" s="117">
        <v>96</v>
      </c>
      <c r="X115" s="117">
        <v>84.4</v>
      </c>
      <c r="Y115" s="117">
        <v>84.4</v>
      </c>
      <c r="Z115" s="117">
        <v>84.4</v>
      </c>
      <c r="AA115" s="117">
        <v>92.9</v>
      </c>
      <c r="AB115" s="117">
        <v>78.3</v>
      </c>
      <c r="AC115" s="117">
        <v>95.7</v>
      </c>
      <c r="AD115" s="117">
        <v>95.7</v>
      </c>
      <c r="AE115" s="117">
        <v>71.900000000000006</v>
      </c>
      <c r="AF115" s="117">
        <v>48.9</v>
      </c>
      <c r="AG115" s="118">
        <v>120</v>
      </c>
      <c r="AH115" s="47">
        <f t="shared" si="12"/>
        <v>99</v>
      </c>
      <c r="AI115" s="48">
        <f t="shared" si="13"/>
        <v>14.9</v>
      </c>
    </row>
    <row r="116" spans="1:37" x14ac:dyDescent="0.25">
      <c r="A116" s="116" t="s">
        <v>122</v>
      </c>
      <c r="B116" s="117">
        <v>91.5</v>
      </c>
      <c r="C116" s="117">
        <v>81.8</v>
      </c>
      <c r="D116" s="117">
        <v>81.8</v>
      </c>
      <c r="E116" s="117">
        <v>81.8</v>
      </c>
      <c r="F116" s="117">
        <v>75.7</v>
      </c>
      <c r="G116" s="117">
        <v>74.8</v>
      </c>
      <c r="H116" s="117">
        <v>85.9</v>
      </c>
      <c r="I116" s="117">
        <v>76</v>
      </c>
      <c r="J116" s="117">
        <v>92</v>
      </c>
      <c r="K116" s="117">
        <v>95.5</v>
      </c>
      <c r="L116" s="117">
        <v>95.8</v>
      </c>
      <c r="M116" s="117"/>
      <c r="N116" s="117">
        <v>85</v>
      </c>
      <c r="O116" s="117">
        <v>80</v>
      </c>
      <c r="P116" s="117">
        <v>82.9</v>
      </c>
      <c r="Q116" s="117">
        <v>89</v>
      </c>
      <c r="R116" s="117">
        <v>88</v>
      </c>
      <c r="S116" s="117">
        <v>88</v>
      </c>
      <c r="T116" s="117">
        <v>84.7</v>
      </c>
      <c r="U116" s="117">
        <v>91</v>
      </c>
      <c r="V116" s="117">
        <v>91</v>
      </c>
      <c r="W116" s="117">
        <v>88.2</v>
      </c>
      <c r="X116" s="117">
        <v>79</v>
      </c>
      <c r="Y116" s="117">
        <v>79</v>
      </c>
      <c r="Z116" s="117">
        <v>79</v>
      </c>
      <c r="AA116" s="117">
        <v>83.3</v>
      </c>
      <c r="AB116" s="117">
        <v>71.099999999999994</v>
      </c>
      <c r="AC116" s="117">
        <v>89.7</v>
      </c>
      <c r="AD116" s="117">
        <v>89.7</v>
      </c>
      <c r="AE116" s="117">
        <v>83.2</v>
      </c>
      <c r="AF116" s="117">
        <v>67.7</v>
      </c>
      <c r="AG116" s="118"/>
      <c r="AH116" s="47">
        <f t="shared" si="12"/>
        <v>95.8</v>
      </c>
      <c r="AI116" s="48">
        <f t="shared" si="13"/>
        <v>67.7</v>
      </c>
    </row>
    <row r="117" spans="1:37" x14ac:dyDescent="0.25">
      <c r="A117" s="116" t="s">
        <v>123</v>
      </c>
      <c r="B117" s="117">
        <v>47.9</v>
      </c>
      <c r="C117" s="117">
        <v>52.3</v>
      </c>
      <c r="D117" s="117">
        <v>56.3</v>
      </c>
      <c r="E117" s="117">
        <v>56.3</v>
      </c>
      <c r="F117" s="117">
        <v>54.3</v>
      </c>
      <c r="G117" s="117">
        <v>49.7</v>
      </c>
      <c r="H117" s="117">
        <v>42.7</v>
      </c>
      <c r="I117" s="117">
        <v>44.9</v>
      </c>
      <c r="J117" s="117">
        <v>58</v>
      </c>
      <c r="K117" s="117">
        <v>55.6</v>
      </c>
      <c r="L117" s="117">
        <v>57.3</v>
      </c>
      <c r="M117" s="117"/>
      <c r="N117" s="117">
        <v>26</v>
      </c>
      <c r="O117" s="117">
        <v>19</v>
      </c>
      <c r="P117" s="117">
        <v>18.7</v>
      </c>
      <c r="Q117" s="117">
        <v>43.2</v>
      </c>
      <c r="R117" s="117">
        <v>37.200000000000003</v>
      </c>
      <c r="S117" s="117">
        <v>37.200000000000003</v>
      </c>
      <c r="T117" s="117">
        <v>35.1</v>
      </c>
      <c r="U117" s="117">
        <v>18.399999999999999</v>
      </c>
      <c r="V117" s="117">
        <v>18.399999999999999</v>
      </c>
      <c r="W117" s="117">
        <v>43.8</v>
      </c>
      <c r="X117" s="117">
        <v>35.200000000000003</v>
      </c>
      <c r="Y117" s="117">
        <v>35.200000000000003</v>
      </c>
      <c r="Z117" s="117">
        <v>35.200000000000003</v>
      </c>
      <c r="AA117" s="117">
        <v>27.9</v>
      </c>
      <c r="AB117" s="117">
        <v>21.7</v>
      </c>
      <c r="AC117" s="117">
        <v>42</v>
      </c>
      <c r="AD117" s="117">
        <v>42</v>
      </c>
      <c r="AE117" s="117">
        <v>46.6</v>
      </c>
      <c r="AF117" s="117">
        <v>46</v>
      </c>
      <c r="AG117" s="119"/>
      <c r="AH117" s="47">
        <f t="shared" si="12"/>
        <v>58</v>
      </c>
      <c r="AI117" s="48">
        <f t="shared" si="13"/>
        <v>18.399999999999999</v>
      </c>
    </row>
    <row r="118" spans="1:37" x14ac:dyDescent="0.25">
      <c r="A118" s="120" t="s">
        <v>124</v>
      </c>
      <c r="B118" s="106">
        <v>16.7</v>
      </c>
      <c r="C118" s="106">
        <v>49.6</v>
      </c>
      <c r="D118" s="106">
        <v>65.3</v>
      </c>
      <c r="E118" s="106">
        <v>65.3</v>
      </c>
      <c r="F118" s="106">
        <v>73</v>
      </c>
      <c r="G118" s="106">
        <v>68</v>
      </c>
      <c r="H118" s="106">
        <v>63.9</v>
      </c>
      <c r="I118" s="106">
        <v>91</v>
      </c>
      <c r="J118" s="106">
        <v>91</v>
      </c>
      <c r="K118" s="106">
        <v>91</v>
      </c>
      <c r="L118" s="106">
        <v>91</v>
      </c>
      <c r="M118" s="106"/>
      <c r="N118" s="106">
        <v>91</v>
      </c>
      <c r="O118" s="106">
        <v>95</v>
      </c>
      <c r="P118" s="106">
        <v>95</v>
      </c>
      <c r="Q118" s="106">
        <v>75</v>
      </c>
      <c r="R118" s="106">
        <v>55</v>
      </c>
      <c r="S118" s="106">
        <v>55</v>
      </c>
      <c r="T118" s="106">
        <v>55</v>
      </c>
      <c r="U118" s="106">
        <v>-27.7</v>
      </c>
      <c r="V118" s="106">
        <v>-27.7</v>
      </c>
      <c r="W118" s="106">
        <v>-42.3</v>
      </c>
      <c r="X118" s="106">
        <v>-42.7</v>
      </c>
      <c r="Y118" s="106">
        <v>-42.7</v>
      </c>
      <c r="Z118" s="106">
        <v>-42.7</v>
      </c>
      <c r="AA118" s="106">
        <v>-16.100000000000001</v>
      </c>
      <c r="AB118" s="106">
        <v>-19.8</v>
      </c>
      <c r="AC118" s="106">
        <v>18.899999999999999</v>
      </c>
      <c r="AD118" s="106">
        <v>18.899999999999999</v>
      </c>
      <c r="AE118" s="106">
        <v>25.6</v>
      </c>
      <c r="AF118" s="106">
        <v>29.9</v>
      </c>
      <c r="AG118" s="119"/>
      <c r="AH118" s="47">
        <f t="shared" si="12"/>
        <v>95</v>
      </c>
      <c r="AI118" s="48">
        <f t="shared" si="13"/>
        <v>-42.7</v>
      </c>
    </row>
    <row r="119" spans="1:37" x14ac:dyDescent="0.25">
      <c r="A119" s="175" t="s">
        <v>265</v>
      </c>
      <c r="B119" s="106">
        <v>60.7</v>
      </c>
      <c r="C119" s="106">
        <v>59</v>
      </c>
      <c r="D119" s="106">
        <v>63.5</v>
      </c>
      <c r="E119" s="106">
        <v>63.5</v>
      </c>
      <c r="F119" s="106">
        <v>61.4</v>
      </c>
      <c r="G119" s="106">
        <v>59</v>
      </c>
      <c r="H119" s="106">
        <v>48.4</v>
      </c>
      <c r="I119" s="106">
        <v>56.2</v>
      </c>
      <c r="J119" s="106">
        <v>44.9</v>
      </c>
      <c r="K119" s="106">
        <v>31.9</v>
      </c>
      <c r="L119" s="106">
        <v>32.200000000000003</v>
      </c>
      <c r="M119" s="106"/>
      <c r="N119" s="106">
        <v>55</v>
      </c>
      <c r="O119" s="106">
        <v>68</v>
      </c>
      <c r="P119" s="106">
        <v>77.5</v>
      </c>
      <c r="Q119" s="106">
        <v>33.299999999999997</v>
      </c>
      <c r="R119" s="106">
        <v>34</v>
      </c>
      <c r="S119" s="106">
        <v>34</v>
      </c>
      <c r="T119" s="106">
        <v>34</v>
      </c>
      <c r="U119" s="106">
        <v>34</v>
      </c>
      <c r="V119" s="106">
        <v>34</v>
      </c>
      <c r="W119" s="106">
        <v>35.6</v>
      </c>
      <c r="X119" s="106">
        <v>40.1</v>
      </c>
      <c r="Y119" s="106">
        <v>40.1</v>
      </c>
      <c r="Z119" s="106">
        <v>40.1</v>
      </c>
      <c r="AA119" s="106">
        <v>43.5</v>
      </c>
      <c r="AB119" s="106">
        <v>51.9</v>
      </c>
      <c r="AC119" s="106">
        <v>42.7</v>
      </c>
      <c r="AD119" s="106">
        <v>42.7</v>
      </c>
      <c r="AE119" s="106">
        <v>70.599999999999994</v>
      </c>
      <c r="AF119" s="106">
        <v>86.3</v>
      </c>
      <c r="AG119" s="119"/>
      <c r="AH119" s="47">
        <f t="shared" si="12"/>
        <v>86.3</v>
      </c>
      <c r="AI119" s="48">
        <f t="shared" si="13"/>
        <v>31.9</v>
      </c>
    </row>
    <row r="120" spans="1:37" ht="15.75" thickBot="1" x14ac:dyDescent="0.3">
      <c r="A120" s="120" t="s">
        <v>125</v>
      </c>
      <c r="B120" s="106">
        <v>27.3</v>
      </c>
      <c r="C120" s="106">
        <v>17</v>
      </c>
      <c r="D120" s="106">
        <v>-5.6</v>
      </c>
      <c r="E120" s="106">
        <v>-5.6</v>
      </c>
      <c r="F120" s="106">
        <v>0.6</v>
      </c>
      <c r="G120" s="106">
        <v>-4.3</v>
      </c>
      <c r="H120" s="106">
        <v>-3.7</v>
      </c>
      <c r="I120" s="106">
        <v>-12.7</v>
      </c>
      <c r="J120" s="106">
        <v>-8.1999999999999993</v>
      </c>
      <c r="K120" s="106">
        <v>-4.8</v>
      </c>
      <c r="L120" s="106">
        <v>-4.8</v>
      </c>
      <c r="M120" s="106"/>
      <c r="N120" s="106">
        <v>16.600000000000001</v>
      </c>
      <c r="O120" s="106">
        <v>18.2</v>
      </c>
      <c r="P120" s="106">
        <v>20</v>
      </c>
      <c r="Q120" s="106">
        <v>27.5</v>
      </c>
      <c r="R120" s="106">
        <v>52</v>
      </c>
      <c r="S120" s="106">
        <v>52</v>
      </c>
      <c r="T120" s="106">
        <v>59.9</v>
      </c>
      <c r="U120" s="106">
        <v>64.8</v>
      </c>
      <c r="V120" s="106">
        <v>64.8</v>
      </c>
      <c r="W120" s="106">
        <v>63.7</v>
      </c>
      <c r="X120" s="106">
        <v>36.5</v>
      </c>
      <c r="Y120" s="106">
        <v>36.5</v>
      </c>
      <c r="Z120" s="106">
        <v>36.5</v>
      </c>
      <c r="AA120" s="106">
        <v>65.3</v>
      </c>
      <c r="AB120" s="106">
        <v>71.599999999999994</v>
      </c>
      <c r="AC120" s="106">
        <v>79.12</v>
      </c>
      <c r="AD120" s="106">
        <v>79.12</v>
      </c>
      <c r="AE120" s="106">
        <v>74.3</v>
      </c>
      <c r="AF120" s="106">
        <v>81.400000000000006</v>
      </c>
      <c r="AG120" s="119"/>
      <c r="AH120" s="47">
        <f t="shared" si="12"/>
        <v>81.400000000000006</v>
      </c>
      <c r="AI120" s="48">
        <f t="shared" si="13"/>
        <v>-12.7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29">SUM(B122:B226)</f>
        <v>0</v>
      </c>
      <c r="C227" s="136">
        <f t="shared" si="29"/>
        <v>0</v>
      </c>
      <c r="D227" s="136">
        <f t="shared" si="29"/>
        <v>0</v>
      </c>
      <c r="E227" s="136">
        <f t="shared" si="29"/>
        <v>0</v>
      </c>
      <c r="F227" s="136">
        <f t="shared" si="29"/>
        <v>0</v>
      </c>
      <c r="G227" s="136">
        <f t="shared" si="29"/>
        <v>0</v>
      </c>
      <c r="H227" s="136">
        <f t="shared" si="29"/>
        <v>0</v>
      </c>
      <c r="I227" s="136">
        <f t="shared" si="29"/>
        <v>0</v>
      </c>
      <c r="J227" s="136">
        <f t="shared" si="29"/>
        <v>0</v>
      </c>
      <c r="K227" s="136">
        <f t="shared" si="29"/>
        <v>0</v>
      </c>
      <c r="L227" s="136">
        <f t="shared" si="29"/>
        <v>0</v>
      </c>
      <c r="M227" s="136">
        <f t="shared" si="29"/>
        <v>0</v>
      </c>
      <c r="N227" s="136">
        <f t="shared" si="29"/>
        <v>0</v>
      </c>
      <c r="O227" s="136">
        <f t="shared" si="29"/>
        <v>0</v>
      </c>
      <c r="P227" s="136">
        <f t="shared" si="29"/>
        <v>0</v>
      </c>
      <c r="Q227" s="136">
        <f t="shared" si="29"/>
        <v>0</v>
      </c>
      <c r="R227" s="136">
        <f t="shared" si="29"/>
        <v>0</v>
      </c>
      <c r="S227" s="136">
        <f t="shared" si="29"/>
        <v>0</v>
      </c>
      <c r="T227" s="136">
        <f t="shared" si="29"/>
        <v>0</v>
      </c>
      <c r="U227" s="136">
        <f t="shared" si="29"/>
        <v>0</v>
      </c>
      <c r="V227" s="136">
        <f t="shared" si="29"/>
        <v>0</v>
      </c>
      <c r="W227" s="136">
        <f t="shared" si="29"/>
        <v>0</v>
      </c>
      <c r="X227" s="136">
        <f t="shared" si="29"/>
        <v>0</v>
      </c>
      <c r="Y227" s="136">
        <f t="shared" si="29"/>
        <v>0</v>
      </c>
      <c r="Z227" s="136">
        <f t="shared" si="29"/>
        <v>0</v>
      </c>
      <c r="AA227" s="136">
        <f t="shared" si="29"/>
        <v>0</v>
      </c>
      <c r="AB227" s="136">
        <f t="shared" si="29"/>
        <v>0</v>
      </c>
      <c r="AC227" s="136">
        <f t="shared" si="29"/>
        <v>0</v>
      </c>
      <c r="AD227" s="136">
        <f t="shared" si="29"/>
        <v>0</v>
      </c>
      <c r="AE227" s="136">
        <f t="shared" si="29"/>
        <v>0</v>
      </c>
      <c r="AF227" s="137">
        <f t="shared" si="29"/>
        <v>0</v>
      </c>
      <c r="AG227" s="138">
        <f t="shared" si="29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30">AF229</f>
        <v>0</v>
      </c>
      <c r="C229" s="140">
        <v>0.3</v>
      </c>
      <c r="D229" s="140">
        <f t="shared" ref="D229:P234" si="31">C229</f>
        <v>0.3</v>
      </c>
      <c r="E229" s="140">
        <f t="shared" si="31"/>
        <v>0.3</v>
      </c>
      <c r="F229" s="140">
        <f t="shared" si="31"/>
        <v>0.3</v>
      </c>
      <c r="G229" s="140">
        <f t="shared" si="31"/>
        <v>0.3</v>
      </c>
      <c r="H229" s="140">
        <f t="shared" si="31"/>
        <v>0.3</v>
      </c>
      <c r="I229" s="140">
        <f t="shared" si="31"/>
        <v>0.3</v>
      </c>
      <c r="J229" s="140">
        <f t="shared" si="31"/>
        <v>0.3</v>
      </c>
      <c r="K229" s="140">
        <f t="shared" si="31"/>
        <v>0.3</v>
      </c>
      <c r="L229" s="140">
        <f t="shared" si="31"/>
        <v>0.3</v>
      </c>
      <c r="M229" s="140">
        <f t="shared" si="31"/>
        <v>0.3</v>
      </c>
      <c r="N229" s="140">
        <f t="shared" si="31"/>
        <v>0.3</v>
      </c>
      <c r="O229" s="140">
        <f t="shared" si="31"/>
        <v>0.3</v>
      </c>
      <c r="P229" s="140">
        <f t="shared" si="31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30"/>
        <v>0</v>
      </c>
      <c r="C230" s="128">
        <v>0.4</v>
      </c>
      <c r="D230" s="128">
        <f t="shared" si="31"/>
        <v>0.4</v>
      </c>
      <c r="E230" s="128">
        <f t="shared" si="31"/>
        <v>0.4</v>
      </c>
      <c r="F230" s="128">
        <f t="shared" si="31"/>
        <v>0.4</v>
      </c>
      <c r="G230" s="128">
        <f t="shared" si="31"/>
        <v>0.4</v>
      </c>
      <c r="H230" s="128">
        <f t="shared" si="31"/>
        <v>0.4</v>
      </c>
      <c r="I230" s="128">
        <f t="shared" si="31"/>
        <v>0.4</v>
      </c>
      <c r="J230" s="128">
        <f t="shared" si="31"/>
        <v>0.4</v>
      </c>
      <c r="K230" s="128">
        <f t="shared" si="31"/>
        <v>0.4</v>
      </c>
      <c r="L230" s="128">
        <f t="shared" si="31"/>
        <v>0.4</v>
      </c>
      <c r="M230" s="128">
        <f t="shared" si="31"/>
        <v>0.4</v>
      </c>
      <c r="N230" s="128">
        <f t="shared" si="31"/>
        <v>0.4</v>
      </c>
      <c r="O230" s="128">
        <f t="shared" si="31"/>
        <v>0.4</v>
      </c>
      <c r="P230" s="128">
        <f t="shared" si="31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30"/>
        <v>0</v>
      </c>
      <c r="C231" s="128">
        <v>1.5</v>
      </c>
      <c r="D231" s="128">
        <f t="shared" si="31"/>
        <v>1.5</v>
      </c>
      <c r="E231" s="128">
        <f t="shared" si="31"/>
        <v>1.5</v>
      </c>
      <c r="F231" s="128">
        <f t="shared" si="31"/>
        <v>1.5</v>
      </c>
      <c r="G231" s="128">
        <f t="shared" si="31"/>
        <v>1.5</v>
      </c>
      <c r="H231" s="128">
        <f t="shared" si="31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31"/>
        <v>123.21900000000009</v>
      </c>
      <c r="K231" s="128">
        <f t="shared" ca="1" si="31"/>
        <v>123.21900000000009</v>
      </c>
      <c r="L231" s="128">
        <f t="shared" ca="1" si="31"/>
        <v>123.21900000000009</v>
      </c>
      <c r="M231" s="128">
        <f t="shared" ca="1" si="31"/>
        <v>123.21900000000009</v>
      </c>
      <c r="N231" s="128">
        <f t="shared" ca="1" si="31"/>
        <v>123.21900000000009</v>
      </c>
      <c r="O231" s="128">
        <f t="shared" ca="1" si="31"/>
        <v>119.19900000000008</v>
      </c>
      <c r="P231" s="128">
        <f t="shared" ca="1" si="31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30"/>
        <v>0</v>
      </c>
      <c r="C232" s="128">
        <v>0.3</v>
      </c>
      <c r="D232" s="128">
        <f t="shared" si="31"/>
        <v>0.3</v>
      </c>
      <c r="E232" s="128">
        <f t="shared" si="31"/>
        <v>0.3</v>
      </c>
      <c r="F232" s="128">
        <f t="shared" si="31"/>
        <v>0.3</v>
      </c>
      <c r="G232" s="128">
        <f t="shared" si="31"/>
        <v>0.3</v>
      </c>
      <c r="H232" s="128">
        <f t="shared" si="31"/>
        <v>0.3</v>
      </c>
      <c r="I232" s="128">
        <f t="shared" si="31"/>
        <v>0.3</v>
      </c>
      <c r="J232" s="128">
        <f t="shared" si="31"/>
        <v>0.3</v>
      </c>
      <c r="K232" s="128">
        <f t="shared" si="31"/>
        <v>0.3</v>
      </c>
      <c r="L232" s="128">
        <f t="shared" si="31"/>
        <v>0.3</v>
      </c>
      <c r="M232" s="128">
        <f t="shared" si="31"/>
        <v>0.3</v>
      </c>
      <c r="N232" s="128">
        <f t="shared" si="31"/>
        <v>0.3</v>
      </c>
      <c r="O232" s="128">
        <f t="shared" si="31"/>
        <v>0.3</v>
      </c>
      <c r="P232" s="128">
        <f t="shared" si="31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30"/>
        <v>0</v>
      </c>
      <c r="C233" s="128">
        <v>0.4</v>
      </c>
      <c r="D233" s="128">
        <f t="shared" si="31"/>
        <v>0.4</v>
      </c>
      <c r="E233" s="128">
        <f t="shared" si="31"/>
        <v>0.4</v>
      </c>
      <c r="F233" s="128">
        <f t="shared" si="31"/>
        <v>0.4</v>
      </c>
      <c r="G233" s="128">
        <f t="shared" si="31"/>
        <v>0.4</v>
      </c>
      <c r="H233" s="128">
        <f t="shared" si="31"/>
        <v>0.4</v>
      </c>
      <c r="I233" s="128">
        <f t="shared" si="31"/>
        <v>0.4</v>
      </c>
      <c r="J233" s="128">
        <f t="shared" si="31"/>
        <v>0.4</v>
      </c>
      <c r="K233" s="128">
        <f t="shared" si="31"/>
        <v>0.4</v>
      </c>
      <c r="L233" s="128">
        <f t="shared" si="31"/>
        <v>0.4</v>
      </c>
      <c r="M233" s="128">
        <f t="shared" si="31"/>
        <v>0.4</v>
      </c>
      <c r="N233" s="128">
        <f t="shared" si="31"/>
        <v>0.4</v>
      </c>
      <c r="O233" s="128">
        <f t="shared" si="31"/>
        <v>0.4</v>
      </c>
      <c r="P233" s="128">
        <f t="shared" si="31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30"/>
        <v>0</v>
      </c>
      <c r="C234" s="132">
        <v>0.64</v>
      </c>
      <c r="D234" s="132">
        <f t="shared" si="31"/>
        <v>0.64</v>
      </c>
      <c r="E234" s="132">
        <f t="shared" si="31"/>
        <v>0.64</v>
      </c>
      <c r="F234" s="132">
        <f t="shared" si="31"/>
        <v>0.64</v>
      </c>
      <c r="G234" s="132">
        <f t="shared" si="31"/>
        <v>0.64</v>
      </c>
      <c r="H234" s="132">
        <f t="shared" si="31"/>
        <v>0.64</v>
      </c>
      <c r="I234" s="132">
        <f t="shared" si="31"/>
        <v>0.64</v>
      </c>
      <c r="J234" s="132">
        <f t="shared" si="31"/>
        <v>0.64</v>
      </c>
      <c r="K234" s="132">
        <f t="shared" si="31"/>
        <v>0.64</v>
      </c>
      <c r="L234" s="132">
        <f t="shared" si="31"/>
        <v>0.64</v>
      </c>
      <c r="M234" s="132">
        <f t="shared" si="31"/>
        <v>0.64</v>
      </c>
      <c r="N234" s="132">
        <f t="shared" si="31"/>
        <v>0.64</v>
      </c>
      <c r="O234" s="132">
        <f t="shared" si="31"/>
        <v>0.64</v>
      </c>
      <c r="P234" s="132">
        <f t="shared" si="31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32">SUM(B229:B234)</f>
        <v>0</v>
      </c>
      <c r="C235" s="136">
        <f t="shared" si="32"/>
        <v>3.54</v>
      </c>
      <c r="D235" s="136">
        <f t="shared" si="32"/>
        <v>3.54</v>
      </c>
      <c r="E235" s="136">
        <f t="shared" si="32"/>
        <v>3.54</v>
      </c>
      <c r="F235" s="136">
        <f t="shared" si="32"/>
        <v>3.54</v>
      </c>
      <c r="G235" s="136">
        <f t="shared" si="32"/>
        <v>3.54</v>
      </c>
      <c r="H235" s="136">
        <f t="shared" si="32"/>
        <v>3.54</v>
      </c>
      <c r="I235" s="136">
        <f t="shared" ca="1" si="32"/>
        <v>121.23900000000009</v>
      </c>
      <c r="J235" s="136">
        <f t="shared" ca="1" si="32"/>
        <v>121.23900000000009</v>
      </c>
      <c r="K235" s="136">
        <f t="shared" ca="1" si="32"/>
        <v>121.23900000000009</v>
      </c>
      <c r="L235" s="136">
        <f t="shared" ca="1" si="32"/>
        <v>121.23900000000009</v>
      </c>
      <c r="M235" s="136">
        <f t="shared" ca="1" si="32"/>
        <v>121.23900000000009</v>
      </c>
      <c r="N235" s="136">
        <f t="shared" ca="1" si="32"/>
        <v>125.2590000000001</v>
      </c>
      <c r="O235" s="136">
        <f t="shared" ca="1" si="32"/>
        <v>121.23900000000009</v>
      </c>
      <c r="P235" s="136">
        <f t="shared" ca="1" si="32"/>
        <v>121.23900000000009</v>
      </c>
      <c r="Q235" s="136">
        <f t="shared" si="32"/>
        <v>0</v>
      </c>
      <c r="R235" s="136">
        <f t="shared" si="32"/>
        <v>0</v>
      </c>
      <c r="S235" s="136">
        <f t="shared" si="32"/>
        <v>0</v>
      </c>
      <c r="T235" s="136">
        <f t="shared" si="32"/>
        <v>0</v>
      </c>
      <c r="U235" s="136">
        <f t="shared" si="32"/>
        <v>0</v>
      </c>
      <c r="V235" s="136">
        <f t="shared" si="32"/>
        <v>0</v>
      </c>
      <c r="W235" s="136">
        <f t="shared" si="32"/>
        <v>0</v>
      </c>
      <c r="X235" s="136">
        <f t="shared" si="32"/>
        <v>0</v>
      </c>
      <c r="Y235" s="136">
        <f t="shared" si="32"/>
        <v>0</v>
      </c>
      <c r="Z235" s="136">
        <f t="shared" si="32"/>
        <v>0</v>
      </c>
      <c r="AA235" s="136">
        <f t="shared" si="32"/>
        <v>0</v>
      </c>
      <c r="AB235" s="136">
        <f t="shared" si="32"/>
        <v>0</v>
      </c>
      <c r="AC235" s="136">
        <f t="shared" si="32"/>
        <v>0</v>
      </c>
      <c r="AD235" s="136">
        <f t="shared" si="32"/>
        <v>0</v>
      </c>
      <c r="AE235" s="136">
        <f t="shared" si="32"/>
        <v>0</v>
      </c>
      <c r="AF235" s="136">
        <f t="shared" si="32"/>
        <v>0</v>
      </c>
      <c r="AG235" s="145">
        <f t="shared" si="3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1745.69</v>
      </c>
      <c r="C244" s="161">
        <f>INDEX(G9:N9,1,MATCH(MAX(G91:N91),G91:N91,0))</f>
        <v>0.29166666666666669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29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2080/02/29)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2080/02/29)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33">B91</f>
        <v>1637.19</v>
      </c>
      <c r="U249" s="170">
        <f t="shared" si="33"/>
        <v>1661.69</v>
      </c>
      <c r="V249" s="170">
        <f t="shared" si="33"/>
        <v>1674.89</v>
      </c>
      <c r="W249" s="170">
        <f t="shared" si="33"/>
        <v>1620.7900000000002</v>
      </c>
      <c r="X249" s="170">
        <f t="shared" si="33"/>
        <v>1634.39</v>
      </c>
      <c r="Y249" s="170">
        <f t="shared" si="33"/>
        <v>1657.19</v>
      </c>
      <c r="Z249" s="170">
        <f t="shared" si="33"/>
        <v>1680.69</v>
      </c>
      <c r="AA249" s="170">
        <f t="shared" si="33"/>
        <v>1737.69</v>
      </c>
      <c r="AB249" s="170">
        <f t="shared" si="33"/>
        <v>1736.69</v>
      </c>
      <c r="AC249" s="170">
        <f t="shared" si="33"/>
        <v>1745.69</v>
      </c>
      <c r="AD249" s="170">
        <f t="shared" si="33"/>
        <v>1685.4900000000002</v>
      </c>
      <c r="AE249" s="170">
        <f t="shared" si="33"/>
        <v>427.54</v>
      </c>
      <c r="AF249" s="170">
        <f t="shared" si="33"/>
        <v>1519.5900000000001</v>
      </c>
      <c r="AG249" s="170">
        <f t="shared" si="33"/>
        <v>1516.1900000000003</v>
      </c>
      <c r="AH249" s="170">
        <f t="shared" si="33"/>
        <v>1556.6900000000003</v>
      </c>
      <c r="AI249" s="170">
        <f t="shared" si="33"/>
        <v>1673.6899999999998</v>
      </c>
      <c r="AJ249" s="170">
        <f t="shared" si="33"/>
        <v>1748.99</v>
      </c>
      <c r="AK249" s="170">
        <f t="shared" si="33"/>
        <v>1812.99</v>
      </c>
      <c r="AL249" s="170">
        <f t="shared" si="33"/>
        <v>1832.89</v>
      </c>
      <c r="AM249" s="170">
        <f t="shared" si="33"/>
        <v>1771.74</v>
      </c>
      <c r="AN249" s="170">
        <f t="shared" si="33"/>
        <v>1770.54</v>
      </c>
      <c r="AO249" s="170">
        <f t="shared" si="33"/>
        <v>1694.54</v>
      </c>
      <c r="AP249" s="170">
        <f t="shared" si="33"/>
        <v>1685.74</v>
      </c>
      <c r="AQ249" s="170">
        <f t="shared" si="33"/>
        <v>1685.74</v>
      </c>
      <c r="AR249" s="170">
        <f t="shared" si="33"/>
        <v>1789.74</v>
      </c>
      <c r="AS249" s="170">
        <f t="shared" si="33"/>
        <v>1878.14</v>
      </c>
      <c r="AT249" s="170">
        <f t="shared" si="33"/>
        <v>1861.2399999999998</v>
      </c>
      <c r="AU249" s="170">
        <f t="shared" si="33"/>
        <v>1825.84</v>
      </c>
      <c r="AV249" s="170">
        <f t="shared" si="33"/>
        <v>1827.84</v>
      </c>
      <c r="AW249" s="170">
        <f t="shared" si="33"/>
        <v>1830.8400000000001</v>
      </c>
      <c r="AX249" s="170">
        <f t="shared" si="33"/>
        <v>1804.54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34">C234</f>
        <v>0.64</v>
      </c>
      <c r="C270" s="173">
        <f t="shared" si="34"/>
        <v>0.64</v>
      </c>
      <c r="D270" s="173">
        <f t="shared" si="34"/>
        <v>0.64</v>
      </c>
      <c r="E270" s="173">
        <f t="shared" si="34"/>
        <v>0.64</v>
      </c>
      <c r="F270" s="173">
        <f t="shared" si="34"/>
        <v>0.64</v>
      </c>
      <c r="G270" s="173">
        <f t="shared" si="34"/>
        <v>0.64</v>
      </c>
      <c r="H270" s="173">
        <f t="shared" si="34"/>
        <v>0.64</v>
      </c>
      <c r="I270" s="173">
        <f t="shared" si="34"/>
        <v>0.64</v>
      </c>
      <c r="J270" s="173">
        <f t="shared" si="34"/>
        <v>0.64</v>
      </c>
      <c r="K270" s="173">
        <f t="shared" si="34"/>
        <v>0.64</v>
      </c>
      <c r="L270" s="173">
        <f t="shared" si="34"/>
        <v>0.64</v>
      </c>
      <c r="M270" s="173">
        <f t="shared" si="34"/>
        <v>0.64</v>
      </c>
      <c r="N270" s="173">
        <f t="shared" si="34"/>
        <v>0.64</v>
      </c>
      <c r="O270" s="173">
        <f t="shared" si="34"/>
        <v>0.64</v>
      </c>
      <c r="P270" s="173">
        <f t="shared" si="34"/>
        <v>0</v>
      </c>
      <c r="Q270" s="173">
        <f t="shared" si="34"/>
        <v>0</v>
      </c>
      <c r="R270" s="173">
        <f t="shared" si="34"/>
        <v>0</v>
      </c>
      <c r="S270" s="173">
        <f t="shared" si="34"/>
        <v>0</v>
      </c>
      <c r="T270" s="173">
        <f t="shared" si="34"/>
        <v>0</v>
      </c>
      <c r="U270" s="173">
        <f t="shared" si="34"/>
        <v>0</v>
      </c>
      <c r="V270" s="173">
        <f t="shared" si="34"/>
        <v>0</v>
      </c>
      <c r="W270" s="173">
        <f t="shared" si="34"/>
        <v>0</v>
      </c>
      <c r="X270" s="173">
        <f t="shared" si="34"/>
        <v>0</v>
      </c>
      <c r="Y270" s="173">
        <f t="shared" si="34"/>
        <v>0</v>
      </c>
      <c r="Z270" s="173">
        <f t="shared" si="34"/>
        <v>0</v>
      </c>
      <c r="AA270" s="173">
        <f t="shared" si="34"/>
        <v>0</v>
      </c>
      <c r="AB270" s="173">
        <f t="shared" si="34"/>
        <v>0</v>
      </c>
      <c r="AC270" s="173">
        <f t="shared" si="34"/>
        <v>0</v>
      </c>
      <c r="AD270" s="173">
        <f t="shared" si="34"/>
        <v>0</v>
      </c>
      <c r="AE270" s="173">
        <f t="shared" si="34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35">IF(B238&lt;100,"",B238-520)</f>
        <v/>
      </c>
      <c r="C271" s="174" t="str">
        <f t="shared" si="35"/>
        <v/>
      </c>
      <c r="D271" s="174" t="str">
        <f t="shared" si="35"/>
        <v/>
      </c>
      <c r="E271" s="174" t="str">
        <f t="shared" si="35"/>
        <v/>
      </c>
      <c r="F271" s="174" t="str">
        <f t="shared" si="35"/>
        <v/>
      </c>
      <c r="G271" s="174" t="str">
        <f t="shared" si="35"/>
        <v/>
      </c>
      <c r="H271" s="174" t="str">
        <f t="shared" si="35"/>
        <v/>
      </c>
      <c r="I271" s="174" t="str">
        <f t="shared" si="35"/>
        <v/>
      </c>
      <c r="J271" s="174" t="str">
        <f t="shared" si="35"/>
        <v/>
      </c>
      <c r="K271" s="174" t="str">
        <f t="shared" si="35"/>
        <v/>
      </c>
      <c r="L271" s="174" t="str">
        <f t="shared" si="35"/>
        <v/>
      </c>
      <c r="M271" s="174" t="str">
        <f t="shared" si="35"/>
        <v/>
      </c>
      <c r="N271" s="174" t="str">
        <f t="shared" si="35"/>
        <v/>
      </c>
      <c r="O271" s="174" t="str">
        <f t="shared" si="35"/>
        <v/>
      </c>
      <c r="P271" s="174" t="str">
        <f t="shared" si="35"/>
        <v/>
      </c>
      <c r="Q271" s="174" t="str">
        <f t="shared" si="35"/>
        <v/>
      </c>
      <c r="R271" s="174" t="str">
        <f t="shared" si="35"/>
        <v/>
      </c>
      <c r="S271" s="174" t="str">
        <f t="shared" si="35"/>
        <v/>
      </c>
      <c r="T271" s="174" t="str">
        <f t="shared" si="35"/>
        <v/>
      </c>
      <c r="U271" s="174" t="str">
        <f t="shared" si="35"/>
        <v/>
      </c>
      <c r="V271" s="174" t="str">
        <f t="shared" si="35"/>
        <v/>
      </c>
      <c r="W271" s="174" t="str">
        <f t="shared" si="35"/>
        <v/>
      </c>
      <c r="X271" s="174" t="str">
        <f t="shared" si="35"/>
        <v/>
      </c>
      <c r="Y271" s="174" t="str">
        <f t="shared" si="35"/>
        <v/>
      </c>
      <c r="Z271" s="174" t="str">
        <f t="shared" si="35"/>
        <v/>
      </c>
      <c r="AA271" s="174" t="str">
        <f t="shared" si="35"/>
        <v/>
      </c>
      <c r="AB271" s="174" t="str">
        <f t="shared" si="35"/>
        <v/>
      </c>
      <c r="AC271" s="174" t="str">
        <f t="shared" si="35"/>
        <v/>
      </c>
      <c r="AD271" s="174" t="str">
        <f t="shared" si="35"/>
        <v/>
      </c>
      <c r="AE271" s="174" t="str">
        <f t="shared" si="35"/>
        <v/>
      </c>
      <c r="AF271" s="174" t="str">
        <f t="shared" si="35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36">IF(B239&lt;100,"",B239-620)</f>
        <v/>
      </c>
      <c r="C272" s="174" t="str">
        <f t="shared" si="36"/>
        <v/>
      </c>
      <c r="D272" s="174" t="str">
        <f t="shared" si="36"/>
        <v/>
      </c>
      <c r="E272" s="174" t="str">
        <f t="shared" si="36"/>
        <v/>
      </c>
      <c r="F272" s="174" t="str">
        <f t="shared" si="36"/>
        <v/>
      </c>
      <c r="G272" s="174" t="str">
        <f t="shared" si="36"/>
        <v/>
      </c>
      <c r="H272" s="174" t="str">
        <f t="shared" si="36"/>
        <v/>
      </c>
      <c r="I272" s="174" t="str">
        <f t="shared" si="36"/>
        <v/>
      </c>
      <c r="J272" s="174" t="str">
        <f t="shared" si="36"/>
        <v/>
      </c>
      <c r="K272" s="174" t="str">
        <f t="shared" si="36"/>
        <v/>
      </c>
      <c r="L272" s="174" t="str">
        <f t="shared" si="36"/>
        <v/>
      </c>
      <c r="M272" s="174" t="str">
        <f t="shared" si="36"/>
        <v/>
      </c>
      <c r="N272" s="174" t="str">
        <f t="shared" si="36"/>
        <v/>
      </c>
      <c r="O272" s="174" t="str">
        <f t="shared" si="36"/>
        <v/>
      </c>
      <c r="P272" s="174" t="str">
        <f t="shared" si="36"/>
        <v/>
      </c>
      <c r="Q272" s="174" t="str">
        <f t="shared" si="36"/>
        <v/>
      </c>
      <c r="R272" s="174" t="str">
        <f t="shared" si="36"/>
        <v/>
      </c>
      <c r="S272" s="174" t="str">
        <f t="shared" si="36"/>
        <v/>
      </c>
      <c r="T272" s="174" t="str">
        <f t="shared" si="36"/>
        <v/>
      </c>
      <c r="U272" s="174" t="str">
        <f t="shared" si="36"/>
        <v/>
      </c>
      <c r="V272" s="174" t="str">
        <f t="shared" si="36"/>
        <v/>
      </c>
      <c r="W272" s="174" t="str">
        <f t="shared" si="36"/>
        <v/>
      </c>
      <c r="X272" s="174" t="str">
        <f t="shared" si="36"/>
        <v/>
      </c>
      <c r="Y272" s="174" t="str">
        <f t="shared" si="36"/>
        <v/>
      </c>
      <c r="Z272" s="174" t="str">
        <f t="shared" si="36"/>
        <v/>
      </c>
      <c r="AA272" s="174" t="str">
        <f t="shared" si="36"/>
        <v/>
      </c>
      <c r="AB272" s="174" t="str">
        <f t="shared" si="36"/>
        <v/>
      </c>
      <c r="AC272" s="174" t="str">
        <f t="shared" si="36"/>
        <v/>
      </c>
      <c r="AD272" s="174" t="str">
        <f t="shared" si="36"/>
        <v/>
      </c>
      <c r="AE272" s="174" t="str">
        <f t="shared" si="36"/>
        <v/>
      </c>
      <c r="AF272" s="174" t="str">
        <f t="shared" si="36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37">IF(B240&lt;100,"",B240-330)</f>
        <v/>
      </c>
      <c r="C273" s="174" t="str">
        <f t="shared" si="37"/>
        <v/>
      </c>
      <c r="D273" s="174" t="str">
        <f t="shared" si="37"/>
        <v/>
      </c>
      <c r="E273" s="174" t="str">
        <f t="shared" si="37"/>
        <v/>
      </c>
      <c r="F273" s="174" t="str">
        <f t="shared" si="37"/>
        <v/>
      </c>
      <c r="G273" s="174" t="str">
        <f t="shared" si="37"/>
        <v/>
      </c>
      <c r="H273" s="174" t="str">
        <f t="shared" si="37"/>
        <v/>
      </c>
      <c r="I273" s="174" t="str">
        <f t="shared" si="37"/>
        <v/>
      </c>
      <c r="J273" s="174" t="str">
        <f t="shared" si="37"/>
        <v/>
      </c>
      <c r="K273" s="174" t="str">
        <f t="shared" si="37"/>
        <v/>
      </c>
      <c r="L273" s="174" t="str">
        <f t="shared" si="37"/>
        <v/>
      </c>
      <c r="M273" s="174" t="str">
        <f t="shared" si="37"/>
        <v/>
      </c>
      <c r="N273" s="174" t="str">
        <f t="shared" si="37"/>
        <v/>
      </c>
      <c r="O273" s="174" t="str">
        <f t="shared" si="37"/>
        <v/>
      </c>
      <c r="P273" s="174" t="str">
        <f t="shared" si="37"/>
        <v/>
      </c>
      <c r="Q273" s="174" t="str">
        <f t="shared" si="37"/>
        <v/>
      </c>
      <c r="R273" s="174" t="str">
        <f t="shared" si="37"/>
        <v/>
      </c>
      <c r="S273" s="174" t="str">
        <f t="shared" si="37"/>
        <v/>
      </c>
      <c r="T273" s="174" t="str">
        <f t="shared" si="37"/>
        <v/>
      </c>
      <c r="U273" s="174" t="str">
        <f t="shared" si="37"/>
        <v/>
      </c>
      <c r="V273" s="174" t="str">
        <f t="shared" si="37"/>
        <v/>
      </c>
      <c r="W273" s="174" t="str">
        <f t="shared" si="37"/>
        <v/>
      </c>
      <c r="X273" s="174" t="str">
        <f t="shared" si="37"/>
        <v/>
      </c>
      <c r="Y273" s="174" t="str">
        <f t="shared" si="37"/>
        <v/>
      </c>
      <c r="Z273" s="174" t="str">
        <f t="shared" si="37"/>
        <v/>
      </c>
      <c r="AA273" s="174" t="str">
        <f t="shared" si="37"/>
        <v/>
      </c>
      <c r="AB273" s="174" t="str">
        <f t="shared" si="37"/>
        <v/>
      </c>
      <c r="AC273" s="174" t="str">
        <f t="shared" si="37"/>
        <v/>
      </c>
      <c r="AD273" s="174" t="str">
        <f t="shared" si="37"/>
        <v/>
      </c>
      <c r="AE273" s="174" t="str">
        <f t="shared" si="37"/>
        <v/>
      </c>
      <c r="AF273" s="174" t="str">
        <f t="shared" si="37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38">IF(B241&lt;100,"",B241-1500)</f>
        <v/>
      </c>
      <c r="C274" s="174" t="str">
        <f t="shared" si="38"/>
        <v/>
      </c>
      <c r="D274" s="174" t="str">
        <f t="shared" si="38"/>
        <v/>
      </c>
      <c r="E274" s="174" t="str">
        <f t="shared" si="38"/>
        <v/>
      </c>
      <c r="F274" s="174" t="str">
        <f t="shared" si="38"/>
        <v/>
      </c>
      <c r="G274" s="174" t="str">
        <f t="shared" si="38"/>
        <v/>
      </c>
      <c r="H274" s="174" t="str">
        <f t="shared" si="38"/>
        <v/>
      </c>
      <c r="I274" s="174" t="str">
        <f t="shared" si="38"/>
        <v/>
      </c>
      <c r="J274" s="174" t="str">
        <f t="shared" si="38"/>
        <v/>
      </c>
      <c r="K274" s="174" t="str">
        <f t="shared" si="38"/>
        <v/>
      </c>
      <c r="L274" s="174" t="str">
        <f t="shared" si="38"/>
        <v/>
      </c>
      <c r="M274" s="174" t="str">
        <f t="shared" si="38"/>
        <v/>
      </c>
      <c r="N274" s="174" t="str">
        <f t="shared" si="38"/>
        <v/>
      </c>
      <c r="O274" s="174" t="str">
        <f t="shared" si="38"/>
        <v/>
      </c>
      <c r="P274" s="174" t="str">
        <f t="shared" si="38"/>
        <v/>
      </c>
      <c r="Q274" s="174" t="str">
        <f t="shared" si="38"/>
        <v/>
      </c>
      <c r="R274" s="174" t="str">
        <f t="shared" si="38"/>
        <v/>
      </c>
      <c r="S274" s="174" t="str">
        <f t="shared" si="38"/>
        <v/>
      </c>
      <c r="T274" s="174" t="str">
        <f t="shared" si="38"/>
        <v/>
      </c>
      <c r="U274" s="174" t="str">
        <f t="shared" si="38"/>
        <v/>
      </c>
      <c r="V274" s="174" t="str">
        <f t="shared" si="38"/>
        <v/>
      </c>
      <c r="W274" s="174" t="str">
        <f t="shared" si="38"/>
        <v/>
      </c>
      <c r="X274" s="174" t="str">
        <f t="shared" si="38"/>
        <v/>
      </c>
      <c r="Y274" s="174" t="str">
        <f t="shared" si="38"/>
        <v/>
      </c>
      <c r="Z274" s="174" t="str">
        <f t="shared" si="38"/>
        <v/>
      </c>
      <c r="AA274" s="174" t="str">
        <f t="shared" si="38"/>
        <v/>
      </c>
      <c r="AB274" s="174" t="str">
        <f t="shared" si="38"/>
        <v/>
      </c>
      <c r="AC274" s="174" t="str">
        <f t="shared" si="38"/>
        <v/>
      </c>
      <c r="AD274" s="174" t="str">
        <f t="shared" si="38"/>
        <v/>
      </c>
      <c r="AE274" s="174" t="str">
        <f t="shared" si="38"/>
        <v/>
      </c>
      <c r="AF274" s="174" t="str">
        <f t="shared" si="3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phoneticPr fontId="37" type="noConversion"/>
  <conditionalFormatting sqref="V3 AB3">
    <cfRule type="iconSet" priority="55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52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G14:L14 F111:AF111 F113:AF119 M12:AF12 M14:AF17">
    <cfRule type="expression" dxfId="2569" priority="548">
      <formula>B$9&gt;=20/24</formula>
    </cfRule>
    <cfRule type="expression" dxfId="2568" priority="549">
      <formula>AND(B$9&gt;=14/24,B$9&lt;20/24)</formula>
    </cfRule>
    <cfRule type="expression" dxfId="2567" priority="550">
      <formula>AND(B$9&gt;=8/24,B$9&lt;14/24)</formula>
    </cfRule>
    <cfRule type="expression" dxfId="2566" priority="551">
      <formula>B$9&lt;8/24</formula>
    </cfRule>
  </conditionalFormatting>
  <conditionalFormatting sqref="AL4:AL6">
    <cfRule type="iconSet" priority="547">
      <iconSet iconSet="3TrafficLights2" reverse="1">
        <cfvo type="percent" val="0"/>
        <cfvo type="num" val="1"/>
        <cfvo type="num" val="1"/>
      </iconSet>
    </cfRule>
  </conditionalFormatting>
  <conditionalFormatting sqref="AG67 G14:L14 M12:AF12 M14:AF17">
    <cfRule type="expression" dxfId="2565" priority="546">
      <formula>G12&gt;$AG12</formula>
    </cfRule>
  </conditionalFormatting>
  <conditionalFormatting sqref="A101:A111 A61:A88 A97:A99 A205:A235 A48:A59 A121:A192 A43:A44 A93:A95 A90:A91 A113:A114 A40:A41 A21:A22 A24:A34 A19 A36:A38 A12:A17">
    <cfRule type="expression" dxfId="2564" priority="545">
      <formula>$AH12=0</formula>
    </cfRule>
  </conditionalFormatting>
  <conditionalFormatting sqref="A116">
    <cfRule type="expression" dxfId="2563" priority="544">
      <formula>$AH116=0</formula>
    </cfRule>
  </conditionalFormatting>
  <conditionalFormatting sqref="AL44">
    <cfRule type="iconSet" priority="543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2562" priority="542">
      <formula>$AH47=0</formula>
    </cfRule>
  </conditionalFormatting>
  <conditionalFormatting sqref="A100">
    <cfRule type="expression" dxfId="2561" priority="541">
      <formula>$AH100=0</formula>
    </cfRule>
  </conditionalFormatting>
  <conditionalFormatting sqref="A20">
    <cfRule type="expression" dxfId="2560" priority="540">
      <formula>$AH20=0</formula>
    </cfRule>
  </conditionalFormatting>
  <conditionalFormatting sqref="A199:A204">
    <cfRule type="expression" dxfId="2559" priority="539">
      <formula>$AH199=0</formula>
    </cfRule>
  </conditionalFormatting>
  <conditionalFormatting sqref="A193:A198">
    <cfRule type="expression" dxfId="2558" priority="538">
      <formula>$AH193=0</formula>
    </cfRule>
  </conditionalFormatting>
  <conditionalFormatting sqref="A60">
    <cfRule type="expression" dxfId="2557" priority="537">
      <formula>$AH60=0</formula>
    </cfRule>
  </conditionalFormatting>
  <conditionalFormatting sqref="A96">
    <cfRule type="expression" dxfId="2556" priority="536">
      <formula>$AH96=0</formula>
    </cfRule>
  </conditionalFormatting>
  <conditionalFormatting sqref="AF101 F101:Z101">
    <cfRule type="expression" dxfId="2555" priority="532">
      <formula>F$9&gt;=20/24</formula>
    </cfRule>
    <cfRule type="expression" dxfId="2554" priority="533">
      <formula>AND(F$9&gt;=14/24,F$9&lt;20/24)</formula>
    </cfRule>
    <cfRule type="expression" dxfId="2553" priority="534">
      <formula>AND(F$9&gt;=8/24,F$9&lt;14/24)</formula>
    </cfRule>
    <cfRule type="expression" dxfId="2552" priority="535">
      <formula>F$9&lt;8/24</formula>
    </cfRule>
  </conditionalFormatting>
  <conditionalFormatting sqref="AL45">
    <cfRule type="iconSet" priority="53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551" priority="554">
      <formula>C$9&gt;=20/24</formula>
    </cfRule>
    <cfRule type="expression" dxfId="2550" priority="555">
      <formula>AND(C$9&gt;=14/24,C$9&lt;20/24)</formula>
    </cfRule>
    <cfRule type="expression" dxfId="2549" priority="556">
      <formula>AND(C$9&gt;=8/24,C$9&lt;14/24)</formula>
    </cfRule>
    <cfRule type="expression" dxfId="2548" priority="557">
      <formula>C$9&lt;8/24</formula>
    </cfRule>
  </conditionalFormatting>
  <conditionalFormatting sqref="A236">
    <cfRule type="expression" dxfId="2547" priority="558">
      <formula>$AH236=0</formula>
    </cfRule>
  </conditionalFormatting>
  <conditionalFormatting sqref="AG248">
    <cfRule type="expression" dxfId="2546" priority="559">
      <formula>B$9&gt;=20/24</formula>
    </cfRule>
    <cfRule type="expression" dxfId="2545" priority="560">
      <formula>AND(B$9&gt;=14/24,B$9&lt;20/24)</formula>
    </cfRule>
    <cfRule type="expression" dxfId="2544" priority="561">
      <formula>AND(B$9&gt;=8/24,B$9&lt;14/24)</formula>
    </cfRule>
    <cfRule type="expression" dxfId="2543" priority="562">
      <formula>B$9&lt;8/24</formula>
    </cfRule>
  </conditionalFormatting>
  <conditionalFormatting sqref="S8">
    <cfRule type="expression" dxfId="2542" priority="527">
      <formula>U$9&gt;=20/24</formula>
    </cfRule>
    <cfRule type="expression" dxfId="2541" priority="528">
      <formula>AND(U$9&gt;=14/24,U$9&lt;20/24)</formula>
    </cfRule>
    <cfRule type="expression" dxfId="2540" priority="529">
      <formula>AND(U$9&gt;=8/24,U$9&lt;14/24)</formula>
    </cfRule>
    <cfRule type="expression" dxfId="2539" priority="530">
      <formula>U$9&lt;8/24</formula>
    </cfRule>
  </conditionalFormatting>
  <conditionalFormatting sqref="AB8">
    <cfRule type="expression" dxfId="2538" priority="523">
      <formula>AD$9&gt;=20/24</formula>
    </cfRule>
    <cfRule type="expression" dxfId="2537" priority="524">
      <formula>AND(AD$9&gt;=14/24,AD$9&lt;20/24)</formula>
    </cfRule>
    <cfRule type="expression" dxfId="2536" priority="525">
      <formula>AND(AD$9&gt;=8/24,AD$9&lt;14/24)</formula>
    </cfRule>
    <cfRule type="expression" dxfId="2535" priority="526">
      <formula>AD$9&lt;8/24</formula>
    </cfRule>
  </conditionalFormatting>
  <conditionalFormatting sqref="AH248:AX248">
    <cfRule type="expression" dxfId="2534" priority="563">
      <formula>AG$9&gt;=20/24</formula>
    </cfRule>
    <cfRule type="expression" dxfId="2533" priority="564">
      <formula>AND(AG$9&gt;=14/24,AG$9&lt;20/24)</formula>
    </cfRule>
    <cfRule type="expression" dxfId="2532" priority="565">
      <formula>AND(AG$9&gt;=8/24,AG$9&lt;14/24)</formula>
    </cfRule>
    <cfRule type="expression" dxfId="2531" priority="566">
      <formula>AG$9&lt;8/24</formula>
    </cfRule>
  </conditionalFormatting>
  <conditionalFormatting sqref="T248">
    <cfRule type="expression" dxfId="2530" priority="567">
      <formula>AX$9&gt;=20/24</formula>
    </cfRule>
    <cfRule type="expression" dxfId="2529" priority="568">
      <formula>AND(AX$9&gt;=14/24,AX$9&lt;20/24)</formula>
    </cfRule>
    <cfRule type="expression" dxfId="2528" priority="569">
      <formula>AND(AX$9&gt;=8/24,AX$9&lt;14/24)</formula>
    </cfRule>
    <cfRule type="expression" dxfId="2527" priority="570">
      <formula>AX$9&lt;8/24</formula>
    </cfRule>
  </conditionalFormatting>
  <conditionalFormatting sqref="A117:A119">
    <cfRule type="expression" dxfId="2526" priority="522">
      <formula>$AH117=0</formula>
    </cfRule>
  </conditionalFormatting>
  <conditionalFormatting sqref="Q56:T59 F73:AF73">
    <cfRule type="expression" dxfId="2525" priority="518">
      <formula>F$9&gt;=20/24</formula>
    </cfRule>
    <cfRule type="expression" dxfId="2524" priority="519">
      <formula>AND(F$9&gt;=14/24,F$9&lt;20/24)</formula>
    </cfRule>
    <cfRule type="expression" dxfId="2523" priority="520">
      <formula>AND(F$9&gt;=8/24,F$9&lt;14/24)</formula>
    </cfRule>
    <cfRule type="expression" dxfId="2522" priority="521">
      <formula>F$9&lt;8/24</formula>
    </cfRule>
  </conditionalFormatting>
  <conditionalFormatting sqref="Q55:T55">
    <cfRule type="expression" dxfId="2521" priority="514">
      <formula>Q$9&gt;=20/24</formula>
    </cfRule>
    <cfRule type="expression" dxfId="2520" priority="515">
      <formula>AND(Q$9&gt;=14/24,Q$9&lt;20/24)</formula>
    </cfRule>
    <cfRule type="expression" dxfId="2519" priority="516">
      <formula>AND(Q$9&gt;=8/24,Q$9&lt;14/24)</formula>
    </cfRule>
    <cfRule type="expression" dxfId="2518" priority="517">
      <formula>Q$9&lt;8/24</formula>
    </cfRule>
  </conditionalFormatting>
  <conditionalFormatting sqref="Q55:T59">
    <cfRule type="expression" dxfId="2517" priority="513">
      <formula>Q55&gt;$AG55</formula>
    </cfRule>
  </conditionalFormatting>
  <conditionalFormatting sqref="AF102:AF108 AA49:AF49 X98:AF98 D88:AF88 Q102:Z108 AA69:AF71 F74:AF75">
    <cfRule type="expression" dxfId="2516" priority="509">
      <formula>D$9&gt;=20/24</formula>
    </cfRule>
    <cfRule type="expression" dxfId="2515" priority="510">
      <formula>AND(D$9&gt;=14/24,D$9&lt;20/24)</formula>
    </cfRule>
    <cfRule type="expression" dxfId="2514" priority="511">
      <formula>AND(D$9&gt;=8/24,D$9&lt;14/24)</formula>
    </cfRule>
    <cfRule type="expression" dxfId="2513" priority="512">
      <formula>D$9&lt;8/24</formula>
    </cfRule>
  </conditionalFormatting>
  <conditionalFormatting sqref="AA49:AF49 AA69:AF71">
    <cfRule type="expression" dxfId="2512" priority="508">
      <formula>AA49&gt;$AG49</formula>
    </cfRule>
  </conditionalFormatting>
  <conditionalFormatting sqref="U55:AF60">
    <cfRule type="expression" dxfId="2511" priority="504">
      <formula>U$9&gt;=20/24</formula>
    </cfRule>
    <cfRule type="expression" dxfId="2510" priority="505">
      <formula>AND(U$9&gt;=14/24,U$9&lt;20/24)</formula>
    </cfRule>
    <cfRule type="expression" dxfId="2509" priority="506">
      <formula>AND(U$9&gt;=8/24,U$9&lt;14/24)</formula>
    </cfRule>
    <cfRule type="expression" dxfId="2508" priority="507">
      <formula>U$9&lt;8/24</formula>
    </cfRule>
  </conditionalFormatting>
  <conditionalFormatting sqref="U55:AF60">
    <cfRule type="expression" dxfId="2507" priority="503">
      <formula>U55&gt;$AG55</formula>
    </cfRule>
  </conditionalFormatting>
  <conditionalFormatting sqref="C99:AF99 D90:AF90">
    <cfRule type="expression" dxfId="2506" priority="499">
      <formula>C$9&gt;=20/24</formula>
    </cfRule>
    <cfRule type="expression" dxfId="2505" priority="500">
      <formula>AND(C$9&gt;=14/24,C$9&lt;20/24)</formula>
    </cfRule>
    <cfRule type="expression" dxfId="2504" priority="501">
      <formula>AND(C$9&gt;=8/24,C$9&lt;14/24)</formula>
    </cfRule>
    <cfRule type="expression" dxfId="2503" priority="502">
      <formula>C$9&lt;8/24</formula>
    </cfRule>
  </conditionalFormatting>
  <conditionalFormatting sqref="U49:Z49">
    <cfRule type="expression" dxfId="2502" priority="495">
      <formula>U$9&gt;=20/24</formula>
    </cfRule>
    <cfRule type="expression" dxfId="2501" priority="496">
      <formula>AND(U$9&gt;=14/24,U$9&lt;20/24)</formula>
    </cfRule>
    <cfRule type="expression" dxfId="2500" priority="497">
      <formula>AND(U$9&gt;=8/24,U$9&lt;14/24)</formula>
    </cfRule>
    <cfRule type="expression" dxfId="2499" priority="498">
      <formula>U$9&lt;8/24</formula>
    </cfRule>
  </conditionalFormatting>
  <conditionalFormatting sqref="U49:Z49">
    <cfRule type="expression" dxfId="2498" priority="494">
      <formula>U49&gt;$AG49</formula>
    </cfRule>
  </conditionalFormatting>
  <conditionalFormatting sqref="F56:P57">
    <cfRule type="expression" dxfId="2497" priority="490">
      <formula>F$9&gt;=20/24</formula>
    </cfRule>
    <cfRule type="expression" dxfId="2496" priority="491">
      <formula>AND(F$9&gt;=14/24,F$9&lt;20/24)</formula>
    </cfRule>
    <cfRule type="expression" dxfId="2495" priority="492">
      <formula>AND(F$9&gt;=8/24,F$9&lt;14/24)</formula>
    </cfRule>
    <cfRule type="expression" dxfId="2494" priority="493">
      <formula>F$9&lt;8/24</formula>
    </cfRule>
  </conditionalFormatting>
  <conditionalFormatting sqref="F55:P55">
    <cfRule type="expression" dxfId="2493" priority="486">
      <formula>F$9&gt;=20/24</formula>
    </cfRule>
    <cfRule type="expression" dxfId="2492" priority="487">
      <formula>AND(F$9&gt;=14/24,F$9&lt;20/24)</formula>
    </cfRule>
    <cfRule type="expression" dxfId="2491" priority="488">
      <formula>AND(F$9&gt;=8/24,F$9&lt;14/24)</formula>
    </cfRule>
    <cfRule type="expression" dxfId="2490" priority="489">
      <formula>F$9&lt;8/24</formula>
    </cfRule>
  </conditionalFormatting>
  <conditionalFormatting sqref="F55:P57">
    <cfRule type="expression" dxfId="2489" priority="485">
      <formula>F55&gt;$AG55</formula>
    </cfRule>
  </conditionalFormatting>
  <conditionalFormatting sqref="AG72 AG89 F102:P108">
    <cfRule type="expression" dxfId="2488" priority="481">
      <formula>F$9&gt;=20/24</formula>
    </cfRule>
    <cfRule type="expression" dxfId="2487" priority="482">
      <formula>AND(F$9&gt;=14/24,F$9&lt;20/24)</formula>
    </cfRule>
    <cfRule type="expression" dxfId="2486" priority="483">
      <formula>AND(F$9&gt;=8/24,F$9&lt;14/24)</formula>
    </cfRule>
    <cfRule type="expression" dxfId="2485" priority="484">
      <formula>F$9&lt;8/24</formula>
    </cfRule>
  </conditionalFormatting>
  <conditionalFormatting sqref="AG50 AG68 AG72">
    <cfRule type="expression" dxfId="2484" priority="480">
      <formula>AG50&gt;$AG50</formula>
    </cfRule>
  </conditionalFormatting>
  <conditionalFormatting sqref="A45">
    <cfRule type="expression" dxfId="2483" priority="474">
      <formula>$AH45=0</formula>
    </cfRule>
  </conditionalFormatting>
  <conditionalFormatting sqref="X93:AF97">
    <cfRule type="expression" dxfId="2482" priority="470">
      <formula>X$9&gt;=20/24</formula>
    </cfRule>
    <cfRule type="expression" dxfId="2481" priority="471">
      <formula>AND(X$9&gt;=14/24,X$9&lt;20/24)</formula>
    </cfRule>
    <cfRule type="expression" dxfId="2480" priority="472">
      <formula>AND(X$9&gt;=8/24,X$9&lt;14/24)</formula>
    </cfRule>
    <cfRule type="expression" dxfId="2479" priority="473">
      <formula>X$9&lt;8/24</formula>
    </cfRule>
  </conditionalFormatting>
  <conditionalFormatting sqref="AL47 AL43 AL24:AL34 AL40:AL41 AL19:AL22 AL36:AL38 AL7:AL17">
    <cfRule type="iconSet" priority="571">
      <iconSet iconSet="3TrafficLights2" reverse="1">
        <cfvo type="percent" val="0"/>
        <cfvo type="num" val="1"/>
        <cfvo type="num" val="1"/>
      </iconSet>
    </cfRule>
  </conditionalFormatting>
  <conditionalFormatting sqref="F51:AF53">
    <cfRule type="expression" dxfId="2478" priority="466">
      <formula>F$9&gt;=20/24</formula>
    </cfRule>
    <cfRule type="expression" dxfId="2477" priority="467">
      <formula>AND(F$9&gt;=14/24,F$9&lt;20/24)</formula>
    </cfRule>
    <cfRule type="expression" dxfId="2476" priority="468">
      <formula>AND(F$9&gt;=8/24,F$9&lt;14/24)</formula>
    </cfRule>
    <cfRule type="expression" dxfId="2475" priority="469">
      <formula>F$9&lt;8/24</formula>
    </cfRule>
  </conditionalFormatting>
  <conditionalFormatting sqref="F51:AF53">
    <cfRule type="expression" dxfId="2474" priority="465">
      <formula>F51&gt;$AG51</formula>
    </cfRule>
  </conditionalFormatting>
  <conditionalFormatting sqref="AG54">
    <cfRule type="expression" dxfId="2473" priority="461">
      <formula>AG$9&gt;=20/24</formula>
    </cfRule>
    <cfRule type="expression" dxfId="2472" priority="462">
      <formula>AND(AG$9&gt;=14/24,AG$9&lt;20/24)</formula>
    </cfRule>
    <cfRule type="expression" dxfId="2471" priority="463">
      <formula>AND(AG$9&gt;=8/24,AG$9&lt;14/24)</formula>
    </cfRule>
    <cfRule type="expression" dxfId="2470" priority="464">
      <formula>AG$9&lt;8/24</formula>
    </cfRule>
  </conditionalFormatting>
  <conditionalFormatting sqref="AG54">
    <cfRule type="expression" dxfId="2469" priority="460">
      <formula>AG54&gt;$AG54</formula>
    </cfRule>
  </conditionalFormatting>
  <conditionalFormatting sqref="C109:AF109">
    <cfRule type="expression" dxfId="2468" priority="456">
      <formula>C$9&gt;=20/24</formula>
    </cfRule>
    <cfRule type="expression" dxfId="2467" priority="457">
      <formula>AND(C$9&gt;=14/24,C$9&lt;20/24)</formula>
    </cfRule>
    <cfRule type="expression" dxfId="2466" priority="458">
      <formula>AND(C$9&gt;=8/24,C$9&lt;14/24)</formula>
    </cfRule>
    <cfRule type="expression" dxfId="2465" priority="459">
      <formula>C$9&lt;8/24</formula>
    </cfRule>
  </conditionalFormatting>
  <conditionalFormatting sqref="AL42">
    <cfRule type="iconSet" priority="455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2464" priority="454">
      <formula>$AH42=0</formula>
    </cfRule>
  </conditionalFormatting>
  <conditionalFormatting sqref="A92">
    <cfRule type="expression" dxfId="2463" priority="452">
      <formula>$AH92=0</formula>
    </cfRule>
  </conditionalFormatting>
  <conditionalFormatting sqref="A89">
    <cfRule type="expression" dxfId="2462" priority="453">
      <formula>$AH89=0</formula>
    </cfRule>
  </conditionalFormatting>
  <conditionalFormatting sqref="F112:AF112">
    <cfRule type="expression" dxfId="2461" priority="448">
      <formula>F$9&gt;=20/24</formula>
    </cfRule>
    <cfRule type="expression" dxfId="2460" priority="449">
      <formula>AND(F$9&gt;=14/24,F$9&lt;20/24)</formula>
    </cfRule>
    <cfRule type="expression" dxfId="2459" priority="450">
      <formula>AND(F$9&gt;=8/24,F$9&lt;14/24)</formula>
    </cfRule>
    <cfRule type="expression" dxfId="2458" priority="451">
      <formula>F$9&lt;8/24</formula>
    </cfRule>
  </conditionalFormatting>
  <conditionalFormatting sqref="A112">
    <cfRule type="expression" dxfId="2457" priority="447">
      <formula>$AH112=0</formula>
    </cfRule>
  </conditionalFormatting>
  <conditionalFormatting sqref="A23">
    <cfRule type="expression" dxfId="2456" priority="445">
      <formula>$AH23=0</formula>
    </cfRule>
  </conditionalFormatting>
  <conditionalFormatting sqref="AL23">
    <cfRule type="iconSet" priority="446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2455" priority="443">
      <formula>$AH39=0</formula>
    </cfRule>
  </conditionalFormatting>
  <conditionalFormatting sqref="AL39">
    <cfRule type="iconSet" priority="444">
      <iconSet iconSet="3TrafficLights2" reverse="1">
        <cfvo type="percent" val="0"/>
        <cfvo type="num" val="1"/>
        <cfvo type="num" val="1"/>
      </iconSet>
    </cfRule>
  </conditionalFormatting>
  <conditionalFormatting sqref="AA101:AE101">
    <cfRule type="expression" dxfId="2454" priority="439">
      <formula>AA$9&gt;=20/24</formula>
    </cfRule>
    <cfRule type="expression" dxfId="2453" priority="440">
      <formula>AND(AA$9&gt;=14/24,AA$9&lt;20/24)</formula>
    </cfRule>
    <cfRule type="expression" dxfId="2452" priority="441">
      <formula>AND(AA$9&gt;=8/24,AA$9&lt;14/24)</formula>
    </cfRule>
    <cfRule type="expression" dxfId="2451" priority="442">
      <formula>AA$9&lt;8/24</formula>
    </cfRule>
  </conditionalFormatting>
  <conditionalFormatting sqref="AA102:AE108">
    <cfRule type="expression" dxfId="2450" priority="435">
      <formula>AA$9&gt;=20/24</formula>
    </cfRule>
    <cfRule type="expression" dxfId="2449" priority="436">
      <formula>AND(AA$9&gt;=14/24,AA$9&lt;20/24)</formula>
    </cfRule>
    <cfRule type="expression" dxfId="2448" priority="437">
      <formula>AND(AA$9&gt;=8/24,AA$9&lt;14/24)</formula>
    </cfRule>
    <cfRule type="expression" dxfId="2447" priority="438">
      <formula>AA$9&lt;8/24</formula>
    </cfRule>
  </conditionalFormatting>
  <conditionalFormatting sqref="C111:E111 C113:E119 U19:Z21 AA19:AF30 AA36:AF45 AA32:AF34">
    <cfRule type="expression" dxfId="2446" priority="431">
      <formula>C$9&gt;=20/24</formula>
    </cfRule>
    <cfRule type="expression" dxfId="2445" priority="432">
      <formula>AND(C$9&gt;=14/24,C$9&lt;20/24)</formula>
    </cfRule>
    <cfRule type="expression" dxfId="2444" priority="433">
      <formula>AND(C$9&gt;=8/24,C$9&lt;14/24)</formula>
    </cfRule>
    <cfRule type="expression" dxfId="2443" priority="434">
      <formula>C$9&lt;8/24</formula>
    </cfRule>
  </conditionalFormatting>
  <conditionalFormatting sqref="F49:T49">
    <cfRule type="expression" dxfId="2442" priority="427">
      <formula>F$9&gt;=20/24</formula>
    </cfRule>
    <cfRule type="expression" dxfId="2441" priority="428">
      <formula>AND(F$9&gt;=14/24,F$9&lt;20/24)</formula>
    </cfRule>
    <cfRule type="expression" dxfId="2440" priority="429">
      <formula>AND(F$9&gt;=8/24,F$9&lt;14/24)</formula>
    </cfRule>
    <cfRule type="expression" dxfId="2439" priority="430">
      <formula>F$9&lt;8/24</formula>
    </cfRule>
  </conditionalFormatting>
  <conditionalFormatting sqref="F49:T49 U19:Z21 AA19:AF30 AA36:AF45 AA32:AF34">
    <cfRule type="expression" dxfId="2438" priority="426">
      <formula>F19&gt;$AG19</formula>
    </cfRule>
  </conditionalFormatting>
  <conditionalFormatting sqref="C101:E101">
    <cfRule type="expression" dxfId="2437" priority="422">
      <formula>C$9&gt;=20/24</formula>
    </cfRule>
    <cfRule type="expression" dxfId="2436" priority="423">
      <formula>AND(C$9&gt;=14/24,C$9&lt;20/24)</formula>
    </cfRule>
    <cfRule type="expression" dxfId="2435" priority="424">
      <formula>AND(C$9&gt;=8/24,C$9&lt;14/24)</formula>
    </cfRule>
    <cfRule type="expression" dxfId="2434" priority="425">
      <formula>C$9&lt;8/24</formula>
    </cfRule>
  </conditionalFormatting>
  <conditionalFormatting sqref="C88 C98:W98 Q77:Q78 G78:P78 F76:Q76 C85:AF87 Q69:Z71 R76:AE78 AF77:AF78">
    <cfRule type="expression" dxfId="2433" priority="418">
      <formula>C$9&gt;=20/24</formula>
    </cfRule>
    <cfRule type="expression" dxfId="2432" priority="419">
      <formula>AND(C$9&gt;=14/24,C$9&lt;20/24)</formula>
    </cfRule>
    <cfRule type="expression" dxfId="2431" priority="420">
      <formula>AND(C$9&gt;=8/24,C$9&lt;14/24)</formula>
    </cfRule>
    <cfRule type="expression" dxfId="2430" priority="421">
      <formula>C$9&lt;8/24</formula>
    </cfRule>
  </conditionalFormatting>
  <conditionalFormatting sqref="F58:P58 Q69:Z71">
    <cfRule type="expression" dxfId="2429" priority="417">
      <formula>F58&gt;$AG58</formula>
    </cfRule>
  </conditionalFormatting>
  <conditionalFormatting sqref="C73:E73">
    <cfRule type="expression" dxfId="2428" priority="359">
      <formula>C$9&gt;=20/24</formula>
    </cfRule>
    <cfRule type="expression" dxfId="2427" priority="360">
      <formula>AND(C$9&gt;=14/24,C$9&lt;20/24)</formula>
    </cfRule>
    <cfRule type="expression" dxfId="2426" priority="361">
      <formula>AND(C$9&gt;=8/24,C$9&lt;14/24)</formula>
    </cfRule>
    <cfRule type="expression" dxfId="2425" priority="362">
      <formula>C$9&lt;8/24</formula>
    </cfRule>
  </conditionalFormatting>
  <conditionalFormatting sqref="C89:AF89 C91:AF91 C100:AF100 C72:AF72">
    <cfRule type="expression" dxfId="2424" priority="413">
      <formula>C$9&gt;=20/24</formula>
    </cfRule>
    <cfRule type="expression" dxfId="2423" priority="414">
      <formula>AND(C$9&gt;=14/24,C$9&lt;20/24)</formula>
    </cfRule>
    <cfRule type="expression" dxfId="2422" priority="415">
      <formula>AND(C$9&gt;=8/24,C$9&lt;14/24)</formula>
    </cfRule>
    <cfRule type="expression" dxfId="2421" priority="416">
      <formula>C$9&lt;8/24</formula>
    </cfRule>
  </conditionalFormatting>
  <conditionalFormatting sqref="C72:AF72 D67:AF68">
    <cfRule type="expression" dxfId="2420" priority="412">
      <formula>C67&gt;$AG67</formula>
    </cfRule>
  </conditionalFormatting>
  <conditionalFormatting sqref="C84:AF84">
    <cfRule type="expression" dxfId="2419" priority="408">
      <formula>C$9&gt;=20/24</formula>
    </cfRule>
    <cfRule type="expression" dxfId="2418" priority="409">
      <formula>AND(C$9&gt;=14/24,C$9&lt;20/24)</formula>
    </cfRule>
    <cfRule type="expression" dxfId="2417" priority="410">
      <formula>AND(C$9&gt;=8/24,C$9&lt;14/24)</formula>
    </cfRule>
    <cfRule type="expression" dxfId="2416" priority="411">
      <formula>C$9&lt;8/24</formula>
    </cfRule>
  </conditionalFormatting>
  <conditionalFormatting sqref="C93:W97">
    <cfRule type="expression" dxfId="2415" priority="404">
      <formula>C$9&gt;=20/24</formula>
    </cfRule>
    <cfRule type="expression" dxfId="2414" priority="405">
      <formula>AND(C$9&gt;=14/24,C$9&lt;20/24)</formula>
    </cfRule>
    <cfRule type="expression" dxfId="2413" priority="406">
      <formula>AND(C$9&gt;=8/24,C$9&lt;14/24)</formula>
    </cfRule>
    <cfRule type="expression" dxfId="2412" priority="407">
      <formula>C$9&lt;8/24</formula>
    </cfRule>
  </conditionalFormatting>
  <conditionalFormatting sqref="D54:AF54">
    <cfRule type="expression" dxfId="2411" priority="400">
      <formula>D$9&gt;=20/24</formula>
    </cfRule>
    <cfRule type="expression" dxfId="2410" priority="401">
      <formula>AND(D$9&gt;=14/24,D$9&lt;20/24)</formula>
    </cfRule>
    <cfRule type="expression" dxfId="2409" priority="402">
      <formula>AND(D$9&gt;=8/24,D$9&lt;14/24)</formula>
    </cfRule>
    <cfRule type="expression" dxfId="2408" priority="403">
      <formula>D$9&lt;8/24</formula>
    </cfRule>
  </conditionalFormatting>
  <conditionalFormatting sqref="D54:AF54">
    <cfRule type="expression" dxfId="2407" priority="399">
      <formula>D54&gt;$AG54</formula>
    </cfRule>
  </conditionalFormatting>
  <conditionalFormatting sqref="C112:E112">
    <cfRule type="expression" dxfId="2406" priority="391">
      <formula>C$9&gt;=20/24</formula>
    </cfRule>
    <cfRule type="expression" dxfId="2405" priority="392">
      <formula>AND(C$9&gt;=14/24,C$9&lt;20/24)</formula>
    </cfRule>
    <cfRule type="expression" dxfId="2404" priority="393">
      <formula>AND(C$9&gt;=8/24,C$9&lt;14/24)</formula>
    </cfRule>
    <cfRule type="expression" dxfId="2403" priority="394">
      <formula>C$9&lt;8/24</formula>
    </cfRule>
  </conditionalFormatting>
  <conditionalFormatting sqref="AA61:AF66">
    <cfRule type="expression" dxfId="2402" priority="387">
      <formula>AA$9&gt;=20/24</formula>
    </cfRule>
    <cfRule type="expression" dxfId="2401" priority="388">
      <formula>AND(AA$9&gt;=14/24,AA$9&lt;20/24)</formula>
    </cfRule>
    <cfRule type="expression" dxfId="2400" priority="389">
      <formula>AND(AA$9&gt;=8/24,AA$9&lt;14/24)</formula>
    </cfRule>
    <cfRule type="expression" dxfId="2399" priority="390">
      <formula>AA$9&lt;8/24</formula>
    </cfRule>
  </conditionalFormatting>
  <conditionalFormatting sqref="AA61:AF66">
    <cfRule type="expression" dxfId="2398" priority="386">
      <formula>AA61&gt;$AG61</formula>
    </cfRule>
  </conditionalFormatting>
  <conditionalFormatting sqref="AA47:AF47">
    <cfRule type="expression" dxfId="2397" priority="385">
      <formula>AA47&gt;$AG47</formula>
    </cfRule>
  </conditionalFormatting>
  <conditionalFormatting sqref="U13:AF13">
    <cfRule type="expression" dxfId="2396" priority="381">
      <formula>U$9&gt;=20/24</formula>
    </cfRule>
    <cfRule type="expression" dxfId="2395" priority="382">
      <formula>AND(U$9&gt;=14/24,U$9&lt;20/24)</formula>
    </cfRule>
    <cfRule type="expression" dxfId="2394" priority="383">
      <formula>AND(U$9&gt;=8/24,U$9&lt;14/24)</formula>
    </cfRule>
    <cfRule type="expression" dxfId="2393" priority="384">
      <formula>U$9&lt;8/24</formula>
    </cfRule>
  </conditionalFormatting>
  <conditionalFormatting sqref="U13:AF13">
    <cfRule type="expression" dxfId="2392" priority="380">
      <formula>U13&gt;$AG13</formula>
    </cfRule>
  </conditionalFormatting>
  <conditionalFormatting sqref="AA47:AF47">
    <cfRule type="expression" dxfId="2391" priority="376">
      <formula>AA$9&gt;=20/24</formula>
    </cfRule>
    <cfRule type="expression" dxfId="2390" priority="377">
      <formula>AND(AA$9&gt;=14/24,AA$9&lt;20/24)</formula>
    </cfRule>
    <cfRule type="expression" dxfId="2389" priority="378">
      <formula>AND(AA$9&gt;=8/24,AA$9&lt;14/24)</formula>
    </cfRule>
    <cfRule type="expression" dxfId="2388" priority="379">
      <formula>AA$9&lt;8/24</formula>
    </cfRule>
  </conditionalFormatting>
  <conditionalFormatting sqref="Q79:AF83">
    <cfRule type="expression" dxfId="2387" priority="372">
      <formula>Q$9&gt;=20/24</formula>
    </cfRule>
    <cfRule type="expression" dxfId="2386" priority="373">
      <formula>AND(Q$9&gt;=14/24,Q$9&lt;20/24)</formula>
    </cfRule>
    <cfRule type="expression" dxfId="2385" priority="374">
      <formula>AND(Q$9&gt;=8/24,Q$9&lt;14/24)</formula>
    </cfRule>
    <cfRule type="expression" dxfId="2384" priority="375">
      <formula>Q$9&lt;8/24</formula>
    </cfRule>
  </conditionalFormatting>
  <conditionalFormatting sqref="AL80:AN80 AL86:AN86 AN81:AN82">
    <cfRule type="expression" dxfId="2383" priority="368">
      <formula>AL$9&gt;=20/24</formula>
    </cfRule>
    <cfRule type="expression" dxfId="2382" priority="369">
      <formula>AND(AL$9&gt;=14/24,AL$9&lt;20/24)</formula>
    </cfRule>
    <cfRule type="expression" dxfId="2381" priority="370">
      <formula>AND(AL$9&gt;=8/24,AL$9&lt;14/24)</formula>
    </cfRule>
    <cfRule type="expression" dxfId="2380" priority="371">
      <formula>AL$9&lt;8/24</formula>
    </cfRule>
  </conditionalFormatting>
  <conditionalFormatting sqref="AN83:AN84">
    <cfRule type="expression" dxfId="2379" priority="364">
      <formula>AN$9&gt;=20/24</formula>
    </cfRule>
    <cfRule type="expression" dxfId="2378" priority="365">
      <formula>AND(AN$9&gt;=14/24,AN$9&lt;20/24)</formula>
    </cfRule>
    <cfRule type="expression" dxfId="2377" priority="366">
      <formula>AND(AN$9&gt;=8/24,AN$9&lt;14/24)</formula>
    </cfRule>
    <cfRule type="expression" dxfId="2376" priority="367">
      <formula>AN$9&lt;8/24</formula>
    </cfRule>
  </conditionalFormatting>
  <conditionalFormatting sqref="AL81:AM85">
    <cfRule type="expression" dxfId="2375" priority="572">
      <formula>AJ$9&gt;=20/24</formula>
    </cfRule>
    <cfRule type="expression" dxfId="2374" priority="573">
      <formula>AND(AJ$9&gt;=14/24,AJ$9&lt;20/24)</formula>
    </cfRule>
    <cfRule type="expression" dxfId="2373" priority="574">
      <formula>AND(AJ$9&gt;=8/24,AJ$9&lt;14/24)</formula>
    </cfRule>
    <cfRule type="expression" dxfId="2372" priority="575">
      <formula>AJ$9&lt;8/24</formula>
    </cfRule>
  </conditionalFormatting>
  <conditionalFormatting sqref="A120">
    <cfRule type="expression" dxfId="2371" priority="363">
      <formula>$AH120=0</formula>
    </cfRule>
  </conditionalFormatting>
  <conditionalFormatting sqref="C74:E75">
    <cfRule type="expression" dxfId="2370" priority="350">
      <formula>C$9&gt;=20/24</formula>
    </cfRule>
    <cfRule type="expression" dxfId="2369" priority="351">
      <formula>AND(C$9&gt;=14/24,C$9&lt;20/24)</formula>
    </cfRule>
    <cfRule type="expression" dxfId="2368" priority="352">
      <formula>AND(C$9&gt;=8/24,C$9&lt;14/24)</formula>
    </cfRule>
    <cfRule type="expression" dxfId="2367" priority="353">
      <formula>C$9&lt;8/24</formula>
    </cfRule>
  </conditionalFormatting>
  <conditionalFormatting sqref="C90">
    <cfRule type="expression" dxfId="2366" priority="345">
      <formula>C$9&gt;=20/24</formula>
    </cfRule>
    <cfRule type="expression" dxfId="2365" priority="346">
      <formula>AND(C$9&gt;=14/24,C$9&lt;20/24)</formula>
    </cfRule>
    <cfRule type="expression" dxfId="2364" priority="347">
      <formula>AND(C$9&gt;=8/24,C$9&lt;14/24)</formula>
    </cfRule>
    <cfRule type="expression" dxfId="2363" priority="348">
      <formula>C$9&lt;8/24</formula>
    </cfRule>
  </conditionalFormatting>
  <conditionalFormatting sqref="AA48:AF48">
    <cfRule type="expression" dxfId="2362" priority="341">
      <formula>AA$9&gt;=20/24</formula>
    </cfRule>
    <cfRule type="expression" dxfId="2361" priority="342">
      <formula>AND(AA$9&gt;=14/24,AA$9&lt;20/24)</formula>
    </cfRule>
    <cfRule type="expression" dxfId="2360" priority="343">
      <formula>AND(AA$9&gt;=8/24,AA$9&lt;14/24)</formula>
    </cfRule>
    <cfRule type="expression" dxfId="2359" priority="344">
      <formula>AA$9&lt;8/24</formula>
    </cfRule>
  </conditionalFormatting>
  <conditionalFormatting sqref="AA48:AF48">
    <cfRule type="expression" dxfId="2358" priority="340">
      <formula>AA48&gt;$AG48</formula>
    </cfRule>
  </conditionalFormatting>
  <conditionalFormatting sqref="Q60:T60">
    <cfRule type="expression" dxfId="2357" priority="336">
      <formula>Q$9&gt;=20/24</formula>
    </cfRule>
    <cfRule type="expression" dxfId="2356" priority="337">
      <formula>AND(Q$9&gt;=14/24,Q$9&lt;20/24)</formula>
    </cfRule>
    <cfRule type="expression" dxfId="2355" priority="338">
      <formula>AND(Q$9&gt;=8/24,Q$9&lt;14/24)</formula>
    </cfRule>
    <cfRule type="expression" dxfId="2354" priority="339">
      <formula>Q$9&lt;8/24</formula>
    </cfRule>
  </conditionalFormatting>
  <conditionalFormatting sqref="Q60:T60">
    <cfRule type="expression" dxfId="2353" priority="335">
      <formula>Q60&gt;$AG60</formula>
    </cfRule>
  </conditionalFormatting>
  <conditionalFormatting sqref="C49:E49">
    <cfRule type="expression" dxfId="2352" priority="265">
      <formula>C$9&gt;=20/24</formula>
    </cfRule>
    <cfRule type="expression" dxfId="2351" priority="266">
      <formula>AND(C$9&gt;=14/24,C$9&lt;20/24)</formula>
    </cfRule>
    <cfRule type="expression" dxfId="2350" priority="267">
      <formula>AND(C$9&gt;=8/24,C$9&lt;14/24)</formula>
    </cfRule>
    <cfRule type="expression" dxfId="2349" priority="268">
      <formula>C$9&lt;8/24</formula>
    </cfRule>
  </conditionalFormatting>
  <conditionalFormatting sqref="F50:AF50">
    <cfRule type="expression" dxfId="2348" priority="330">
      <formula>F50&gt;$AG50</formula>
    </cfRule>
  </conditionalFormatting>
  <conditionalFormatting sqref="Q61:T61 U61:Z66">
    <cfRule type="expression" dxfId="2347" priority="326">
      <formula>Q$9&gt;=20/24</formula>
    </cfRule>
    <cfRule type="expression" dxfId="2346" priority="327">
      <formula>AND(Q$9&gt;=14/24,Q$9&lt;20/24)</formula>
    </cfRule>
    <cfRule type="expression" dxfId="2345" priority="328">
      <formula>AND(Q$9&gt;=8/24,Q$9&lt;14/24)</formula>
    </cfRule>
    <cfRule type="expression" dxfId="2344" priority="329">
      <formula>Q$9&lt;8/24</formula>
    </cfRule>
  </conditionalFormatting>
  <conditionalFormatting sqref="Q61:T61 U61:Z66">
    <cfRule type="expression" dxfId="2343" priority="325">
      <formula>Q61&gt;$AG61</formula>
    </cfRule>
  </conditionalFormatting>
  <conditionalFormatting sqref="A11">
    <cfRule type="expression" dxfId="2342" priority="320">
      <formula>$AH11=0</formula>
    </cfRule>
  </conditionalFormatting>
  <conditionalFormatting sqref="U11:AF11">
    <cfRule type="expression" dxfId="2341" priority="316">
      <formula>U$9&gt;=20/24</formula>
    </cfRule>
    <cfRule type="expression" dxfId="2340" priority="317">
      <formula>AND(U$9&gt;=14/24,U$9&lt;20/24)</formula>
    </cfRule>
    <cfRule type="expression" dxfId="2339" priority="318">
      <formula>AND(U$9&gt;=8/24,U$9&lt;14/24)</formula>
    </cfRule>
    <cfRule type="expression" dxfId="2338" priority="319">
      <formula>U$9&lt;8/24</formula>
    </cfRule>
  </conditionalFormatting>
  <conditionalFormatting sqref="U11:AF11">
    <cfRule type="expression" dxfId="2337" priority="315">
      <formula>U11&gt;$AG11</formula>
    </cfRule>
  </conditionalFormatting>
  <conditionalFormatting sqref="A18">
    <cfRule type="expression" dxfId="2336" priority="313">
      <formula>$AH18=0</formula>
    </cfRule>
  </conditionalFormatting>
  <conditionalFormatting sqref="AL18">
    <cfRule type="iconSet" priority="314">
      <iconSet iconSet="3TrafficLights2" reverse="1">
        <cfvo type="percent" val="0"/>
        <cfvo type="num" val="1"/>
        <cfvo type="num" val="1"/>
      </iconSet>
    </cfRule>
  </conditionalFormatting>
  <conditionalFormatting sqref="U18:AF18">
    <cfRule type="expression" dxfId="2335" priority="309">
      <formula>U$9&gt;=20/24</formula>
    </cfRule>
    <cfRule type="expression" dxfId="2334" priority="310">
      <formula>AND(U$9&gt;=14/24,U$9&lt;20/24)</formula>
    </cfRule>
    <cfRule type="expression" dxfId="2333" priority="311">
      <formula>AND(U$9&gt;=8/24,U$9&lt;14/24)</formula>
    </cfRule>
    <cfRule type="expression" dxfId="2332" priority="312">
      <formula>U$9&lt;8/24</formula>
    </cfRule>
  </conditionalFormatting>
  <conditionalFormatting sqref="U18:AF18">
    <cfRule type="expression" dxfId="2331" priority="308">
      <formula>U18&gt;$AG18</formula>
    </cfRule>
  </conditionalFormatting>
  <conditionalFormatting sqref="A35">
    <cfRule type="expression" dxfId="2330" priority="306">
      <formula>$AH35=0</formula>
    </cfRule>
  </conditionalFormatting>
  <conditionalFormatting sqref="AL35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2329" priority="302">
      <formula>AA$9&gt;=20/24</formula>
    </cfRule>
    <cfRule type="expression" dxfId="2328" priority="303">
      <formula>AND(AA$9&gt;=14/24,AA$9&lt;20/24)</formula>
    </cfRule>
    <cfRule type="expression" dxfId="2327" priority="304">
      <formula>AND(AA$9&gt;=8/24,AA$9&lt;14/24)</formula>
    </cfRule>
    <cfRule type="expression" dxfId="2326" priority="305">
      <formula>AA$9&lt;8/24</formula>
    </cfRule>
  </conditionalFormatting>
  <conditionalFormatting sqref="AA35:AF35">
    <cfRule type="expression" dxfId="2325" priority="301">
      <formula>AA35&gt;$AG35</formula>
    </cfRule>
  </conditionalFormatting>
  <conditionalFormatting sqref="A46">
    <cfRule type="expression" dxfId="2324" priority="299">
      <formula>$AH46=0</formula>
    </cfRule>
  </conditionalFormatting>
  <conditionalFormatting sqref="AL46">
    <cfRule type="iconSet" priority="300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2323" priority="298">
      <formula>AA46&gt;$AG46</formula>
    </cfRule>
  </conditionalFormatting>
  <conditionalFormatting sqref="AA46:AF46">
    <cfRule type="expression" dxfId="2322" priority="294">
      <formula>AA$9&gt;=20/24</formula>
    </cfRule>
    <cfRule type="expression" dxfId="2321" priority="295">
      <formula>AND(AA$9&gt;=14/24,AA$9&lt;20/24)</formula>
    </cfRule>
    <cfRule type="expression" dxfId="2320" priority="296">
      <formula>AND(AA$9&gt;=8/24,AA$9&lt;14/24)</formula>
    </cfRule>
    <cfRule type="expression" dxfId="2319" priority="297">
      <formula>AA$9&lt;8/24</formula>
    </cfRule>
  </conditionalFormatting>
  <conditionalFormatting sqref="F120:AF120">
    <cfRule type="expression" dxfId="2318" priority="290">
      <formula>F$9&gt;=20/24</formula>
    </cfRule>
    <cfRule type="expression" dxfId="2317" priority="291">
      <formula>AND(F$9&gt;=14/24,F$9&lt;20/24)</formula>
    </cfRule>
    <cfRule type="expression" dxfId="2316" priority="292">
      <formula>AND(F$9&gt;=8/24,F$9&lt;14/24)</formula>
    </cfRule>
    <cfRule type="expression" dxfId="2315" priority="293">
      <formula>F$9&lt;8/24</formula>
    </cfRule>
  </conditionalFormatting>
  <conditionalFormatting sqref="C120:E120">
    <cfRule type="expression" dxfId="2314" priority="286">
      <formula>C$9&gt;=20/24</formula>
    </cfRule>
    <cfRule type="expression" dxfId="2313" priority="287">
      <formula>AND(C$9&gt;=14/24,C$9&lt;20/24)</formula>
    </cfRule>
    <cfRule type="expression" dxfId="2312" priority="288">
      <formula>AND(C$9&gt;=8/24,C$9&lt;14/24)</formula>
    </cfRule>
    <cfRule type="expression" dxfId="2311" priority="289">
      <formula>C$9&lt;8/24</formula>
    </cfRule>
  </conditionalFormatting>
  <conditionalFormatting sqref="C49:E49">
    <cfRule type="expression" dxfId="2310" priority="264">
      <formula>C49&gt;$AG49</formula>
    </cfRule>
  </conditionalFormatting>
  <conditionalFormatting sqref="M19:T34 U22:Z34 M36:Z45 AA31:AF31">
    <cfRule type="expression" dxfId="2309" priority="234">
      <formula>M$9&gt;=20/24</formula>
    </cfRule>
    <cfRule type="expression" dxfId="2308" priority="235">
      <formula>AND(M$9&gt;=14/24,M$9&lt;20/24)</formula>
    </cfRule>
    <cfRule type="expression" dxfId="2307" priority="236">
      <formula>AND(M$9&gt;=8/24,M$9&lt;14/24)</formula>
    </cfRule>
    <cfRule type="expression" dxfId="2306" priority="237">
      <formula>M$9&lt;8/24</formula>
    </cfRule>
  </conditionalFormatting>
  <conditionalFormatting sqref="M19:T34 U22:Z34 M36:Z45 AA31:AF31">
    <cfRule type="expression" dxfId="2305" priority="233">
      <formula>M19&gt;$AG19</formula>
    </cfRule>
  </conditionalFormatting>
  <conditionalFormatting sqref="C67:C68">
    <cfRule type="expression" dxfId="2304" priority="224">
      <formula>C67&gt;$AG67</formula>
    </cfRule>
  </conditionalFormatting>
  <conditionalFormatting sqref="C54">
    <cfRule type="expression" dxfId="2303" priority="216">
      <formula>C$9&gt;=20/24</formula>
    </cfRule>
    <cfRule type="expression" dxfId="2302" priority="217">
      <formula>AND(C$9&gt;=14/24,C$9&lt;20/24)</formula>
    </cfRule>
    <cfRule type="expression" dxfId="2301" priority="218">
      <formula>AND(C$9&gt;=8/24,C$9&lt;14/24)</formula>
    </cfRule>
    <cfRule type="expression" dxfId="2300" priority="219">
      <formula>C$9&lt;8/24</formula>
    </cfRule>
  </conditionalFormatting>
  <conditionalFormatting sqref="C54">
    <cfRule type="expression" dxfId="2299" priority="215">
      <formula>C54&gt;$AG54</formula>
    </cfRule>
  </conditionalFormatting>
  <conditionalFormatting sqref="M47:Z47">
    <cfRule type="expression" dxfId="2298" priority="205">
      <formula>M47&gt;$AG47</formula>
    </cfRule>
  </conditionalFormatting>
  <conditionalFormatting sqref="G13:T13">
    <cfRule type="expression" dxfId="2297" priority="201">
      <formula>G$9&gt;=20/24</formula>
    </cfRule>
    <cfRule type="expression" dxfId="2296" priority="202">
      <formula>AND(G$9&gt;=14/24,G$9&lt;20/24)</formula>
    </cfRule>
    <cfRule type="expression" dxfId="2295" priority="203">
      <formula>AND(G$9&gt;=8/24,G$9&lt;14/24)</formula>
    </cfRule>
    <cfRule type="expression" dxfId="2294" priority="204">
      <formula>G$9&lt;8/24</formula>
    </cfRule>
  </conditionalFormatting>
  <conditionalFormatting sqref="G13:T13">
    <cfRule type="expression" dxfId="2293" priority="200">
      <formula>G13&gt;$AG13</formula>
    </cfRule>
  </conditionalFormatting>
  <conditionalFormatting sqref="M47:Z47">
    <cfRule type="expression" dxfId="2292" priority="196">
      <formula>M$9&gt;=20/24</formula>
    </cfRule>
    <cfRule type="expression" dxfId="2291" priority="197">
      <formula>AND(M$9&gt;=14/24,M$9&lt;20/24)</formula>
    </cfRule>
    <cfRule type="expression" dxfId="2290" priority="198">
      <formula>AND(M$9&gt;=8/24,M$9&lt;14/24)</formula>
    </cfRule>
    <cfRule type="expression" dxfId="2289" priority="199">
      <formula>M$9&lt;8/24</formula>
    </cfRule>
  </conditionalFormatting>
  <conditionalFormatting sqref="M48:Z48">
    <cfRule type="expression" dxfId="2288" priority="192">
      <formula>M$9&gt;=20/24</formula>
    </cfRule>
    <cfRule type="expression" dxfId="2287" priority="193">
      <formula>AND(M$9&gt;=14/24,M$9&lt;20/24)</formula>
    </cfRule>
    <cfRule type="expression" dxfId="2286" priority="194">
      <formula>AND(M$9&gt;=8/24,M$9&lt;14/24)</formula>
    </cfRule>
    <cfRule type="expression" dxfId="2285" priority="195">
      <formula>M$9&lt;8/24</formula>
    </cfRule>
  </conditionalFormatting>
  <conditionalFormatting sqref="M48:Z48">
    <cfRule type="expression" dxfId="2284" priority="191">
      <formula>M48&gt;$AG48</formula>
    </cfRule>
  </conditionalFormatting>
  <conditionalFormatting sqref="C50:E50">
    <cfRule type="expression" dxfId="2283" priority="190">
      <formula>C50&gt;$AG50</formula>
    </cfRule>
  </conditionalFormatting>
  <conditionalFormatting sqref="M11:T11">
    <cfRule type="expression" dxfId="2282" priority="186">
      <formula>M$9&gt;=20/24</formula>
    </cfRule>
    <cfRule type="expression" dxfId="2281" priority="187">
      <formula>AND(M$9&gt;=14/24,M$9&lt;20/24)</formula>
    </cfRule>
    <cfRule type="expression" dxfId="2280" priority="188">
      <formula>AND(M$9&gt;=8/24,M$9&lt;14/24)</formula>
    </cfRule>
    <cfRule type="expression" dxfId="2279" priority="189">
      <formula>M$9&lt;8/24</formula>
    </cfRule>
  </conditionalFormatting>
  <conditionalFormatting sqref="M11:T11">
    <cfRule type="expression" dxfId="2278" priority="185">
      <formula>M11&gt;$AG11</formula>
    </cfRule>
  </conditionalFormatting>
  <conditionalFormatting sqref="M18:T18">
    <cfRule type="expression" dxfId="2277" priority="181">
      <formula>M$9&gt;=20/24</formula>
    </cfRule>
    <cfRule type="expression" dxfId="2276" priority="182">
      <formula>AND(M$9&gt;=14/24,M$9&lt;20/24)</formula>
    </cfRule>
    <cfRule type="expression" dxfId="2275" priority="183">
      <formula>AND(M$9&gt;=8/24,M$9&lt;14/24)</formula>
    </cfRule>
    <cfRule type="expression" dxfId="2274" priority="184">
      <formula>M$9&lt;8/24</formula>
    </cfRule>
  </conditionalFormatting>
  <conditionalFormatting sqref="M18:T18">
    <cfRule type="expression" dxfId="2273" priority="180">
      <formula>M18&gt;$AG18</formula>
    </cfRule>
  </conditionalFormatting>
  <conditionalFormatting sqref="M35:Z35">
    <cfRule type="expression" dxfId="2272" priority="176">
      <formula>M$9&gt;=20/24</formula>
    </cfRule>
    <cfRule type="expression" dxfId="2271" priority="177">
      <formula>AND(M$9&gt;=14/24,M$9&lt;20/24)</formula>
    </cfRule>
    <cfRule type="expression" dxfId="2270" priority="178">
      <formula>AND(M$9&gt;=8/24,M$9&lt;14/24)</formula>
    </cfRule>
    <cfRule type="expression" dxfId="2269" priority="179">
      <formula>M$9&lt;8/24</formula>
    </cfRule>
  </conditionalFormatting>
  <conditionalFormatting sqref="M35:Z35">
    <cfRule type="expression" dxfId="2268" priority="175">
      <formula>M35&gt;$AG35</formula>
    </cfRule>
  </conditionalFormatting>
  <conditionalFormatting sqref="M46:Z46">
    <cfRule type="expression" dxfId="2267" priority="174">
      <formula>M46&gt;$AG46</formula>
    </cfRule>
  </conditionalFormatting>
  <conditionalFormatting sqref="M46:Z46">
    <cfRule type="expression" dxfId="2266" priority="170">
      <formula>M$9&gt;=20/24</formula>
    </cfRule>
    <cfRule type="expression" dxfId="2265" priority="171">
      <formula>AND(M$9&gt;=14/24,M$9&lt;20/24)</formula>
    </cfRule>
    <cfRule type="expression" dxfId="2264" priority="172">
      <formula>AND(M$9&gt;=8/24,M$9&lt;14/24)</formula>
    </cfRule>
    <cfRule type="expression" dxfId="2263" priority="173">
      <formula>M$9&lt;8/24</formula>
    </cfRule>
  </conditionalFormatting>
  <conditionalFormatting sqref="AF76">
    <cfRule type="expression" dxfId="2262" priority="144">
      <formula>AF$9&gt;=20/24</formula>
    </cfRule>
    <cfRule type="expression" dxfId="2261" priority="145">
      <formula>AND(AF$9&gt;=14/24,AF$9&lt;20/24)</formula>
    </cfRule>
    <cfRule type="expression" dxfId="2260" priority="146">
      <formula>AND(AF$9&gt;=8/24,AF$9&lt;14/24)</formula>
    </cfRule>
    <cfRule type="expression" dxfId="2259" priority="147">
      <formula>AF$9&lt;8/24</formula>
    </cfRule>
  </conditionalFormatting>
  <conditionalFormatting sqref="B113:B119 B111 B14:F17 B12:L12 G15:L17">
    <cfRule type="expression" dxfId="2258" priority="136">
      <formula>B$9&gt;=20/24</formula>
    </cfRule>
    <cfRule type="expression" dxfId="2257" priority="137">
      <formula>AND(B$9&gt;=14/24,B$9&lt;20/24)</formula>
    </cfRule>
    <cfRule type="expression" dxfId="2256" priority="138">
      <formula>AND(B$9&gt;=8/24,B$9&lt;14/24)</formula>
    </cfRule>
    <cfRule type="expression" dxfId="2255" priority="139">
      <formula>B$9&lt;8/24</formula>
    </cfRule>
  </conditionalFormatting>
  <conditionalFormatting sqref="B14:F17 B12:L12 G15:L17">
    <cfRule type="expression" dxfId="2254" priority="135">
      <formula>B12&gt;$AG12</formula>
    </cfRule>
  </conditionalFormatting>
  <conditionalFormatting sqref="B101">
    <cfRule type="expression" dxfId="2253" priority="131">
      <formula>B$9&gt;=20/24</formula>
    </cfRule>
    <cfRule type="expression" dxfId="2252" priority="132">
      <formula>AND(B$9&gt;=14/24,B$9&lt;20/24)</formula>
    </cfRule>
    <cfRule type="expression" dxfId="2251" priority="133">
      <formula>AND(B$9&gt;=8/24,B$9&lt;14/24)</formula>
    </cfRule>
    <cfRule type="expression" dxfId="2250" priority="134">
      <formula>B$9&lt;8/24</formula>
    </cfRule>
  </conditionalFormatting>
  <conditionalFormatting sqref="B73">
    <cfRule type="expression" dxfId="2249" priority="127">
      <formula>B$9&gt;=20/24</formula>
    </cfRule>
    <cfRule type="expression" dxfId="2248" priority="128">
      <formula>AND(B$9&gt;=14/24,B$9&lt;20/24)</formula>
    </cfRule>
    <cfRule type="expression" dxfId="2247" priority="129">
      <formula>AND(B$9&gt;=8/24,B$9&lt;14/24)</formula>
    </cfRule>
    <cfRule type="expression" dxfId="2246" priority="130">
      <formula>B$9&lt;8/24</formula>
    </cfRule>
  </conditionalFormatting>
  <conditionalFormatting sqref="B88 B98 B75 B49 B69:P71">
    <cfRule type="expression" dxfId="2245" priority="123">
      <formula>B$9&gt;=20/24</formula>
    </cfRule>
    <cfRule type="expression" dxfId="2244" priority="124">
      <formula>AND(B$9&gt;=14/24,B$9&lt;20/24)</formula>
    </cfRule>
    <cfRule type="expression" dxfId="2243" priority="125">
      <formula>AND(B$9&gt;=8/24,B$9&lt;14/24)</formula>
    </cfRule>
    <cfRule type="expression" dxfId="2242" priority="126">
      <formula>B$9&lt;8/24</formula>
    </cfRule>
  </conditionalFormatting>
  <conditionalFormatting sqref="B49 B69:P71">
    <cfRule type="expression" dxfId="2241" priority="122">
      <formula>B49&gt;$AG49</formula>
    </cfRule>
  </conditionalFormatting>
  <conditionalFormatting sqref="B55:E59 F59:P59">
    <cfRule type="expression" dxfId="2240" priority="118">
      <formula>B$9&gt;=20/24</formula>
    </cfRule>
    <cfRule type="expression" dxfId="2239" priority="119">
      <formula>AND(B$9&gt;=14/24,B$9&lt;20/24)</formula>
    </cfRule>
    <cfRule type="expression" dxfId="2238" priority="120">
      <formula>AND(B$9&gt;=8/24,B$9&lt;14/24)</formula>
    </cfRule>
    <cfRule type="expression" dxfId="2237" priority="121">
      <formula>B$9&lt;8/24</formula>
    </cfRule>
  </conditionalFormatting>
  <conditionalFormatting sqref="B55:E59 F59:P59">
    <cfRule type="expression" dxfId="2236" priority="117">
      <formula>B55&gt;$AG55</formula>
    </cfRule>
  </conditionalFormatting>
  <conditionalFormatting sqref="B99 B90">
    <cfRule type="expression" dxfId="2235" priority="113">
      <formula>B$9&gt;=20/24</formula>
    </cfRule>
    <cfRule type="expression" dxfId="2234" priority="114">
      <formula>AND(B$9&gt;=14/24,B$9&lt;20/24)</formula>
    </cfRule>
    <cfRule type="expression" dxfId="2233" priority="115">
      <formula>AND(B$9&gt;=8/24,B$9&lt;14/24)</formula>
    </cfRule>
    <cfRule type="expression" dxfId="2232" priority="116">
      <formula>B$9&lt;8/24</formula>
    </cfRule>
  </conditionalFormatting>
  <conditionalFormatting sqref="B93:B97">
    <cfRule type="expression" dxfId="2231" priority="109">
      <formula>B$9&gt;=20/24</formula>
    </cfRule>
    <cfRule type="expression" dxfId="2230" priority="110">
      <formula>AND(B$9&gt;=14/24,B$9&lt;20/24)</formula>
    </cfRule>
    <cfRule type="expression" dxfId="2229" priority="111">
      <formula>AND(B$9&gt;=8/24,B$9&lt;14/24)</formula>
    </cfRule>
    <cfRule type="expression" dxfId="2228" priority="112">
      <formula>B$9&lt;8/24</formula>
    </cfRule>
  </conditionalFormatting>
  <conditionalFormatting sqref="B51:E53">
    <cfRule type="expression" dxfId="2227" priority="105">
      <formula>B$9&gt;=20/24</formula>
    </cfRule>
    <cfRule type="expression" dxfId="2226" priority="106">
      <formula>AND(B$9&gt;=14/24,B$9&lt;20/24)</formula>
    </cfRule>
    <cfRule type="expression" dxfId="2225" priority="107">
      <formula>AND(B$9&gt;=8/24,B$9&lt;14/24)</formula>
    </cfRule>
    <cfRule type="expression" dxfId="2224" priority="108">
      <formula>B$9&lt;8/24</formula>
    </cfRule>
  </conditionalFormatting>
  <conditionalFormatting sqref="B51:E53">
    <cfRule type="expression" dxfId="2223" priority="104">
      <formula>B51&gt;$AG51</formula>
    </cfRule>
  </conditionalFormatting>
  <conditionalFormatting sqref="B109">
    <cfRule type="expression" dxfId="2222" priority="100">
      <formula>B$9&gt;=20/24</formula>
    </cfRule>
    <cfRule type="expression" dxfId="2221" priority="101">
      <formula>AND(B$9&gt;=14/24,B$9&lt;20/24)</formula>
    </cfRule>
    <cfRule type="expression" dxfId="2220" priority="102">
      <formula>AND(B$9&gt;=8/24,B$9&lt;14/24)</formula>
    </cfRule>
    <cfRule type="expression" dxfId="2219" priority="103">
      <formula>B$9&lt;8/24</formula>
    </cfRule>
  </conditionalFormatting>
  <conditionalFormatting sqref="B112">
    <cfRule type="expression" dxfId="2218" priority="96">
      <formula>B$9&gt;=20/24</formula>
    </cfRule>
    <cfRule type="expression" dxfId="2217" priority="97">
      <formula>AND(B$9&gt;=14/24,B$9&lt;20/24)</formula>
    </cfRule>
    <cfRule type="expression" dxfId="2216" priority="98">
      <formula>AND(B$9&gt;=8/24,B$9&lt;14/24)</formula>
    </cfRule>
    <cfRule type="expression" dxfId="2215" priority="99">
      <formula>B$9&lt;8/24</formula>
    </cfRule>
  </conditionalFormatting>
  <conditionalFormatting sqref="B102:E108">
    <cfRule type="expression" dxfId="2214" priority="92">
      <formula>B$9&gt;=20/24</formula>
    </cfRule>
    <cfRule type="expression" dxfId="2213" priority="93">
      <formula>AND(B$9&gt;=14/24,B$9&lt;20/24)</formula>
    </cfRule>
    <cfRule type="expression" dxfId="2212" priority="94">
      <formula>AND(B$9&gt;=8/24,B$9&lt;14/24)</formula>
    </cfRule>
    <cfRule type="expression" dxfId="2211" priority="95">
      <formula>B$9&lt;8/24</formula>
    </cfRule>
  </conditionalFormatting>
  <conditionalFormatting sqref="B36:L45 B32:L34 B19:L30">
    <cfRule type="expression" dxfId="2210" priority="88">
      <formula>B$9&gt;=20/24</formula>
    </cfRule>
    <cfRule type="expression" dxfId="2209" priority="89">
      <formula>AND(B$9&gt;=14/24,B$9&lt;20/24)</formula>
    </cfRule>
    <cfRule type="expression" dxfId="2208" priority="90">
      <formula>AND(B$9&gt;=8/24,B$9&lt;14/24)</formula>
    </cfRule>
    <cfRule type="expression" dxfId="2207" priority="91">
      <formula>B$9&lt;8/24</formula>
    </cfRule>
  </conditionalFormatting>
  <conditionalFormatting sqref="B36:L45 B32:L34 B19:L30">
    <cfRule type="expression" dxfId="2206" priority="87">
      <formula>B19&gt;$AG19</formula>
    </cfRule>
  </conditionalFormatting>
  <conditionalFormatting sqref="B85:B87 B76:E78 F77:F78 G77:P77">
    <cfRule type="expression" dxfId="2205" priority="83">
      <formula>B$9&gt;=20/24</formula>
    </cfRule>
    <cfRule type="expression" dxfId="2204" priority="84">
      <formula>AND(B$9&gt;=14/24,B$9&lt;20/24)</formula>
    </cfRule>
    <cfRule type="expression" dxfId="2203" priority="85">
      <formula>AND(B$9&gt;=8/24,B$9&lt;14/24)</formula>
    </cfRule>
    <cfRule type="expression" dxfId="2202" priority="86">
      <formula>B$9&lt;8/24</formula>
    </cfRule>
  </conditionalFormatting>
  <conditionalFormatting sqref="B89 B91 B100 B72">
    <cfRule type="expression" dxfId="2201" priority="79">
      <formula>B$9&gt;=20/24</formula>
    </cfRule>
    <cfRule type="expression" dxfId="2200" priority="80">
      <formula>AND(B$9&gt;=14/24,B$9&lt;20/24)</formula>
    </cfRule>
    <cfRule type="expression" dxfId="2199" priority="81">
      <formula>AND(B$9&gt;=8/24,B$9&lt;14/24)</formula>
    </cfRule>
    <cfRule type="expression" dxfId="2198" priority="82">
      <formula>B$9&lt;8/24</formula>
    </cfRule>
  </conditionalFormatting>
  <conditionalFormatting sqref="B72 B67:B68">
    <cfRule type="expression" dxfId="2197" priority="78">
      <formula>B67&gt;$AG67</formula>
    </cfRule>
  </conditionalFormatting>
  <conditionalFormatting sqref="B84">
    <cfRule type="expression" dxfId="2196" priority="74">
      <formula>B$9&gt;=20/24</formula>
    </cfRule>
    <cfRule type="expression" dxfId="2195" priority="75">
      <formula>AND(B$9&gt;=14/24,B$9&lt;20/24)</formula>
    </cfRule>
    <cfRule type="expression" dxfId="2194" priority="76">
      <formula>AND(B$9&gt;=8/24,B$9&lt;14/24)</formula>
    </cfRule>
    <cfRule type="expression" dxfId="2193" priority="77">
      <formula>B$9&lt;8/24</formula>
    </cfRule>
  </conditionalFormatting>
  <conditionalFormatting sqref="B54">
    <cfRule type="expression" dxfId="2192" priority="70">
      <formula>B$9&gt;=20/24</formula>
    </cfRule>
    <cfRule type="expression" dxfId="2191" priority="71">
      <formula>AND(B$9&gt;=14/24,B$9&lt;20/24)</formula>
    </cfRule>
    <cfRule type="expression" dxfId="2190" priority="72">
      <formula>AND(B$9&gt;=8/24,B$9&lt;14/24)</formula>
    </cfRule>
    <cfRule type="expression" dxfId="2189" priority="73">
      <formula>B$9&lt;8/24</formula>
    </cfRule>
  </conditionalFormatting>
  <conditionalFormatting sqref="B54">
    <cfRule type="expression" dxfId="2188" priority="69">
      <formula>B54&gt;$AG54</formula>
    </cfRule>
  </conditionalFormatting>
  <conditionalFormatting sqref="B61:P66 Q62:T66">
    <cfRule type="expression" dxfId="2187" priority="61">
      <formula>B$9&gt;=20/24</formula>
    </cfRule>
    <cfRule type="expression" dxfId="2186" priority="62">
      <formula>AND(B$9&gt;=14/24,B$9&lt;20/24)</formula>
    </cfRule>
    <cfRule type="expression" dxfId="2185" priority="63">
      <formula>AND(B$9&gt;=8/24,B$9&lt;14/24)</formula>
    </cfRule>
    <cfRule type="expression" dxfId="2184" priority="64">
      <formula>B$9&lt;8/24</formula>
    </cfRule>
  </conditionalFormatting>
  <conditionalFormatting sqref="B61:P66 Q62:T66">
    <cfRule type="expression" dxfId="2183" priority="60">
      <formula>B61&gt;$AG61</formula>
    </cfRule>
  </conditionalFormatting>
  <conditionalFormatting sqref="B47:L47">
    <cfRule type="expression" dxfId="2182" priority="59">
      <formula>B47&gt;$AG47</formula>
    </cfRule>
  </conditionalFormatting>
  <conditionalFormatting sqref="B13:F13">
    <cfRule type="expression" dxfId="2181" priority="55">
      <formula>B$9&gt;=20/24</formula>
    </cfRule>
    <cfRule type="expression" dxfId="2180" priority="56">
      <formula>AND(B$9&gt;=14/24,B$9&lt;20/24)</formula>
    </cfRule>
    <cfRule type="expression" dxfId="2179" priority="57">
      <formula>AND(B$9&gt;=8/24,B$9&lt;14/24)</formula>
    </cfRule>
    <cfRule type="expression" dxfId="2178" priority="58">
      <formula>B$9&lt;8/24</formula>
    </cfRule>
  </conditionalFormatting>
  <conditionalFormatting sqref="B13:F13">
    <cfRule type="expression" dxfId="2177" priority="54">
      <formula>B13&gt;$AG13</formula>
    </cfRule>
  </conditionalFormatting>
  <conditionalFormatting sqref="B47:L47">
    <cfRule type="expression" dxfId="2176" priority="50">
      <formula>B$9&gt;=20/24</formula>
    </cfRule>
    <cfRule type="expression" dxfId="2175" priority="51">
      <formula>AND(B$9&gt;=14/24,B$9&lt;20/24)</formula>
    </cfRule>
    <cfRule type="expression" dxfId="2174" priority="52">
      <formula>AND(B$9&gt;=8/24,B$9&lt;14/24)</formula>
    </cfRule>
    <cfRule type="expression" dxfId="2173" priority="53">
      <formula>B$9&lt;8/24</formula>
    </cfRule>
  </conditionalFormatting>
  <conditionalFormatting sqref="B79:P83">
    <cfRule type="expression" dxfId="2172" priority="46">
      <formula>B$9&gt;=20/24</formula>
    </cfRule>
    <cfRule type="expression" dxfId="2171" priority="47">
      <formula>AND(B$9&gt;=14/24,B$9&lt;20/24)</formula>
    </cfRule>
    <cfRule type="expression" dxfId="2170" priority="48">
      <formula>AND(B$9&gt;=8/24,B$9&lt;14/24)</formula>
    </cfRule>
    <cfRule type="expression" dxfId="2169" priority="49">
      <formula>B$9&lt;8/24</formula>
    </cfRule>
  </conditionalFormatting>
  <conditionalFormatting sqref="B60:P60">
    <cfRule type="expression" dxfId="2168" priority="42">
      <formula>B$9&gt;=20/24</formula>
    </cfRule>
    <cfRule type="expression" dxfId="2167" priority="43">
      <formula>AND(B$9&gt;=14/24,B$9&lt;20/24)</formula>
    </cfRule>
    <cfRule type="expression" dxfId="2166" priority="44">
      <formula>AND(B$9&gt;=8/24,B$9&lt;14/24)</formula>
    </cfRule>
    <cfRule type="expression" dxfId="2165" priority="45">
      <formula>B$9&lt;8/24</formula>
    </cfRule>
  </conditionalFormatting>
  <conditionalFormatting sqref="B60:P60">
    <cfRule type="expression" dxfId="2164" priority="41">
      <formula>B60&gt;$AG60</formula>
    </cfRule>
  </conditionalFormatting>
  <conditionalFormatting sqref="B50">
    <cfRule type="expression" dxfId="2163" priority="40">
      <formula>B50&gt;$AG50</formula>
    </cfRule>
  </conditionalFormatting>
  <conditionalFormatting sqref="B11:L11">
    <cfRule type="expression" dxfId="2162" priority="36">
      <formula>B$9&gt;=20/24</formula>
    </cfRule>
    <cfRule type="expression" dxfId="2161" priority="37">
      <formula>AND(B$9&gt;=14/24,B$9&lt;20/24)</formula>
    </cfRule>
    <cfRule type="expression" dxfId="2160" priority="38">
      <formula>AND(B$9&gt;=8/24,B$9&lt;14/24)</formula>
    </cfRule>
    <cfRule type="expression" dxfId="2159" priority="39">
      <formula>B$9&lt;8/24</formula>
    </cfRule>
  </conditionalFormatting>
  <conditionalFormatting sqref="B11:L11">
    <cfRule type="expression" dxfId="2158" priority="35">
      <formula>B11&gt;$AG11</formula>
    </cfRule>
  </conditionalFormatting>
  <conditionalFormatting sqref="B18:L18">
    <cfRule type="expression" dxfId="2157" priority="31">
      <formula>B$9&gt;=20/24</formula>
    </cfRule>
    <cfRule type="expression" dxfId="2156" priority="32">
      <formula>AND(B$9&gt;=14/24,B$9&lt;20/24)</formula>
    </cfRule>
    <cfRule type="expression" dxfId="2155" priority="33">
      <formula>AND(B$9&gt;=8/24,B$9&lt;14/24)</formula>
    </cfRule>
    <cfRule type="expression" dxfId="2154" priority="34">
      <formula>B$9&lt;8/24</formula>
    </cfRule>
  </conditionalFormatting>
  <conditionalFormatting sqref="B18:L18">
    <cfRule type="expression" dxfId="2153" priority="30">
      <formula>B18&gt;$AG18</formula>
    </cfRule>
  </conditionalFormatting>
  <conditionalFormatting sqref="B35:L35">
    <cfRule type="expression" dxfId="2152" priority="26">
      <formula>B$9&gt;=20/24</formula>
    </cfRule>
    <cfRule type="expression" dxfId="2151" priority="27">
      <formula>AND(B$9&gt;=14/24,B$9&lt;20/24)</formula>
    </cfRule>
    <cfRule type="expression" dxfId="2150" priority="28">
      <formula>AND(B$9&gt;=8/24,B$9&lt;14/24)</formula>
    </cfRule>
    <cfRule type="expression" dxfId="2149" priority="29">
      <formula>B$9&lt;8/24</formula>
    </cfRule>
  </conditionalFormatting>
  <conditionalFormatting sqref="B35:L35">
    <cfRule type="expression" dxfId="2148" priority="25">
      <formula>B35&gt;$AG35</formula>
    </cfRule>
  </conditionalFormatting>
  <conditionalFormatting sqref="B46:L46">
    <cfRule type="expression" dxfId="2147" priority="24">
      <formula>B46&gt;$AG46</formula>
    </cfRule>
  </conditionalFormatting>
  <conditionalFormatting sqref="B46:L46">
    <cfRule type="expression" dxfId="2146" priority="20">
      <formula>B$9&gt;=20/24</formula>
    </cfRule>
    <cfRule type="expression" dxfId="2145" priority="21">
      <formula>AND(B$9&gt;=14/24,B$9&lt;20/24)</formula>
    </cfRule>
    <cfRule type="expression" dxfId="2144" priority="22">
      <formula>AND(B$9&gt;=8/24,B$9&lt;14/24)</formula>
    </cfRule>
    <cfRule type="expression" dxfId="2143" priority="23">
      <formula>B$9&lt;8/24</formula>
    </cfRule>
  </conditionalFormatting>
  <conditionalFormatting sqref="B120">
    <cfRule type="expression" dxfId="2142" priority="16">
      <formula>B$9&gt;=20/24</formula>
    </cfRule>
    <cfRule type="expression" dxfId="2141" priority="17">
      <formula>AND(B$9&gt;=14/24,B$9&lt;20/24)</formula>
    </cfRule>
    <cfRule type="expression" dxfId="2140" priority="18">
      <formula>AND(B$9&gt;=8/24,B$9&lt;14/24)</formula>
    </cfRule>
    <cfRule type="expression" dxfId="2139" priority="19">
      <formula>B$9&lt;8/24</formula>
    </cfRule>
  </conditionalFormatting>
  <conditionalFormatting sqref="B31:L31">
    <cfRule type="expression" dxfId="2138" priority="12">
      <formula>B$9&gt;=20/24</formula>
    </cfRule>
    <cfRule type="expression" dxfId="2137" priority="13">
      <formula>AND(B$9&gt;=14/24,B$9&lt;20/24)</formula>
    </cfRule>
    <cfRule type="expression" dxfId="2136" priority="14">
      <formula>AND(B$9&gt;=8/24,B$9&lt;14/24)</formula>
    </cfRule>
    <cfRule type="expression" dxfId="2135" priority="15">
      <formula>B$9&lt;8/24</formula>
    </cfRule>
  </conditionalFormatting>
  <conditionalFormatting sqref="B31:L31">
    <cfRule type="expression" dxfId="2134" priority="11">
      <formula>B31&gt;$AG31</formula>
    </cfRule>
  </conditionalFormatting>
  <conditionalFormatting sqref="B48:L48">
    <cfRule type="expression" dxfId="2133" priority="7">
      <formula>B$9&gt;=20/24</formula>
    </cfRule>
    <cfRule type="expression" dxfId="2132" priority="8">
      <formula>AND(B$9&gt;=14/24,B$9&lt;20/24)</formula>
    </cfRule>
    <cfRule type="expression" dxfId="2131" priority="9">
      <formula>AND(B$9&gt;=8/24,B$9&lt;14/24)</formula>
    </cfRule>
    <cfRule type="expression" dxfId="2130" priority="10">
      <formula>B$9&lt;8/24</formula>
    </cfRule>
  </conditionalFormatting>
  <conditionalFormatting sqref="B48:L48">
    <cfRule type="expression" dxfId="2129" priority="6">
      <formula>B48&gt;$AG48</formula>
    </cfRule>
  </conditionalFormatting>
  <conditionalFormatting sqref="B74">
    <cfRule type="expression" dxfId="2128" priority="2">
      <formula>B$9&gt;=20/24</formula>
    </cfRule>
    <cfRule type="expression" dxfId="2127" priority="3">
      <formula>AND(B$9&gt;=14/24,B$9&lt;20/24)</formula>
    </cfRule>
    <cfRule type="expression" dxfId="2126" priority="4">
      <formula>AND(B$9&gt;=8/24,B$9&lt;14/24)</formula>
    </cfRule>
    <cfRule type="expression" dxfId="2125" priority="5">
      <formula>B$9&lt;8/24</formula>
    </cfRule>
  </conditionalFormatting>
  <conditionalFormatting sqref="A115">
    <cfRule type="expression" dxfId="2124" priority="1">
      <formula>$AH115=0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5" id="{FFFFA401-6E43-4FAA-B8D8-089F083935F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96" id="{7255DB83-A81E-4D53-BB0A-A11ED5454AC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7" id="{CACC03AC-1516-47A3-A375-6C450F50031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8" id="{09A7E3F6-6D14-4673-AFB2-C6241526FE2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65" id="{EBF03A11-0CA0-42BB-B78F-F474CF29F43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6" id="{192371DA-600F-4BEF-9B29-1A090AA7419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id="{15898F13-FB78-4101-8201-D614D1A906B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id="{A5B0F5CA-BFA8-4A66-B8A3-E4A612359BE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A7D7-23F7-442B-8F59-B8FCC66813D0}">
  <dimension ref="A1:CJ281"/>
  <sheetViews>
    <sheetView zoomScale="95" zoomScaleNormal="95" workbookViewId="0">
      <pane xSplit="1" ySplit="10" topLeftCell="B44" activePane="bottomRight" state="frozen"/>
      <selection pane="topRight" activeCell="B1" sqref="B1"/>
      <selection pane="bottomLeft" activeCell="A11" sqref="A11"/>
      <selection pane="bottomRight" activeCell="B40" sqref="B4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2080/02/30</v>
      </c>
      <c r="C4" s="191"/>
      <c r="D4" s="191"/>
      <c r="E4" s="192" t="str">
        <f ca="1">"2079/"&amp;"12/"&amp;INT(MID(CELL("filename",G6),FIND("]",CELL("filename",G6))+1,200))</f>
        <v>2079/12/30</v>
      </c>
      <c r="F4" s="192"/>
      <c r="G4" s="192"/>
      <c r="H4" s="192" t="str">
        <f ca="1">TEXT(E4,"dddd")</f>
        <v>Saturday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86</v>
      </c>
      <c r="D5" s="30">
        <f t="shared" si="0"/>
        <v>83</v>
      </c>
      <c r="E5" s="30">
        <f t="shared" si="0"/>
        <v>73</v>
      </c>
      <c r="F5" s="30">
        <f t="shared" si="0"/>
        <v>42</v>
      </c>
      <c r="G5" s="30">
        <f t="shared" si="0"/>
        <v>44.4</v>
      </c>
      <c r="H5" s="30">
        <f t="shared" si="0"/>
        <v>32</v>
      </c>
      <c r="I5" s="30">
        <f t="shared" si="0"/>
        <v>37</v>
      </c>
      <c r="J5" s="30">
        <f t="shared" si="0"/>
        <v>71.400000000000006</v>
      </c>
      <c r="K5" s="30">
        <f t="shared" si="0"/>
        <v>66</v>
      </c>
      <c r="L5" s="30">
        <f t="shared" si="0"/>
        <v>70.3</v>
      </c>
      <c r="M5" s="30">
        <f t="shared" si="0"/>
        <v>68.900000000000006</v>
      </c>
      <c r="N5" s="30">
        <f t="shared" si="0"/>
        <v>81.8</v>
      </c>
      <c r="O5" s="30">
        <f t="shared" si="0"/>
        <v>86.8</v>
      </c>
      <c r="P5" s="30">
        <f t="shared" si="0"/>
        <v>89</v>
      </c>
      <c r="Q5" s="30">
        <f t="shared" si="0"/>
        <v>93</v>
      </c>
      <c r="R5" s="30">
        <f t="shared" si="0"/>
        <v>93.4</v>
      </c>
      <c r="S5" s="30">
        <f t="shared" si="0"/>
        <v>79.599999999999994</v>
      </c>
      <c r="T5" s="30">
        <f t="shared" si="0"/>
        <v>71.5</v>
      </c>
      <c r="U5" s="30">
        <f t="shared" si="0"/>
        <v>76</v>
      </c>
      <c r="V5" s="30">
        <f t="shared" si="0"/>
        <v>76</v>
      </c>
      <c r="W5" s="30">
        <f t="shared" si="0"/>
        <v>79.8</v>
      </c>
      <c r="X5" s="30">
        <f t="shared" si="0"/>
        <v>67.3</v>
      </c>
      <c r="Y5" s="30">
        <f t="shared" si="0"/>
        <v>77.400000000000006</v>
      </c>
      <c r="Z5" s="30">
        <f t="shared" si="0"/>
        <v>79</v>
      </c>
      <c r="AA5" s="30">
        <f t="shared" si="0"/>
        <v>79.2</v>
      </c>
      <c r="AB5" s="30">
        <f t="shared" si="0"/>
        <v>75</v>
      </c>
      <c r="AC5" s="30">
        <f t="shared" si="0"/>
        <v>75</v>
      </c>
      <c r="AD5" s="30">
        <f t="shared" si="0"/>
        <v>75</v>
      </c>
      <c r="AE5" s="30">
        <f t="shared" si="0"/>
        <v>74</v>
      </c>
      <c r="AF5" s="30">
        <f>B84</f>
        <v>55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1776MW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1831.44</v>
      </c>
      <c r="C7" s="35">
        <f t="shared" si="1"/>
        <v>3.54</v>
      </c>
      <c r="D7" s="35">
        <f t="shared" si="1"/>
        <v>1815.94</v>
      </c>
      <c r="E7" s="35">
        <f t="shared" si="1"/>
        <v>1871.44</v>
      </c>
      <c r="F7" s="35">
        <f t="shared" si="1"/>
        <v>1839.8400000000001</v>
      </c>
      <c r="G7" s="35">
        <f t="shared" si="1"/>
        <v>1776.44</v>
      </c>
      <c r="H7" s="35">
        <f t="shared" si="1"/>
        <v>1736.7400000000002</v>
      </c>
      <c r="I7" s="35">
        <f t="shared" si="1"/>
        <v>1640.3400000000001</v>
      </c>
      <c r="J7" s="35">
        <f t="shared" si="1"/>
        <v>1675.3400000000001</v>
      </c>
      <c r="K7" s="35">
        <f t="shared" si="1"/>
        <v>1679.7400000000002</v>
      </c>
      <c r="L7" s="35">
        <f t="shared" si="1"/>
        <v>1661.3400000000001</v>
      </c>
      <c r="M7" s="35">
        <f t="shared" si="1"/>
        <v>1594.0400000000002</v>
      </c>
      <c r="N7" s="35">
        <f>N91</f>
        <v>1720.1399999999999</v>
      </c>
      <c r="O7" s="35">
        <f t="shared" si="1"/>
        <v>1771.34</v>
      </c>
      <c r="P7" s="35">
        <f t="shared" si="1"/>
        <v>1830.84</v>
      </c>
      <c r="Q7" s="35">
        <f t="shared" si="1"/>
        <v>1875.24</v>
      </c>
      <c r="R7" s="35">
        <f t="shared" si="1"/>
        <v>1907.44</v>
      </c>
      <c r="S7" s="35">
        <f t="shared" si="1"/>
        <v>1938.7400000000002</v>
      </c>
      <c r="T7" s="35">
        <f t="shared" si="1"/>
        <v>1911.44</v>
      </c>
      <c r="U7" s="35">
        <f t="shared" si="1"/>
        <v>1809.0400000000002</v>
      </c>
      <c r="V7" s="35">
        <f t="shared" si="1"/>
        <v>1764.84</v>
      </c>
      <c r="W7" s="35">
        <f t="shared" si="1"/>
        <v>1779.84</v>
      </c>
      <c r="X7" s="35">
        <f t="shared" si="1"/>
        <v>1678.6399999999999</v>
      </c>
      <c r="Y7" s="35">
        <f t="shared" si="1"/>
        <v>1679.54</v>
      </c>
      <c r="Z7" s="35">
        <f t="shared" si="1"/>
        <v>1682.2400000000002</v>
      </c>
      <c r="AA7" s="35">
        <f t="shared" si="1"/>
        <v>1838.04</v>
      </c>
      <c r="AB7" s="35">
        <f t="shared" si="1"/>
        <v>1939.14</v>
      </c>
      <c r="AC7" s="35">
        <f t="shared" si="1"/>
        <v>1942.44</v>
      </c>
      <c r="AD7" s="35">
        <f t="shared" si="1"/>
        <v>1981.94</v>
      </c>
      <c r="AE7" s="35">
        <f t="shared" si="1"/>
        <v>1940.84</v>
      </c>
      <c r="AF7" s="35">
        <f t="shared" si="1"/>
        <v>1911.44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45</v>
      </c>
      <c r="C11" s="45" t="s">
        <v>278</v>
      </c>
      <c r="D11" s="45">
        <v>45</v>
      </c>
      <c r="E11" s="45">
        <v>45</v>
      </c>
      <c r="F11" s="45">
        <v>45</v>
      </c>
      <c r="G11" s="45">
        <v>45</v>
      </c>
      <c r="H11" s="45">
        <v>40</v>
      </c>
      <c r="I11" s="45">
        <v>40</v>
      </c>
      <c r="J11" s="45">
        <v>40</v>
      </c>
      <c r="K11" s="45">
        <v>40</v>
      </c>
      <c r="L11" s="45">
        <v>40</v>
      </c>
      <c r="M11" s="45">
        <v>40</v>
      </c>
      <c r="N11" s="45">
        <v>40</v>
      </c>
      <c r="O11" s="45">
        <v>40</v>
      </c>
      <c r="P11" s="45">
        <v>40</v>
      </c>
      <c r="Q11" s="45">
        <v>40</v>
      </c>
      <c r="R11" s="45">
        <v>40</v>
      </c>
      <c r="S11" s="45">
        <v>40</v>
      </c>
      <c r="T11" s="45">
        <v>40</v>
      </c>
      <c r="U11" s="45">
        <v>40</v>
      </c>
      <c r="V11" s="45">
        <v>40</v>
      </c>
      <c r="W11" s="45">
        <v>40</v>
      </c>
      <c r="X11" s="45">
        <v>40</v>
      </c>
      <c r="Y11" s="45">
        <v>40</v>
      </c>
      <c r="Z11" s="45">
        <v>40</v>
      </c>
      <c r="AA11" s="45">
        <v>40</v>
      </c>
      <c r="AB11" s="45">
        <v>40</v>
      </c>
      <c r="AC11" s="45">
        <v>40</v>
      </c>
      <c r="AD11" s="45">
        <v>40</v>
      </c>
      <c r="AE11" s="45">
        <v>40</v>
      </c>
      <c r="AF11" s="45">
        <v>40</v>
      </c>
      <c r="AG11" s="46">
        <v>86</v>
      </c>
      <c r="AH11" s="47">
        <f t="shared" ref="AH11:AH76" si="2">MAX(B11:AF11)</f>
        <v>45</v>
      </c>
      <c r="AI11" s="48">
        <f t="shared" ref="AI11:AI76" si="3">MIN(B11:AF11)</f>
        <v>40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0</v>
      </c>
      <c r="C12" s="45" t="s">
        <v>279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50">
        <v>54</v>
      </c>
      <c r="AH12" s="47">
        <f t="shared" si="2"/>
        <v>0</v>
      </c>
      <c r="AI12" s="48">
        <f t="shared" si="3"/>
        <v>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34.9</v>
      </c>
      <c r="C13" s="45" t="s">
        <v>280</v>
      </c>
      <c r="D13" s="45">
        <v>34.9</v>
      </c>
      <c r="E13" s="45">
        <v>30.8</v>
      </c>
      <c r="F13" s="45">
        <v>30.8</v>
      </c>
      <c r="G13" s="45">
        <v>8.4</v>
      </c>
      <c r="H13" s="45">
        <v>36</v>
      </c>
      <c r="I13" s="45">
        <v>36</v>
      </c>
      <c r="J13" s="45">
        <v>36</v>
      </c>
      <c r="K13" s="45">
        <v>36</v>
      </c>
      <c r="L13" s="45">
        <v>36</v>
      </c>
      <c r="M13" s="45">
        <v>36</v>
      </c>
      <c r="N13" s="45">
        <v>36</v>
      </c>
      <c r="O13" s="45">
        <v>36</v>
      </c>
      <c r="P13" s="45">
        <v>36</v>
      </c>
      <c r="Q13" s="45">
        <v>36</v>
      </c>
      <c r="R13" s="45">
        <v>36</v>
      </c>
      <c r="S13" s="45">
        <v>36</v>
      </c>
      <c r="T13" s="45">
        <v>36</v>
      </c>
      <c r="U13" s="45">
        <v>36</v>
      </c>
      <c r="V13" s="45">
        <v>36</v>
      </c>
      <c r="W13" s="45">
        <v>36</v>
      </c>
      <c r="X13" s="45">
        <v>36</v>
      </c>
      <c r="Y13" s="45">
        <v>53.7</v>
      </c>
      <c r="Z13" s="45">
        <v>53.7</v>
      </c>
      <c r="AA13" s="45">
        <v>49.2</v>
      </c>
      <c r="AB13" s="45">
        <v>49.2</v>
      </c>
      <c r="AC13" s="45">
        <v>49.2</v>
      </c>
      <c r="AD13" s="45">
        <v>49.2</v>
      </c>
      <c r="AE13" s="45">
        <v>49.2</v>
      </c>
      <c r="AF13" s="45">
        <v>0</v>
      </c>
      <c r="AG13" s="46">
        <v>52.4</v>
      </c>
      <c r="AH13" s="47">
        <f t="shared" si="2"/>
        <v>53.7</v>
      </c>
      <c r="AI13" s="48">
        <f t="shared" si="3"/>
        <v>0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50.7</v>
      </c>
      <c r="C14" s="58" t="s">
        <v>281</v>
      </c>
      <c r="D14" s="58">
        <v>50.7</v>
      </c>
      <c r="E14" s="58">
        <v>50.3</v>
      </c>
      <c r="F14" s="58">
        <v>50.3</v>
      </c>
      <c r="G14" s="58">
        <v>50.3</v>
      </c>
      <c r="H14" s="58">
        <v>50.3</v>
      </c>
      <c r="I14" s="58">
        <v>50.3</v>
      </c>
      <c r="J14" s="58">
        <v>50.3</v>
      </c>
      <c r="K14" s="58">
        <v>50.3</v>
      </c>
      <c r="L14" s="58">
        <v>50.3</v>
      </c>
      <c r="M14" s="58">
        <v>50.3</v>
      </c>
      <c r="N14" s="58">
        <v>50.3</v>
      </c>
      <c r="O14" s="58">
        <v>50.3</v>
      </c>
      <c r="P14" s="58">
        <v>50.3</v>
      </c>
      <c r="Q14" s="58">
        <v>50.3</v>
      </c>
      <c r="R14" s="58">
        <v>50.3</v>
      </c>
      <c r="S14" s="58">
        <v>50.3</v>
      </c>
      <c r="T14" s="58">
        <v>50.3</v>
      </c>
      <c r="U14" s="58">
        <v>50.3</v>
      </c>
      <c r="V14" s="58">
        <v>50.3</v>
      </c>
      <c r="W14" s="58">
        <v>50.3</v>
      </c>
      <c r="X14" s="58">
        <v>50.3</v>
      </c>
      <c r="Y14" s="58">
        <v>50.3</v>
      </c>
      <c r="Z14" s="58">
        <v>50.3</v>
      </c>
      <c r="AA14" s="45">
        <v>50.3</v>
      </c>
      <c r="AB14" s="45">
        <v>50.3</v>
      </c>
      <c r="AC14" s="45">
        <v>50.3</v>
      </c>
      <c r="AD14" s="45">
        <v>50.3</v>
      </c>
      <c r="AE14" s="45">
        <v>50.3</v>
      </c>
      <c r="AF14" s="45">
        <v>50.3</v>
      </c>
      <c r="AG14" s="50">
        <v>50</v>
      </c>
      <c r="AH14" s="47">
        <f t="shared" si="2"/>
        <v>50.7</v>
      </c>
      <c r="AI14" s="48">
        <f t="shared" si="3"/>
        <v>50.3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46</v>
      </c>
      <c r="C15" s="45" t="s">
        <v>282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45.7</v>
      </c>
      <c r="Z15" s="45">
        <v>45.7</v>
      </c>
      <c r="AA15" s="45">
        <v>45.7</v>
      </c>
      <c r="AB15" s="45">
        <v>45.7</v>
      </c>
      <c r="AC15" s="45">
        <v>45.7</v>
      </c>
      <c r="AD15" s="45">
        <v>45.7</v>
      </c>
      <c r="AE15" s="45">
        <v>45.7</v>
      </c>
      <c r="AF15" s="45">
        <v>45.7</v>
      </c>
      <c r="AG15" s="50">
        <v>45</v>
      </c>
      <c r="AH15" s="47">
        <f t="shared" si="2"/>
        <v>46</v>
      </c>
      <c r="AI15" s="48">
        <f t="shared" si="3"/>
        <v>45.7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44</v>
      </c>
      <c r="C16" s="45" t="s">
        <v>279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46</v>
      </c>
      <c r="Z16" s="45">
        <v>46</v>
      </c>
      <c r="AA16" s="45">
        <v>46</v>
      </c>
      <c r="AB16" s="45">
        <v>46</v>
      </c>
      <c r="AC16" s="45">
        <v>46</v>
      </c>
      <c r="AD16" s="45">
        <v>46</v>
      </c>
      <c r="AE16" s="45">
        <v>46</v>
      </c>
      <c r="AF16" s="45">
        <v>46</v>
      </c>
      <c r="AG16" s="50">
        <v>44</v>
      </c>
      <c r="AH16" s="47">
        <f>MAX(B16:AG16)</f>
        <v>46</v>
      </c>
      <c r="AI16" s="48">
        <f>MIN(B16:AG16)</f>
        <v>44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30</v>
      </c>
      <c r="C17" s="45" t="s">
        <v>283</v>
      </c>
      <c r="D17" s="45">
        <v>30</v>
      </c>
      <c r="E17" s="45">
        <v>32.5</v>
      </c>
      <c r="F17" s="45">
        <v>32.5</v>
      </c>
      <c r="G17" s="45">
        <v>32.5</v>
      </c>
      <c r="H17" s="45">
        <v>35</v>
      </c>
      <c r="I17" s="45">
        <v>35</v>
      </c>
      <c r="J17" s="45">
        <v>35</v>
      </c>
      <c r="K17" s="45">
        <v>35</v>
      </c>
      <c r="L17" s="45">
        <v>31</v>
      </c>
      <c r="M17" s="45">
        <v>31</v>
      </c>
      <c r="N17" s="45">
        <v>40</v>
      </c>
      <c r="O17" s="45">
        <v>40</v>
      </c>
      <c r="P17" s="45">
        <v>40</v>
      </c>
      <c r="Q17" s="45">
        <v>40</v>
      </c>
      <c r="R17" s="45">
        <v>40</v>
      </c>
      <c r="S17" s="45">
        <v>40</v>
      </c>
      <c r="T17" s="45">
        <v>28</v>
      </c>
      <c r="U17" s="45">
        <v>28</v>
      </c>
      <c r="V17" s="45">
        <v>28</v>
      </c>
      <c r="W17" s="45">
        <v>28</v>
      </c>
      <c r="X17" s="45">
        <v>28</v>
      </c>
      <c r="Y17" s="45">
        <v>42</v>
      </c>
      <c r="Z17" s="45">
        <v>42</v>
      </c>
      <c r="AA17" s="45">
        <v>42</v>
      </c>
      <c r="AB17" s="45">
        <v>42</v>
      </c>
      <c r="AC17" s="45">
        <v>42</v>
      </c>
      <c r="AD17" s="45">
        <v>42</v>
      </c>
      <c r="AE17" s="45">
        <v>42</v>
      </c>
      <c r="AF17" s="45">
        <v>42</v>
      </c>
      <c r="AG17" s="50">
        <v>42</v>
      </c>
      <c r="AH17" s="47">
        <f t="shared" si="2"/>
        <v>42</v>
      </c>
      <c r="AI17" s="48">
        <f t="shared" si="3"/>
        <v>28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 t="s">
        <v>255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32</v>
      </c>
      <c r="C19" s="45" t="s">
        <v>284</v>
      </c>
      <c r="D19" s="45">
        <v>32</v>
      </c>
      <c r="E19" s="45">
        <v>32</v>
      </c>
      <c r="F19" s="45">
        <v>32</v>
      </c>
      <c r="G19" s="45">
        <v>32</v>
      </c>
      <c r="H19" s="45">
        <v>32</v>
      </c>
      <c r="I19" s="45">
        <v>32</v>
      </c>
      <c r="J19" s="45">
        <v>32</v>
      </c>
      <c r="K19" s="45">
        <v>32</v>
      </c>
      <c r="L19" s="45">
        <v>32</v>
      </c>
      <c r="M19" s="45">
        <v>32</v>
      </c>
      <c r="N19" s="45">
        <v>32</v>
      </c>
      <c r="O19" s="45">
        <v>32</v>
      </c>
      <c r="P19" s="45">
        <v>32</v>
      </c>
      <c r="Q19" s="45">
        <v>32</v>
      </c>
      <c r="R19" s="45">
        <v>32</v>
      </c>
      <c r="S19" s="45">
        <v>32</v>
      </c>
      <c r="T19" s="45">
        <v>32</v>
      </c>
      <c r="U19" s="45">
        <v>32</v>
      </c>
      <c r="V19" s="45">
        <v>32</v>
      </c>
      <c r="W19" s="45">
        <v>32</v>
      </c>
      <c r="X19" s="45">
        <v>32</v>
      </c>
      <c r="Y19" s="45">
        <v>21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50">
        <v>36</v>
      </c>
      <c r="AH19" s="47">
        <f t="shared" si="2"/>
        <v>36</v>
      </c>
      <c r="AI19" s="48">
        <f t="shared" si="3"/>
        <v>21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29.5</v>
      </c>
      <c r="C20" s="45" t="s">
        <v>285</v>
      </c>
      <c r="D20" s="45">
        <v>29.5</v>
      </c>
      <c r="E20" s="45">
        <v>29.5</v>
      </c>
      <c r="F20" s="45">
        <v>29.5</v>
      </c>
      <c r="G20" s="45">
        <v>29.5</v>
      </c>
      <c r="H20" s="45">
        <v>15</v>
      </c>
      <c r="I20" s="45">
        <v>15</v>
      </c>
      <c r="J20" s="45">
        <v>15</v>
      </c>
      <c r="K20" s="45">
        <v>15</v>
      </c>
      <c r="L20" s="45">
        <v>18</v>
      </c>
      <c r="M20" s="45">
        <v>18</v>
      </c>
      <c r="N20" s="45">
        <v>18</v>
      </c>
      <c r="O20" s="45">
        <v>18</v>
      </c>
      <c r="P20" s="45">
        <v>18</v>
      </c>
      <c r="Q20" s="45">
        <v>18</v>
      </c>
      <c r="R20" s="45">
        <v>18</v>
      </c>
      <c r="S20" s="45">
        <v>18</v>
      </c>
      <c r="T20" s="45">
        <v>20.3</v>
      </c>
      <c r="U20" s="45">
        <v>20.3</v>
      </c>
      <c r="V20" s="45">
        <v>20.3</v>
      </c>
      <c r="W20" s="45">
        <v>20.3</v>
      </c>
      <c r="X20" s="45">
        <v>20.3</v>
      </c>
      <c r="Y20" s="45">
        <v>29.7</v>
      </c>
      <c r="Z20" s="45">
        <v>29.7</v>
      </c>
      <c r="AA20" s="45">
        <v>29.7</v>
      </c>
      <c r="AB20" s="45">
        <v>29.7</v>
      </c>
      <c r="AC20" s="45">
        <v>29.7</v>
      </c>
      <c r="AD20" s="45">
        <v>29.7</v>
      </c>
      <c r="AE20" s="45">
        <v>29.7</v>
      </c>
      <c r="AF20" s="45">
        <v>29.7</v>
      </c>
      <c r="AG20" s="51">
        <v>30</v>
      </c>
      <c r="AH20" s="47">
        <f t="shared" si="2"/>
        <v>29.7</v>
      </c>
      <c r="AI20" s="48">
        <f t="shared" si="3"/>
        <v>15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19.8</v>
      </c>
      <c r="C21" s="45" t="s">
        <v>284</v>
      </c>
      <c r="D21" s="45">
        <v>19.8</v>
      </c>
      <c r="E21" s="45">
        <v>19.8</v>
      </c>
      <c r="F21" s="45">
        <v>19.8</v>
      </c>
      <c r="G21" s="45">
        <v>19.8</v>
      </c>
      <c r="H21" s="45">
        <v>18</v>
      </c>
      <c r="I21" s="45">
        <v>18</v>
      </c>
      <c r="J21" s="45">
        <v>18</v>
      </c>
      <c r="K21" s="45">
        <v>18</v>
      </c>
      <c r="L21" s="45">
        <v>18</v>
      </c>
      <c r="M21" s="45">
        <v>18</v>
      </c>
      <c r="N21" s="45">
        <v>18</v>
      </c>
      <c r="O21" s="45">
        <v>18</v>
      </c>
      <c r="P21" s="45">
        <v>18</v>
      </c>
      <c r="Q21" s="45">
        <v>18</v>
      </c>
      <c r="R21" s="45">
        <v>18</v>
      </c>
      <c r="S21" s="45">
        <v>18</v>
      </c>
      <c r="T21" s="45">
        <v>18</v>
      </c>
      <c r="U21" s="45">
        <v>18</v>
      </c>
      <c r="V21" s="45">
        <v>18</v>
      </c>
      <c r="W21" s="45">
        <v>18</v>
      </c>
      <c r="X21" s="45">
        <v>18</v>
      </c>
      <c r="Y21" s="45">
        <v>26.4</v>
      </c>
      <c r="Z21" s="45">
        <v>26.4</v>
      </c>
      <c r="AA21" s="45">
        <v>26.4</v>
      </c>
      <c r="AB21" s="45">
        <v>26.4</v>
      </c>
      <c r="AC21" s="45">
        <v>26.4</v>
      </c>
      <c r="AD21" s="45">
        <v>26.4</v>
      </c>
      <c r="AE21" s="45">
        <v>26.4</v>
      </c>
      <c r="AF21" s="45">
        <v>26.4</v>
      </c>
      <c r="AG21" s="50">
        <v>24.2</v>
      </c>
      <c r="AH21" s="47">
        <f t="shared" si="2"/>
        <v>26.4</v>
      </c>
      <c r="AI21" s="48">
        <f t="shared" si="3"/>
        <v>18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16</v>
      </c>
      <c r="C22" s="45" t="s">
        <v>281</v>
      </c>
      <c r="D22" s="45">
        <v>16</v>
      </c>
      <c r="E22" s="45">
        <v>16</v>
      </c>
      <c r="F22" s="45">
        <v>16</v>
      </c>
      <c r="G22" s="45">
        <v>16</v>
      </c>
      <c r="H22" s="45">
        <v>16</v>
      </c>
      <c r="I22" s="45">
        <v>16</v>
      </c>
      <c r="J22" s="45">
        <v>16</v>
      </c>
      <c r="K22" s="45">
        <v>16</v>
      </c>
      <c r="L22" s="45">
        <v>16</v>
      </c>
      <c r="M22" s="45">
        <v>16</v>
      </c>
      <c r="N22" s="45">
        <v>16</v>
      </c>
      <c r="O22" s="45">
        <v>16</v>
      </c>
      <c r="P22" s="45">
        <v>16</v>
      </c>
      <c r="Q22" s="45">
        <v>16</v>
      </c>
      <c r="R22" s="45">
        <v>16</v>
      </c>
      <c r="S22" s="45">
        <v>16</v>
      </c>
      <c r="T22" s="45">
        <v>16</v>
      </c>
      <c r="U22" s="45">
        <v>16</v>
      </c>
      <c r="V22" s="45">
        <v>16</v>
      </c>
      <c r="W22" s="45">
        <v>16</v>
      </c>
      <c r="X22" s="45">
        <v>16</v>
      </c>
      <c r="Y22" s="45">
        <v>16</v>
      </c>
      <c r="Z22" s="45">
        <v>16</v>
      </c>
      <c r="AA22" s="45">
        <v>28</v>
      </c>
      <c r="AB22" s="45">
        <v>28</v>
      </c>
      <c r="AC22" s="45">
        <v>28</v>
      </c>
      <c r="AD22" s="45">
        <v>28</v>
      </c>
      <c r="AE22" s="45">
        <v>28</v>
      </c>
      <c r="AF22" s="45">
        <v>28</v>
      </c>
      <c r="AG22" s="50">
        <v>28</v>
      </c>
      <c r="AH22" s="47">
        <f t="shared" si="2"/>
        <v>28</v>
      </c>
      <c r="AI22" s="48">
        <f t="shared" si="3"/>
        <v>16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20</v>
      </c>
      <c r="C23" s="45" t="s">
        <v>286</v>
      </c>
      <c r="D23" s="45">
        <v>20</v>
      </c>
      <c r="E23" s="45">
        <v>18</v>
      </c>
      <c r="F23" s="45">
        <v>18</v>
      </c>
      <c r="G23" s="45">
        <v>18</v>
      </c>
      <c r="H23" s="45">
        <v>10</v>
      </c>
      <c r="I23" s="45">
        <v>10</v>
      </c>
      <c r="J23" s="45">
        <v>10</v>
      </c>
      <c r="K23" s="45">
        <v>10</v>
      </c>
      <c r="L23" s="45">
        <v>12</v>
      </c>
      <c r="M23" s="45">
        <v>12</v>
      </c>
      <c r="N23" s="45">
        <v>12</v>
      </c>
      <c r="O23" s="45">
        <v>12</v>
      </c>
      <c r="P23" s="45">
        <v>12</v>
      </c>
      <c r="Q23" s="45">
        <v>12</v>
      </c>
      <c r="R23" s="45">
        <v>12</v>
      </c>
      <c r="S23" s="45">
        <v>12</v>
      </c>
      <c r="T23" s="45">
        <v>12</v>
      </c>
      <c r="U23" s="45">
        <v>12</v>
      </c>
      <c r="V23" s="45">
        <v>12</v>
      </c>
      <c r="W23" s="45">
        <v>12</v>
      </c>
      <c r="X23" s="45">
        <v>12</v>
      </c>
      <c r="Y23" s="45">
        <v>12</v>
      </c>
      <c r="Z23" s="45">
        <v>12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30</v>
      </c>
      <c r="AH23" s="47">
        <f t="shared" si="2"/>
        <v>20</v>
      </c>
      <c r="AI23" s="48">
        <f t="shared" si="3"/>
        <v>10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23</v>
      </c>
      <c r="C24" s="45" t="s">
        <v>287</v>
      </c>
      <c r="D24" s="45">
        <v>23</v>
      </c>
      <c r="E24" s="45">
        <v>26.5</v>
      </c>
      <c r="F24" s="45">
        <v>26.5</v>
      </c>
      <c r="G24" s="45">
        <v>26.5</v>
      </c>
      <c r="H24" s="45">
        <v>22</v>
      </c>
      <c r="I24" s="45">
        <v>22</v>
      </c>
      <c r="J24" s="45">
        <v>22</v>
      </c>
      <c r="K24" s="45">
        <v>22</v>
      </c>
      <c r="L24" s="45">
        <v>22</v>
      </c>
      <c r="M24" s="45">
        <v>22</v>
      </c>
      <c r="N24" s="45">
        <v>22</v>
      </c>
      <c r="O24" s="45">
        <v>22</v>
      </c>
      <c r="P24" s="45">
        <v>22</v>
      </c>
      <c r="Q24" s="45">
        <v>22</v>
      </c>
      <c r="R24" s="45">
        <v>22</v>
      </c>
      <c r="S24" s="45">
        <v>22</v>
      </c>
      <c r="T24" s="45">
        <v>22</v>
      </c>
      <c r="U24" s="45">
        <v>22</v>
      </c>
      <c r="V24" s="45">
        <v>22</v>
      </c>
      <c r="W24" s="45">
        <v>22</v>
      </c>
      <c r="X24" s="45">
        <v>22</v>
      </c>
      <c r="Y24" s="45">
        <v>22</v>
      </c>
      <c r="Z24" s="45">
        <v>22</v>
      </c>
      <c r="AA24" s="45">
        <v>25.2</v>
      </c>
      <c r="AB24" s="45">
        <v>25.2</v>
      </c>
      <c r="AC24" s="45">
        <v>25.2</v>
      </c>
      <c r="AD24" s="45">
        <v>25.2</v>
      </c>
      <c r="AE24" s="45">
        <v>25.2</v>
      </c>
      <c r="AF24" s="45">
        <v>25.2</v>
      </c>
      <c r="AG24" s="50">
        <v>25</v>
      </c>
      <c r="AH24" s="47">
        <f t="shared" si="2"/>
        <v>26.5</v>
      </c>
      <c r="AI24" s="48">
        <f t="shared" si="3"/>
        <v>22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 t="s">
        <v>255</v>
      </c>
      <c r="D25" s="45">
        <v>14</v>
      </c>
      <c r="E25" s="45">
        <v>14</v>
      </c>
      <c r="F25" s="45">
        <v>14</v>
      </c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50">
        <v>25</v>
      </c>
      <c r="AH25" s="47">
        <f t="shared" si="2"/>
        <v>14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25</v>
      </c>
      <c r="C26" s="45" t="s">
        <v>288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50">
        <v>25</v>
      </c>
      <c r="AH26" s="47">
        <f t="shared" si="2"/>
        <v>25</v>
      </c>
      <c r="AI26" s="48">
        <f t="shared" si="3"/>
        <v>25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18</v>
      </c>
      <c r="C27" s="45" t="s">
        <v>289</v>
      </c>
      <c r="D27" s="45">
        <v>18</v>
      </c>
      <c r="E27" s="45">
        <v>27</v>
      </c>
      <c r="F27" s="45">
        <v>27</v>
      </c>
      <c r="G27" s="45">
        <v>27</v>
      </c>
      <c r="H27" s="45">
        <v>15</v>
      </c>
      <c r="I27" s="45">
        <v>15</v>
      </c>
      <c r="J27" s="45">
        <v>15</v>
      </c>
      <c r="K27" s="45">
        <v>15</v>
      </c>
      <c r="L27" s="45">
        <v>15</v>
      </c>
      <c r="M27" s="45">
        <v>15</v>
      </c>
      <c r="N27" s="45">
        <v>15</v>
      </c>
      <c r="O27" s="45">
        <v>15</v>
      </c>
      <c r="P27" s="45">
        <v>15</v>
      </c>
      <c r="Q27" s="45">
        <v>15</v>
      </c>
      <c r="R27" s="45">
        <v>15</v>
      </c>
      <c r="S27" s="45">
        <v>15</v>
      </c>
      <c r="T27" s="45">
        <v>15</v>
      </c>
      <c r="U27" s="45">
        <v>15</v>
      </c>
      <c r="V27" s="45">
        <v>15</v>
      </c>
      <c r="W27" s="45">
        <v>15</v>
      </c>
      <c r="X27" s="45">
        <v>15</v>
      </c>
      <c r="Y27" s="45">
        <v>15</v>
      </c>
      <c r="Z27" s="45">
        <v>15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50">
        <v>25</v>
      </c>
      <c r="AH27" s="47">
        <f t="shared" si="2"/>
        <v>27</v>
      </c>
      <c r="AI27" s="48">
        <f t="shared" si="3"/>
        <v>15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7.3</v>
      </c>
      <c r="C28" s="45" t="s">
        <v>283</v>
      </c>
      <c r="D28" s="45">
        <v>7.3</v>
      </c>
      <c r="E28" s="45">
        <v>7.3</v>
      </c>
      <c r="F28" s="45">
        <v>7.3</v>
      </c>
      <c r="G28" s="45">
        <v>7.3</v>
      </c>
      <c r="H28" s="45">
        <v>10.9</v>
      </c>
      <c r="I28" s="45">
        <v>10.9</v>
      </c>
      <c r="J28" s="45">
        <v>10.9</v>
      </c>
      <c r="K28" s="45">
        <v>10.9</v>
      </c>
      <c r="L28" s="45">
        <v>10.9</v>
      </c>
      <c r="M28" s="45">
        <v>10.9</v>
      </c>
      <c r="N28" s="45">
        <v>10.9</v>
      </c>
      <c r="O28" s="45">
        <v>10.9</v>
      </c>
      <c r="P28" s="45">
        <v>10.9</v>
      </c>
      <c r="Q28" s="45">
        <v>10.9</v>
      </c>
      <c r="R28" s="45">
        <v>10.9</v>
      </c>
      <c r="S28" s="45">
        <v>10.9</v>
      </c>
      <c r="T28" s="45">
        <v>10.9</v>
      </c>
      <c r="U28" s="45">
        <v>10.9</v>
      </c>
      <c r="V28" s="45">
        <v>10.9</v>
      </c>
      <c r="W28" s="45">
        <v>10.9</v>
      </c>
      <c r="X28" s="45">
        <v>10.9</v>
      </c>
      <c r="Y28" s="45">
        <v>10.9</v>
      </c>
      <c r="Z28" s="45">
        <v>10.9</v>
      </c>
      <c r="AA28" s="45">
        <v>10.9</v>
      </c>
      <c r="AB28" s="45">
        <v>10.9</v>
      </c>
      <c r="AC28" s="45">
        <v>10.9</v>
      </c>
      <c r="AD28" s="45">
        <v>10.9</v>
      </c>
      <c r="AE28" s="45">
        <v>10.9</v>
      </c>
      <c r="AF28" s="45">
        <v>10.9</v>
      </c>
      <c r="AG28" s="50">
        <v>23.5</v>
      </c>
      <c r="AH28" s="47">
        <f t="shared" si="2"/>
        <v>10.9</v>
      </c>
      <c r="AI28" s="48">
        <f t="shared" si="3"/>
        <v>7.3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3.5</v>
      </c>
      <c r="C29" s="45" t="s">
        <v>283</v>
      </c>
      <c r="D29" s="45">
        <v>3.5</v>
      </c>
      <c r="E29" s="45">
        <v>3.5</v>
      </c>
      <c r="F29" s="45">
        <v>3.5</v>
      </c>
      <c r="G29" s="45">
        <v>3.5</v>
      </c>
      <c r="H29" s="45">
        <v>3.5</v>
      </c>
      <c r="I29" s="45">
        <v>3.5</v>
      </c>
      <c r="J29" s="45">
        <v>3.5</v>
      </c>
      <c r="K29" s="45">
        <v>3.5</v>
      </c>
      <c r="L29" s="45">
        <v>3.5</v>
      </c>
      <c r="M29" s="45">
        <v>3.5</v>
      </c>
      <c r="N29" s="45">
        <v>3.5</v>
      </c>
      <c r="O29" s="45">
        <v>3.5</v>
      </c>
      <c r="P29" s="45">
        <v>3.5</v>
      </c>
      <c r="Q29" s="45">
        <v>3.5</v>
      </c>
      <c r="R29" s="45">
        <v>3.5</v>
      </c>
      <c r="S29" s="45">
        <v>3.5</v>
      </c>
      <c r="T29" s="45">
        <v>3.5</v>
      </c>
      <c r="U29" s="45">
        <v>3.5</v>
      </c>
      <c r="V29" s="45">
        <v>3.5</v>
      </c>
      <c r="W29" s="45">
        <v>3.5</v>
      </c>
      <c r="X29" s="45">
        <v>3.5</v>
      </c>
      <c r="Y29" s="45">
        <v>3.5</v>
      </c>
      <c r="Z29" s="45">
        <v>3.5</v>
      </c>
      <c r="AA29" s="45">
        <v>22.2</v>
      </c>
      <c r="AB29" s="45">
        <v>22.2</v>
      </c>
      <c r="AC29" s="45">
        <v>22.2</v>
      </c>
      <c r="AD29" s="45">
        <v>22.2</v>
      </c>
      <c r="AE29" s="45">
        <v>22.2</v>
      </c>
      <c r="AF29" s="45">
        <v>22.2</v>
      </c>
      <c r="AG29" s="50">
        <v>22.2</v>
      </c>
      <c r="AH29" s="47">
        <f t="shared" si="2"/>
        <v>22.2</v>
      </c>
      <c r="AI29" s="48">
        <f t="shared" si="3"/>
        <v>3.5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4.5999999999999996</v>
      </c>
      <c r="C30" s="45" t="s">
        <v>279</v>
      </c>
      <c r="D30" s="45">
        <v>4.5999999999999996</v>
      </c>
      <c r="E30" s="45">
        <v>4.5999999999999996</v>
      </c>
      <c r="F30" s="45">
        <v>4.5999999999999996</v>
      </c>
      <c r="G30" s="45">
        <v>4.5999999999999996</v>
      </c>
      <c r="H30" s="45">
        <v>4.5999999999999996</v>
      </c>
      <c r="I30" s="45">
        <v>4.5999999999999996</v>
      </c>
      <c r="J30" s="45">
        <v>4.5999999999999996</v>
      </c>
      <c r="K30" s="45">
        <v>4.5999999999999996</v>
      </c>
      <c r="L30" s="45">
        <v>4.5999999999999996</v>
      </c>
      <c r="M30" s="45">
        <v>4.5999999999999996</v>
      </c>
      <c r="N30" s="45">
        <v>4.5999999999999996</v>
      </c>
      <c r="O30" s="45">
        <v>4.5999999999999996</v>
      </c>
      <c r="P30" s="45">
        <v>4.5999999999999996</v>
      </c>
      <c r="Q30" s="45">
        <v>4.5999999999999996</v>
      </c>
      <c r="R30" s="45">
        <v>4.5999999999999996</v>
      </c>
      <c r="S30" s="45">
        <v>4.5999999999999996</v>
      </c>
      <c r="T30" s="45">
        <v>4.5999999999999996</v>
      </c>
      <c r="U30" s="45">
        <v>4.5999999999999996</v>
      </c>
      <c r="V30" s="45">
        <v>4.5999999999999996</v>
      </c>
      <c r="W30" s="45">
        <v>4.5999999999999996</v>
      </c>
      <c r="X30" s="45">
        <v>4.5999999999999996</v>
      </c>
      <c r="Y30" s="45">
        <v>4.5999999999999996</v>
      </c>
      <c r="Z30" s="45">
        <v>4.5999999999999996</v>
      </c>
      <c r="AA30" s="45">
        <v>14.5</v>
      </c>
      <c r="AB30" s="45">
        <v>14.5</v>
      </c>
      <c r="AC30" s="45">
        <v>14.5</v>
      </c>
      <c r="AD30" s="45">
        <v>14.5</v>
      </c>
      <c r="AE30" s="45">
        <v>14.5</v>
      </c>
      <c r="AF30" s="45">
        <v>14.5</v>
      </c>
      <c r="AG30" s="50">
        <v>22.1</v>
      </c>
      <c r="AH30" s="47">
        <f t="shared" si="2"/>
        <v>14.5</v>
      </c>
      <c r="AI30" s="48">
        <f t="shared" si="3"/>
        <v>4.5999999999999996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10</v>
      </c>
      <c r="C31" s="45" t="s">
        <v>278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5">
        <v>10</v>
      </c>
      <c r="Y31" s="45">
        <v>10</v>
      </c>
      <c r="Z31" s="45">
        <v>10</v>
      </c>
      <c r="AA31" s="45">
        <v>15.5</v>
      </c>
      <c r="AB31" s="45">
        <v>15.5</v>
      </c>
      <c r="AC31" s="45">
        <v>15.5</v>
      </c>
      <c r="AD31" s="45">
        <v>15.5</v>
      </c>
      <c r="AE31" s="45">
        <v>15.5</v>
      </c>
      <c r="AF31" s="45">
        <v>15.5</v>
      </c>
      <c r="AG31" s="50">
        <v>22</v>
      </c>
      <c r="AH31" s="47">
        <f t="shared" si="2"/>
        <v>15.5</v>
      </c>
      <c r="AI31" s="48">
        <f t="shared" si="3"/>
        <v>10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11.6</v>
      </c>
      <c r="C32" s="45" t="s">
        <v>284</v>
      </c>
      <c r="D32" s="45">
        <v>11.6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50">
        <v>22</v>
      </c>
      <c r="AH32" s="47">
        <f t="shared" si="2"/>
        <v>22</v>
      </c>
      <c r="AI32" s="48">
        <f t="shared" si="3"/>
        <v>11.6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4</v>
      </c>
      <c r="C33" s="45" t="s">
        <v>286</v>
      </c>
      <c r="D33" s="45">
        <v>4</v>
      </c>
      <c r="E33" s="45">
        <v>4</v>
      </c>
      <c r="F33" s="45">
        <v>4</v>
      </c>
      <c r="G33" s="45">
        <v>4</v>
      </c>
      <c r="H33" s="45">
        <v>4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12</v>
      </c>
      <c r="W33" s="45">
        <v>12</v>
      </c>
      <c r="X33" s="45">
        <v>12</v>
      </c>
      <c r="Y33" s="45">
        <v>12</v>
      </c>
      <c r="Z33" s="45">
        <v>12</v>
      </c>
      <c r="AA33" s="45">
        <v>12</v>
      </c>
      <c r="AB33" s="45">
        <v>12</v>
      </c>
      <c r="AC33" s="45">
        <v>12</v>
      </c>
      <c r="AD33" s="45">
        <v>12</v>
      </c>
      <c r="AE33" s="45">
        <v>12</v>
      </c>
      <c r="AF33" s="45">
        <v>12</v>
      </c>
      <c r="AG33" s="50">
        <v>20</v>
      </c>
      <c r="AH33" s="47">
        <f t="shared" si="2"/>
        <v>12</v>
      </c>
      <c r="AI33" s="48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</v>
      </c>
      <c r="C34" s="45"/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50">
        <v>18</v>
      </c>
      <c r="AH34" s="47">
        <f t="shared" si="2"/>
        <v>10</v>
      </c>
      <c r="AI34" s="48">
        <f t="shared" si="3"/>
        <v>10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/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/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/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</v>
      </c>
      <c r="C38" s="45"/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50">
        <v>13</v>
      </c>
      <c r="AH38" s="47">
        <f t="shared" si="2"/>
        <v>6</v>
      </c>
      <c r="AI38" s="48">
        <f t="shared" si="3"/>
        <v>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8</v>
      </c>
      <c r="C39" s="45"/>
      <c r="D39" s="45">
        <v>8</v>
      </c>
      <c r="E39" s="45">
        <v>8</v>
      </c>
      <c r="F39" s="45">
        <v>8</v>
      </c>
      <c r="G39" s="45">
        <v>8</v>
      </c>
      <c r="H39" s="45">
        <v>8</v>
      </c>
      <c r="I39" s="45">
        <v>8</v>
      </c>
      <c r="J39" s="45">
        <v>8</v>
      </c>
      <c r="K39" s="45">
        <v>8</v>
      </c>
      <c r="L39" s="45">
        <v>4</v>
      </c>
      <c r="M39" s="45">
        <v>4</v>
      </c>
      <c r="N39" s="45">
        <v>4</v>
      </c>
      <c r="O39" s="45">
        <v>4</v>
      </c>
      <c r="P39" s="45">
        <v>4</v>
      </c>
      <c r="Q39" s="45">
        <v>4</v>
      </c>
      <c r="R39" s="45">
        <v>4</v>
      </c>
      <c r="S39" s="45">
        <v>4</v>
      </c>
      <c r="T39" s="45">
        <v>4</v>
      </c>
      <c r="U39" s="45">
        <v>4</v>
      </c>
      <c r="V39" s="45">
        <v>4</v>
      </c>
      <c r="W39" s="45">
        <v>4</v>
      </c>
      <c r="X39" s="45">
        <v>4</v>
      </c>
      <c r="Y39" s="45">
        <v>4</v>
      </c>
      <c r="Z39" s="45">
        <v>4</v>
      </c>
      <c r="AA39" s="45">
        <v>6.5</v>
      </c>
      <c r="AB39" s="45">
        <v>6.5</v>
      </c>
      <c r="AC39" s="45">
        <v>6.5</v>
      </c>
      <c r="AD39" s="45">
        <v>6.5</v>
      </c>
      <c r="AE39" s="45">
        <v>6.5</v>
      </c>
      <c r="AF39" s="45">
        <v>6.5</v>
      </c>
      <c r="AG39" s="50">
        <v>12</v>
      </c>
      <c r="AH39" s="47">
        <f t="shared" si="2"/>
        <v>8</v>
      </c>
      <c r="AI39" s="48">
        <f t="shared" si="3"/>
        <v>4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/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/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/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/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/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9.6</v>
      </c>
      <c r="C45" s="45"/>
      <c r="D45" s="45">
        <v>9.6</v>
      </c>
      <c r="E45" s="45">
        <v>9.6</v>
      </c>
      <c r="F45" s="45">
        <v>9.6</v>
      </c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>
        <v>9.6</v>
      </c>
      <c r="R45" s="45">
        <v>9.6</v>
      </c>
      <c r="S45" s="45">
        <v>9.6</v>
      </c>
      <c r="T45" s="45">
        <v>9.6</v>
      </c>
      <c r="U45" s="45">
        <v>9.6</v>
      </c>
      <c r="V45" s="45">
        <v>9.6</v>
      </c>
      <c r="W45" s="45">
        <v>9.6</v>
      </c>
      <c r="X45" s="45">
        <v>9.6</v>
      </c>
      <c r="Y45" s="45">
        <v>9.6</v>
      </c>
      <c r="Z45" s="45">
        <v>9.6</v>
      </c>
      <c r="AA45" s="45">
        <v>9.6</v>
      </c>
      <c r="AB45" s="45">
        <v>9.6</v>
      </c>
      <c r="AC45" s="45">
        <v>9.6</v>
      </c>
      <c r="AD45" s="45">
        <v>9.6</v>
      </c>
      <c r="AE45" s="45">
        <v>9.6</v>
      </c>
      <c r="AF45" s="45">
        <v>9.6</v>
      </c>
      <c r="AG45" s="54">
        <v>10</v>
      </c>
      <c r="AH45" s="47">
        <f t="shared" si="2"/>
        <v>9.6</v>
      </c>
      <c r="AI45" s="48">
        <f t="shared" si="3"/>
        <v>9.6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7</v>
      </c>
      <c r="C46" s="45"/>
      <c r="D46" s="45">
        <v>7</v>
      </c>
      <c r="E46" s="45">
        <v>7</v>
      </c>
      <c r="F46" s="45">
        <v>7</v>
      </c>
      <c r="G46" s="45">
        <v>7</v>
      </c>
      <c r="H46" s="45">
        <v>7</v>
      </c>
      <c r="I46" s="45">
        <v>7</v>
      </c>
      <c r="J46" s="45">
        <v>7</v>
      </c>
      <c r="K46" s="45">
        <v>7</v>
      </c>
      <c r="L46" s="45">
        <v>7</v>
      </c>
      <c r="M46" s="45">
        <v>7</v>
      </c>
      <c r="N46" s="45">
        <v>7</v>
      </c>
      <c r="O46" s="45">
        <v>7</v>
      </c>
      <c r="P46" s="45">
        <v>7</v>
      </c>
      <c r="Q46" s="45">
        <v>7</v>
      </c>
      <c r="R46" s="45">
        <v>7</v>
      </c>
      <c r="S46" s="45">
        <v>7</v>
      </c>
      <c r="T46" s="45">
        <v>7</v>
      </c>
      <c r="U46" s="45">
        <v>7</v>
      </c>
      <c r="V46" s="45">
        <v>7</v>
      </c>
      <c r="W46" s="45">
        <v>7</v>
      </c>
      <c r="X46" s="45">
        <v>7</v>
      </c>
      <c r="Y46" s="45">
        <v>7</v>
      </c>
      <c r="Z46" s="45">
        <v>7</v>
      </c>
      <c r="AA46" s="45">
        <v>7</v>
      </c>
      <c r="AB46" s="45">
        <v>7</v>
      </c>
      <c r="AC46" s="45">
        <v>7</v>
      </c>
      <c r="AD46" s="45">
        <v>7</v>
      </c>
      <c r="AE46" s="45">
        <v>7</v>
      </c>
      <c r="AF46" s="45">
        <v>7</v>
      </c>
      <c r="AG46" s="54">
        <v>10</v>
      </c>
      <c r="AH46" s="47">
        <f t="shared" si="2"/>
        <v>7</v>
      </c>
      <c r="AI46" s="48">
        <f t="shared" si="3"/>
        <v>7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6.8</v>
      </c>
      <c r="C47" s="45"/>
      <c r="D47" s="45">
        <v>6.8</v>
      </c>
      <c r="E47" s="45">
        <v>6.8</v>
      </c>
      <c r="F47" s="45">
        <v>6.8</v>
      </c>
      <c r="G47" s="45">
        <v>6.8</v>
      </c>
      <c r="H47" s="45">
        <v>6.8</v>
      </c>
      <c r="I47" s="45">
        <v>6.8</v>
      </c>
      <c r="J47" s="45">
        <v>6.8</v>
      </c>
      <c r="K47" s="45">
        <v>6.8</v>
      </c>
      <c r="L47" s="45">
        <v>6.8</v>
      </c>
      <c r="M47" s="45">
        <v>6.8</v>
      </c>
      <c r="N47" s="45">
        <v>6.8</v>
      </c>
      <c r="O47" s="45">
        <v>6.8</v>
      </c>
      <c r="P47" s="45">
        <v>6.8</v>
      </c>
      <c r="Q47" s="45">
        <v>6.8</v>
      </c>
      <c r="R47" s="45">
        <v>6.8</v>
      </c>
      <c r="S47" s="45">
        <v>6.8</v>
      </c>
      <c r="T47" s="45">
        <v>6.8</v>
      </c>
      <c r="U47" s="45">
        <v>6.8</v>
      </c>
      <c r="V47" s="45">
        <v>6.8</v>
      </c>
      <c r="W47" s="45">
        <v>6.8</v>
      </c>
      <c r="X47" s="45">
        <v>6.8</v>
      </c>
      <c r="Y47" s="45">
        <v>6.8</v>
      </c>
      <c r="Z47" s="45">
        <v>6.8</v>
      </c>
      <c r="AA47" s="45">
        <v>6.8</v>
      </c>
      <c r="AB47" s="45">
        <v>6.8</v>
      </c>
      <c r="AC47" s="45">
        <v>6.8</v>
      </c>
      <c r="AD47" s="45">
        <v>6.8</v>
      </c>
      <c r="AE47" s="45">
        <v>6.8</v>
      </c>
      <c r="AF47" s="45">
        <v>6.8</v>
      </c>
      <c r="AG47" s="54">
        <v>10</v>
      </c>
      <c r="AH47" s="47">
        <f t="shared" si="2"/>
        <v>6.8</v>
      </c>
      <c r="AI47" s="48">
        <f t="shared" si="3"/>
        <v>6.8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250</v>
      </c>
      <c r="C48" s="56"/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>
        <v>108</v>
      </c>
      <c r="AB49" s="56">
        <v>108</v>
      </c>
      <c r="AC49" s="56">
        <v>108</v>
      </c>
      <c r="AD49" s="56">
        <v>108</v>
      </c>
      <c r="AE49" s="56">
        <v>108</v>
      </c>
      <c r="AF49" s="56">
        <v>108</v>
      </c>
      <c r="AG49" s="54">
        <v>240</v>
      </c>
      <c r="AH49" s="47">
        <f t="shared" si="2"/>
        <v>108</v>
      </c>
      <c r="AI49" s="48">
        <f t="shared" si="3"/>
        <v>108</v>
      </c>
      <c r="AK49" s="49"/>
    </row>
    <row r="50" spans="1:41" ht="15.75" thickBot="1" x14ac:dyDescent="0.3">
      <c r="A50" s="59" t="s">
        <v>56</v>
      </c>
      <c r="B50" s="60">
        <f t="shared" ref="B50:AF50" si="4">SUM(B11:B48)</f>
        <v>850.6</v>
      </c>
      <c r="C50" s="60">
        <f t="shared" si="4"/>
        <v>0</v>
      </c>
      <c r="D50" s="60">
        <f t="shared" si="4"/>
        <v>850.6</v>
      </c>
      <c r="E50" s="60">
        <f t="shared" si="4"/>
        <v>869.5</v>
      </c>
      <c r="F50" s="60">
        <f t="shared" si="4"/>
        <v>869.5</v>
      </c>
      <c r="G50" s="60">
        <f t="shared" si="4"/>
        <v>847.1</v>
      </c>
      <c r="H50" s="60">
        <f t="shared" si="4"/>
        <v>835</v>
      </c>
      <c r="I50" s="60">
        <f t="shared" si="4"/>
        <v>831</v>
      </c>
      <c r="J50" s="60">
        <f t="shared" si="4"/>
        <v>831</v>
      </c>
      <c r="K50" s="60">
        <f t="shared" si="4"/>
        <v>831</v>
      </c>
      <c r="L50" s="60">
        <f t="shared" si="4"/>
        <v>828</v>
      </c>
      <c r="M50" s="60">
        <f t="shared" si="4"/>
        <v>828</v>
      </c>
      <c r="N50" s="60">
        <f t="shared" si="4"/>
        <v>836.99999999999989</v>
      </c>
      <c r="O50" s="60">
        <f t="shared" si="4"/>
        <v>836.99999999999989</v>
      </c>
      <c r="P50" s="60">
        <f t="shared" si="4"/>
        <v>836.99999999999989</v>
      </c>
      <c r="Q50" s="60">
        <f t="shared" si="4"/>
        <v>836.99999999999989</v>
      </c>
      <c r="R50" s="60">
        <f t="shared" si="4"/>
        <v>836.99999999999989</v>
      </c>
      <c r="S50" s="60">
        <f t="shared" si="4"/>
        <v>836.99999999999989</v>
      </c>
      <c r="T50" s="60">
        <f t="shared" si="4"/>
        <v>827.30000000000007</v>
      </c>
      <c r="U50" s="60">
        <f t="shared" si="4"/>
        <v>827.30000000000007</v>
      </c>
      <c r="V50" s="60">
        <f t="shared" si="4"/>
        <v>839.3</v>
      </c>
      <c r="W50" s="60">
        <f t="shared" si="4"/>
        <v>839.3</v>
      </c>
      <c r="X50" s="60">
        <f t="shared" si="4"/>
        <v>839.3</v>
      </c>
      <c r="Y50" s="60">
        <f t="shared" si="4"/>
        <v>865.49999999999989</v>
      </c>
      <c r="Z50" s="60">
        <f t="shared" si="4"/>
        <v>880.49999999999989</v>
      </c>
      <c r="AA50" s="60">
        <f t="shared" si="4"/>
        <v>943.8</v>
      </c>
      <c r="AB50" s="60">
        <f t="shared" si="4"/>
        <v>943.8</v>
      </c>
      <c r="AC50" s="60">
        <f t="shared" ref="AC50" si="5">SUM(AC11:AC48)</f>
        <v>943.8</v>
      </c>
      <c r="AD50" s="60">
        <f t="shared" si="4"/>
        <v>943.8</v>
      </c>
      <c r="AE50" s="60">
        <f t="shared" si="4"/>
        <v>943.8</v>
      </c>
      <c r="AF50" s="60">
        <f t="shared" si="4"/>
        <v>894.5999999999998</v>
      </c>
      <c r="AG50" s="61">
        <f>SUM(AG13:AG48)</f>
        <v>922.14</v>
      </c>
      <c r="AH50" s="47">
        <f t="shared" si="2"/>
        <v>943.8</v>
      </c>
      <c r="AI50" s="48">
        <f t="shared" si="3"/>
        <v>0</v>
      </c>
      <c r="AK50" s="49"/>
    </row>
    <row r="51" spans="1:41" x14ac:dyDescent="0.25">
      <c r="A51" s="62" t="s">
        <v>57</v>
      </c>
      <c r="B51" s="45">
        <v>398</v>
      </c>
      <c r="C51" s="45"/>
      <c r="D51" s="45">
        <v>456</v>
      </c>
      <c r="E51" s="45">
        <v>456</v>
      </c>
      <c r="F51" s="45">
        <v>440</v>
      </c>
      <c r="G51" s="45">
        <v>430</v>
      </c>
      <c r="H51" s="45">
        <v>400</v>
      </c>
      <c r="I51" s="45">
        <v>320</v>
      </c>
      <c r="J51" s="45">
        <v>350</v>
      </c>
      <c r="K51" s="45">
        <v>320</v>
      </c>
      <c r="L51" s="45">
        <v>310</v>
      </c>
      <c r="M51" s="45">
        <v>260</v>
      </c>
      <c r="N51" s="63">
        <v>360</v>
      </c>
      <c r="O51" s="63">
        <v>360</v>
      </c>
      <c r="P51" s="63">
        <v>415</v>
      </c>
      <c r="Q51" s="63">
        <v>456</v>
      </c>
      <c r="R51" s="63">
        <v>456</v>
      </c>
      <c r="S51" s="63">
        <v>440</v>
      </c>
      <c r="T51" s="63">
        <v>440</v>
      </c>
      <c r="U51" s="45">
        <v>335</v>
      </c>
      <c r="V51" s="45">
        <v>290</v>
      </c>
      <c r="W51" s="45">
        <v>305</v>
      </c>
      <c r="X51" s="45">
        <v>200</v>
      </c>
      <c r="Y51" s="45">
        <v>215</v>
      </c>
      <c r="Z51" s="45">
        <v>180</v>
      </c>
      <c r="AA51" s="45">
        <v>280</v>
      </c>
      <c r="AB51" s="45">
        <v>410</v>
      </c>
      <c r="AC51" s="45">
        <v>410</v>
      </c>
      <c r="AD51" s="45">
        <v>456</v>
      </c>
      <c r="AE51" s="45">
        <v>436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180</v>
      </c>
      <c r="AK51" s="49"/>
    </row>
    <row r="52" spans="1:41" x14ac:dyDescent="0.25">
      <c r="A52" s="64" t="s">
        <v>58</v>
      </c>
      <c r="B52" s="65">
        <v>60</v>
      </c>
      <c r="C52" s="65"/>
      <c r="D52" s="65">
        <v>60</v>
      </c>
      <c r="E52" s="65">
        <v>60</v>
      </c>
      <c r="F52" s="65">
        <v>60</v>
      </c>
      <c r="G52" s="65">
        <v>60</v>
      </c>
      <c r="H52" s="65">
        <v>60</v>
      </c>
      <c r="I52" s="65">
        <v>60</v>
      </c>
      <c r="J52" s="65">
        <v>60</v>
      </c>
      <c r="K52" s="65">
        <v>60</v>
      </c>
      <c r="L52" s="65">
        <v>60</v>
      </c>
      <c r="M52" s="65">
        <v>60</v>
      </c>
      <c r="N52" s="65">
        <v>60</v>
      </c>
      <c r="O52" s="65">
        <v>60</v>
      </c>
      <c r="P52" s="65">
        <v>60</v>
      </c>
      <c r="Q52" s="65">
        <v>60</v>
      </c>
      <c r="R52" s="65">
        <v>60</v>
      </c>
      <c r="S52" s="65">
        <v>60</v>
      </c>
      <c r="T52" s="65">
        <v>60</v>
      </c>
      <c r="U52" s="65">
        <v>60</v>
      </c>
      <c r="V52" s="65">
        <v>60</v>
      </c>
      <c r="W52" s="65">
        <v>60</v>
      </c>
      <c r="X52" s="65">
        <v>60</v>
      </c>
      <c r="Y52" s="65">
        <v>60</v>
      </c>
      <c r="Z52" s="65">
        <v>60</v>
      </c>
      <c r="AA52" s="65">
        <v>60</v>
      </c>
      <c r="AB52" s="65">
        <v>60</v>
      </c>
      <c r="AC52" s="65">
        <v>60</v>
      </c>
      <c r="AD52" s="65">
        <v>60</v>
      </c>
      <c r="AE52" s="65">
        <v>60</v>
      </c>
      <c r="AF52" s="65">
        <v>60</v>
      </c>
      <c r="AG52" s="54">
        <v>60</v>
      </c>
      <c r="AH52" s="47">
        <f t="shared" si="2"/>
        <v>60</v>
      </c>
      <c r="AI52" s="48">
        <f t="shared" si="3"/>
        <v>60</v>
      </c>
      <c r="AK52" s="49"/>
    </row>
    <row r="53" spans="1:41" ht="15.75" thickBot="1" x14ac:dyDescent="0.3">
      <c r="A53" s="66" t="s">
        <v>59</v>
      </c>
      <c r="B53" s="67">
        <v>22.4</v>
      </c>
      <c r="C53" s="67"/>
      <c r="D53" s="67">
        <v>22.4</v>
      </c>
      <c r="E53" s="67">
        <v>22.4</v>
      </c>
      <c r="F53" s="67">
        <v>22.4</v>
      </c>
      <c r="G53" s="67">
        <v>22.4</v>
      </c>
      <c r="H53" s="67">
        <v>22.4</v>
      </c>
      <c r="I53" s="67">
        <v>22.4</v>
      </c>
      <c r="J53" s="67">
        <v>22.4</v>
      </c>
      <c r="K53" s="67">
        <v>22.4</v>
      </c>
      <c r="L53" s="67">
        <v>22.4</v>
      </c>
      <c r="M53" s="67">
        <v>22.4</v>
      </c>
      <c r="N53" s="67">
        <v>22.4</v>
      </c>
      <c r="O53" s="67">
        <v>22.4</v>
      </c>
      <c r="P53" s="67">
        <v>22.4</v>
      </c>
      <c r="Q53" s="67">
        <v>22</v>
      </c>
      <c r="R53" s="67">
        <v>22</v>
      </c>
      <c r="S53" s="67">
        <v>22</v>
      </c>
      <c r="T53" s="67">
        <v>22</v>
      </c>
      <c r="U53" s="67">
        <v>22.5</v>
      </c>
      <c r="V53" s="67">
        <v>22.5</v>
      </c>
      <c r="W53" s="67">
        <v>22.5</v>
      </c>
      <c r="X53" s="67">
        <v>22.5</v>
      </c>
      <c r="Y53" s="67">
        <v>22.5</v>
      </c>
      <c r="Z53" s="67">
        <v>22.5</v>
      </c>
      <c r="AA53" s="67">
        <v>22.5</v>
      </c>
      <c r="AB53" s="67">
        <v>22.5</v>
      </c>
      <c r="AC53" s="67">
        <v>22.5</v>
      </c>
      <c r="AD53" s="67">
        <v>22.5</v>
      </c>
      <c r="AE53" s="67">
        <v>22.5</v>
      </c>
      <c r="AF53" s="67">
        <v>22.5</v>
      </c>
      <c r="AG53" s="68">
        <v>22.1</v>
      </c>
      <c r="AH53" s="47">
        <f t="shared" si="2"/>
        <v>22.5</v>
      </c>
      <c r="AI53" s="48">
        <f t="shared" si="3"/>
        <v>22</v>
      </c>
      <c r="AK53" s="49"/>
    </row>
    <row r="54" spans="1:41" ht="15.75" thickBot="1" x14ac:dyDescent="0.3">
      <c r="A54" s="69" t="s">
        <v>60</v>
      </c>
      <c r="B54" s="60">
        <f t="shared" ref="B54:AG54" si="6">SUM(B51:B53)</f>
        <v>480.4</v>
      </c>
      <c r="C54" s="60">
        <f t="shared" si="6"/>
        <v>0</v>
      </c>
      <c r="D54" s="60">
        <f t="shared" si="6"/>
        <v>538.4</v>
      </c>
      <c r="E54" s="60">
        <f t="shared" si="6"/>
        <v>538.4</v>
      </c>
      <c r="F54" s="60">
        <f t="shared" si="6"/>
        <v>522.4</v>
      </c>
      <c r="G54" s="60">
        <f t="shared" si="6"/>
        <v>512.4</v>
      </c>
      <c r="H54" s="60">
        <f t="shared" si="6"/>
        <v>482.4</v>
      </c>
      <c r="I54" s="60">
        <f t="shared" si="6"/>
        <v>402.4</v>
      </c>
      <c r="J54" s="60">
        <f t="shared" si="6"/>
        <v>432.4</v>
      </c>
      <c r="K54" s="60">
        <f t="shared" si="6"/>
        <v>402.4</v>
      </c>
      <c r="L54" s="60">
        <f t="shared" si="6"/>
        <v>392.4</v>
      </c>
      <c r="M54" s="60">
        <f t="shared" si="6"/>
        <v>342.4</v>
      </c>
      <c r="N54" s="60">
        <f t="shared" si="6"/>
        <v>442.4</v>
      </c>
      <c r="O54" s="60">
        <f t="shared" si="6"/>
        <v>442.4</v>
      </c>
      <c r="P54" s="60">
        <f t="shared" si="6"/>
        <v>497.4</v>
      </c>
      <c r="Q54" s="60">
        <f t="shared" si="6"/>
        <v>538</v>
      </c>
      <c r="R54" s="60">
        <f t="shared" si="6"/>
        <v>538</v>
      </c>
      <c r="S54" s="60">
        <f t="shared" si="6"/>
        <v>522</v>
      </c>
      <c r="T54" s="60">
        <f t="shared" si="6"/>
        <v>522</v>
      </c>
      <c r="U54" s="60">
        <f t="shared" si="6"/>
        <v>417.5</v>
      </c>
      <c r="V54" s="60">
        <f t="shared" si="6"/>
        <v>372.5</v>
      </c>
      <c r="W54" s="60">
        <f t="shared" si="6"/>
        <v>387.5</v>
      </c>
      <c r="X54" s="60">
        <f t="shared" si="6"/>
        <v>282.5</v>
      </c>
      <c r="Y54" s="60">
        <f t="shared" si="6"/>
        <v>297.5</v>
      </c>
      <c r="Z54" s="60">
        <f t="shared" si="6"/>
        <v>262.5</v>
      </c>
      <c r="AA54" s="60">
        <f t="shared" si="6"/>
        <v>362.5</v>
      </c>
      <c r="AB54" s="60">
        <f t="shared" si="6"/>
        <v>492.5</v>
      </c>
      <c r="AC54" s="60">
        <f t="shared" ref="AC54" si="7">SUM(AC51:AC53)</f>
        <v>492.5</v>
      </c>
      <c r="AD54" s="60">
        <f t="shared" si="6"/>
        <v>538.5</v>
      </c>
      <c r="AE54" s="60">
        <f t="shared" si="6"/>
        <v>518.5</v>
      </c>
      <c r="AF54" s="60">
        <f t="shared" si="6"/>
        <v>538.5</v>
      </c>
      <c r="AG54" s="61">
        <f t="shared" si="6"/>
        <v>538.1</v>
      </c>
      <c r="AH54" s="47">
        <f t="shared" si="2"/>
        <v>538.5</v>
      </c>
      <c r="AI54" s="48">
        <f t="shared" si="3"/>
        <v>0</v>
      </c>
      <c r="AK54" s="49"/>
    </row>
    <row r="55" spans="1:41" x14ac:dyDescent="0.25">
      <c r="A55" s="44" t="s">
        <v>61</v>
      </c>
      <c r="B55" s="45">
        <v>145.69999999999999</v>
      </c>
      <c r="C55" s="45"/>
      <c r="D55" s="45">
        <v>90.6</v>
      </c>
      <c r="E55" s="45">
        <v>97.2</v>
      </c>
      <c r="F55" s="45">
        <v>97.2</v>
      </c>
      <c r="G55" s="45">
        <v>97.2</v>
      </c>
      <c r="H55" s="45">
        <v>97.2</v>
      </c>
      <c r="I55" s="45">
        <v>97.2</v>
      </c>
      <c r="J55" s="45">
        <v>97.2</v>
      </c>
      <c r="K55" s="45">
        <v>97.2</v>
      </c>
      <c r="L55" s="45">
        <v>97.2</v>
      </c>
      <c r="M55" s="45">
        <v>97.2</v>
      </c>
      <c r="N55" s="45">
        <v>97.2</v>
      </c>
      <c r="O55" s="45">
        <v>97.2</v>
      </c>
      <c r="P55" s="45">
        <v>97.2</v>
      </c>
      <c r="Q55" s="45">
        <v>97.2</v>
      </c>
      <c r="R55" s="45">
        <v>97.2</v>
      </c>
      <c r="S55" s="45">
        <v>97.2</v>
      </c>
      <c r="T55" s="45">
        <v>97.2</v>
      </c>
      <c r="U55" s="45">
        <v>97.2</v>
      </c>
      <c r="V55" s="45">
        <v>97.2</v>
      </c>
      <c r="W55" s="45">
        <v>97.2</v>
      </c>
      <c r="X55" s="45">
        <v>97.2</v>
      </c>
      <c r="Y55" s="45">
        <v>97.2</v>
      </c>
      <c r="Z55" s="45">
        <v>97.2</v>
      </c>
      <c r="AA55" s="45">
        <v>97.2</v>
      </c>
      <c r="AB55" s="45">
        <v>97.2</v>
      </c>
      <c r="AC55" s="45">
        <v>97.2</v>
      </c>
      <c r="AD55" s="45">
        <v>97.2</v>
      </c>
      <c r="AE55" s="45">
        <v>97.2</v>
      </c>
      <c r="AF55" s="45">
        <v>97.2</v>
      </c>
      <c r="AG55" s="51">
        <v>144</v>
      </c>
      <c r="AH55" s="47">
        <f t="shared" si="2"/>
        <v>145.69999999999999</v>
      </c>
      <c r="AI55" s="48">
        <f t="shared" si="3"/>
        <v>90.6</v>
      </c>
      <c r="AK55" s="49"/>
    </row>
    <row r="56" spans="1:41" x14ac:dyDescent="0.25">
      <c r="A56" s="53" t="s">
        <v>62</v>
      </c>
      <c r="B56" s="65">
        <v>69.099999999999994</v>
      </c>
      <c r="C56" s="65"/>
      <c r="D56" s="65">
        <v>53</v>
      </c>
      <c r="E56" s="65">
        <v>69.599999999999994</v>
      </c>
      <c r="F56" s="65">
        <v>69.599999999999994</v>
      </c>
      <c r="G56" s="65">
        <v>69.599999999999994</v>
      </c>
      <c r="H56" s="65">
        <v>69.599999999999994</v>
      </c>
      <c r="I56" s="65">
        <v>69.599999999999994</v>
      </c>
      <c r="J56" s="65">
        <v>69.599999999999994</v>
      </c>
      <c r="K56" s="65">
        <v>69.599999999999994</v>
      </c>
      <c r="L56" s="65">
        <v>69.599999999999994</v>
      </c>
      <c r="M56" s="65">
        <v>69.599999999999994</v>
      </c>
      <c r="N56" s="65">
        <v>69.599999999999994</v>
      </c>
      <c r="O56" s="65">
        <v>69.599999999999994</v>
      </c>
      <c r="P56" s="65">
        <v>69.599999999999994</v>
      </c>
      <c r="Q56" s="65">
        <v>69.599999999999994</v>
      </c>
      <c r="R56" s="65">
        <v>69.599999999999994</v>
      </c>
      <c r="S56" s="65">
        <v>69.599999999999994</v>
      </c>
      <c r="T56" s="65">
        <v>69.599999999999994</v>
      </c>
      <c r="U56" s="45">
        <v>69.400000000000006</v>
      </c>
      <c r="V56" s="45">
        <v>69.400000000000006</v>
      </c>
      <c r="W56" s="45">
        <v>69.400000000000006</v>
      </c>
      <c r="X56" s="45">
        <v>69.400000000000006</v>
      </c>
      <c r="Y56" s="45">
        <v>69.400000000000006</v>
      </c>
      <c r="Z56" s="45">
        <v>69.400000000000006</v>
      </c>
      <c r="AA56" s="45">
        <v>69.400000000000006</v>
      </c>
      <c r="AB56" s="45">
        <v>69.599999999999994</v>
      </c>
      <c r="AC56" s="45">
        <v>69.599999999999994</v>
      </c>
      <c r="AD56" s="45">
        <v>69.599999999999994</v>
      </c>
      <c r="AE56" s="45">
        <v>69.599999999999994</v>
      </c>
      <c r="AF56" s="45">
        <v>69.599999999999994</v>
      </c>
      <c r="AG56" s="54">
        <v>70</v>
      </c>
      <c r="AH56" s="47">
        <f t="shared" si="2"/>
        <v>69.599999999999994</v>
      </c>
      <c r="AI56" s="48">
        <f t="shared" si="3"/>
        <v>53</v>
      </c>
      <c r="AK56" s="49"/>
    </row>
    <row r="57" spans="1:41" x14ac:dyDescent="0.25">
      <c r="A57" s="53" t="s">
        <v>63</v>
      </c>
      <c r="B57" s="65">
        <v>64</v>
      </c>
      <c r="C57" s="65"/>
      <c r="D57" s="65">
        <v>51.7</v>
      </c>
      <c r="E57" s="65">
        <v>68.099999999999994</v>
      </c>
      <c r="F57" s="65">
        <v>68.099999999999994</v>
      </c>
      <c r="G57" s="65">
        <v>68.099999999999994</v>
      </c>
      <c r="H57" s="65">
        <v>68.099999999999994</v>
      </c>
      <c r="I57" s="65">
        <v>68.099999999999994</v>
      </c>
      <c r="J57" s="65">
        <v>68.099999999999994</v>
      </c>
      <c r="K57" s="65">
        <v>68.099999999999994</v>
      </c>
      <c r="L57" s="65">
        <v>68.099999999999994</v>
      </c>
      <c r="M57" s="65">
        <v>68.099999999999994</v>
      </c>
      <c r="N57" s="65">
        <v>68.099999999999994</v>
      </c>
      <c r="O57" s="65">
        <v>68.099999999999994</v>
      </c>
      <c r="P57" s="65">
        <v>68.099999999999994</v>
      </c>
      <c r="Q57" s="65">
        <v>68.099999999999994</v>
      </c>
      <c r="R57" s="65">
        <v>68.099999999999994</v>
      </c>
      <c r="S57" s="65">
        <v>68.099999999999994</v>
      </c>
      <c r="T57" s="65">
        <v>68.099999999999994</v>
      </c>
      <c r="U57" s="45">
        <v>69.8</v>
      </c>
      <c r="V57" s="45">
        <v>69.8</v>
      </c>
      <c r="W57" s="45">
        <v>69.8</v>
      </c>
      <c r="X57" s="45">
        <v>69.8</v>
      </c>
      <c r="Y57" s="45">
        <v>69.8</v>
      </c>
      <c r="Z57" s="45">
        <v>69.8</v>
      </c>
      <c r="AA57" s="45">
        <v>69.8</v>
      </c>
      <c r="AB57" s="45">
        <v>60.2</v>
      </c>
      <c r="AC57" s="45">
        <v>60.2</v>
      </c>
      <c r="AD57" s="45">
        <v>60.2</v>
      </c>
      <c r="AE57" s="45">
        <v>60.2</v>
      </c>
      <c r="AF57" s="45">
        <v>60.2</v>
      </c>
      <c r="AG57" s="54">
        <v>69</v>
      </c>
      <c r="AH57" s="47">
        <f t="shared" si="2"/>
        <v>69.8</v>
      </c>
      <c r="AI57" s="48">
        <f t="shared" si="3"/>
        <v>51.7</v>
      </c>
      <c r="AK57" s="49"/>
    </row>
    <row r="58" spans="1:41" x14ac:dyDescent="0.25">
      <c r="A58" s="53" t="s">
        <v>64</v>
      </c>
      <c r="B58" s="65">
        <v>60.2</v>
      </c>
      <c r="C58" s="65"/>
      <c r="D58" s="65">
        <v>60.2</v>
      </c>
      <c r="E58" s="65">
        <v>60.2</v>
      </c>
      <c r="F58" s="65">
        <v>60.2</v>
      </c>
      <c r="G58" s="65">
        <v>60.2</v>
      </c>
      <c r="H58" s="65">
        <v>60.2</v>
      </c>
      <c r="I58" s="65">
        <v>60.2</v>
      </c>
      <c r="J58" s="65">
        <v>60.2</v>
      </c>
      <c r="K58" s="65">
        <v>60.2</v>
      </c>
      <c r="L58" s="65">
        <v>60.2</v>
      </c>
      <c r="M58" s="65">
        <v>60.2</v>
      </c>
      <c r="N58" s="65">
        <v>60.2</v>
      </c>
      <c r="O58" s="65">
        <v>60.2</v>
      </c>
      <c r="P58" s="65">
        <v>60.2</v>
      </c>
      <c r="Q58" s="65">
        <v>60.2</v>
      </c>
      <c r="R58" s="65">
        <v>60.2</v>
      </c>
      <c r="S58" s="65">
        <v>56</v>
      </c>
      <c r="T58" s="65">
        <v>56</v>
      </c>
      <c r="U58" s="45">
        <v>60</v>
      </c>
      <c r="V58" s="45">
        <v>60</v>
      </c>
      <c r="W58" s="45">
        <v>60</v>
      </c>
      <c r="X58" s="45">
        <v>60</v>
      </c>
      <c r="Y58" s="45">
        <v>60</v>
      </c>
      <c r="Z58" s="45">
        <v>60</v>
      </c>
      <c r="AA58" s="45">
        <v>60</v>
      </c>
      <c r="AB58" s="45">
        <v>60</v>
      </c>
      <c r="AC58" s="45">
        <v>60</v>
      </c>
      <c r="AD58" s="45">
        <v>60</v>
      </c>
      <c r="AE58" s="45">
        <v>60</v>
      </c>
      <c r="AF58" s="45">
        <v>60</v>
      </c>
      <c r="AG58" s="54">
        <v>60</v>
      </c>
      <c r="AH58" s="47">
        <f t="shared" si="2"/>
        <v>60.2</v>
      </c>
      <c r="AI58" s="48">
        <f t="shared" si="3"/>
        <v>56</v>
      </c>
      <c r="AK58" s="49"/>
    </row>
    <row r="59" spans="1:41" x14ac:dyDescent="0.25">
      <c r="A59" s="53" t="s">
        <v>65</v>
      </c>
      <c r="B59" s="65">
        <v>30</v>
      </c>
      <c r="C59" s="65"/>
      <c r="D59" s="65">
        <v>30</v>
      </c>
      <c r="E59" s="65">
        <v>30</v>
      </c>
      <c r="F59" s="65">
        <v>30</v>
      </c>
      <c r="G59" s="65">
        <v>30</v>
      </c>
      <c r="H59" s="65">
        <v>30</v>
      </c>
      <c r="I59" s="65">
        <v>30</v>
      </c>
      <c r="J59" s="65">
        <v>30</v>
      </c>
      <c r="K59" s="65">
        <v>30</v>
      </c>
      <c r="L59" s="65">
        <v>30</v>
      </c>
      <c r="M59" s="65">
        <v>30</v>
      </c>
      <c r="N59" s="65">
        <v>30</v>
      </c>
      <c r="O59" s="65">
        <v>30</v>
      </c>
      <c r="P59" s="65">
        <v>30</v>
      </c>
      <c r="Q59" s="65">
        <v>30</v>
      </c>
      <c r="R59" s="65">
        <v>30</v>
      </c>
      <c r="S59" s="65">
        <v>30</v>
      </c>
      <c r="T59" s="65">
        <v>30</v>
      </c>
      <c r="U59" s="45">
        <v>10</v>
      </c>
      <c r="V59" s="45">
        <v>10</v>
      </c>
      <c r="W59" s="45">
        <v>10</v>
      </c>
      <c r="X59" s="45">
        <v>10</v>
      </c>
      <c r="Y59" s="45">
        <v>10</v>
      </c>
      <c r="Z59" s="45">
        <v>10</v>
      </c>
      <c r="AA59" s="45">
        <v>10</v>
      </c>
      <c r="AB59" s="45">
        <v>10</v>
      </c>
      <c r="AC59" s="45">
        <v>10</v>
      </c>
      <c r="AD59" s="45">
        <v>22</v>
      </c>
      <c r="AE59" s="45">
        <v>22</v>
      </c>
      <c r="AF59" s="45">
        <v>22</v>
      </c>
      <c r="AG59" s="54">
        <v>30</v>
      </c>
      <c r="AH59" s="47">
        <f t="shared" si="2"/>
        <v>30</v>
      </c>
      <c r="AI59" s="48">
        <f t="shared" si="3"/>
        <v>10</v>
      </c>
      <c r="AK59" s="49"/>
    </row>
    <row r="60" spans="1:41" x14ac:dyDescent="0.25">
      <c r="A60" s="53" t="s">
        <v>66</v>
      </c>
      <c r="B60" s="65">
        <v>0</v>
      </c>
      <c r="C60" s="65"/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12</v>
      </c>
      <c r="T60" s="65">
        <v>8.3000000000000007</v>
      </c>
      <c r="U60" s="45">
        <v>2.4</v>
      </c>
      <c r="V60" s="45">
        <v>2</v>
      </c>
      <c r="W60" s="45">
        <v>2</v>
      </c>
      <c r="X60" s="45">
        <v>2</v>
      </c>
      <c r="Y60" s="45">
        <v>2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12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17</v>
      </c>
      <c r="C61" s="65"/>
      <c r="D61" s="65">
        <v>17</v>
      </c>
      <c r="E61" s="65">
        <v>17</v>
      </c>
      <c r="F61" s="65">
        <v>17</v>
      </c>
      <c r="G61" s="65">
        <v>17</v>
      </c>
      <c r="H61" s="65">
        <v>17</v>
      </c>
      <c r="I61" s="65">
        <v>17</v>
      </c>
      <c r="J61" s="65">
        <v>17</v>
      </c>
      <c r="K61" s="65">
        <v>17</v>
      </c>
      <c r="L61" s="65">
        <v>17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12</v>
      </c>
      <c r="AB61" s="65">
        <v>12</v>
      </c>
      <c r="AC61" s="65">
        <v>12</v>
      </c>
      <c r="AD61" s="65">
        <v>12</v>
      </c>
      <c r="AE61" s="65">
        <v>12</v>
      </c>
      <c r="AF61" s="65">
        <v>12</v>
      </c>
      <c r="AG61" s="54">
        <v>24</v>
      </c>
      <c r="AH61" s="47">
        <f t="shared" si="2"/>
        <v>17</v>
      </c>
      <c r="AI61" s="48">
        <f t="shared" si="3"/>
        <v>0</v>
      </c>
      <c r="AK61" s="49"/>
    </row>
    <row r="62" spans="1:41" x14ac:dyDescent="0.25">
      <c r="A62" s="53" t="s">
        <v>68</v>
      </c>
      <c r="B62" s="65">
        <v>1.4</v>
      </c>
      <c r="C62" s="65"/>
      <c r="D62" s="65">
        <v>1.4</v>
      </c>
      <c r="E62" s="65">
        <v>1.4</v>
      </c>
      <c r="F62" s="65">
        <v>1.4</v>
      </c>
      <c r="G62" s="65">
        <v>1.4</v>
      </c>
      <c r="H62" s="65">
        <v>1.4</v>
      </c>
      <c r="I62" s="65">
        <v>1.4</v>
      </c>
      <c r="J62" s="65">
        <v>1.4</v>
      </c>
      <c r="K62" s="65">
        <v>1.4</v>
      </c>
      <c r="L62" s="65">
        <v>1.4</v>
      </c>
      <c r="M62" s="65">
        <v>1.4</v>
      </c>
      <c r="N62" s="65">
        <v>1.4</v>
      </c>
      <c r="O62" s="65">
        <v>1.4</v>
      </c>
      <c r="P62" s="65">
        <v>1.4</v>
      </c>
      <c r="Q62" s="65">
        <v>1.4</v>
      </c>
      <c r="R62" s="65">
        <v>1.4</v>
      </c>
      <c r="S62" s="65">
        <v>1.4</v>
      </c>
      <c r="T62" s="65">
        <v>1.4</v>
      </c>
      <c r="U62" s="65">
        <v>1.4</v>
      </c>
      <c r="V62" s="65">
        <v>1.4</v>
      </c>
      <c r="W62" s="65">
        <v>1.4</v>
      </c>
      <c r="X62" s="65">
        <v>1.4</v>
      </c>
      <c r="Y62" s="65">
        <v>1.4</v>
      </c>
      <c r="Z62" s="65">
        <v>1.4</v>
      </c>
      <c r="AA62" s="65">
        <v>1.4</v>
      </c>
      <c r="AB62" s="65">
        <v>1.4</v>
      </c>
      <c r="AC62" s="65">
        <v>1.4</v>
      </c>
      <c r="AD62" s="65">
        <v>1.4</v>
      </c>
      <c r="AE62" s="65">
        <v>1.4</v>
      </c>
      <c r="AF62" s="65">
        <v>1.4</v>
      </c>
      <c r="AG62" s="54">
        <v>15</v>
      </c>
      <c r="AH62" s="47">
        <f t="shared" si="2"/>
        <v>1.4</v>
      </c>
      <c r="AI62" s="48">
        <f t="shared" si="3"/>
        <v>1.4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11.6</v>
      </c>
      <c r="C63" s="65"/>
      <c r="D63" s="65">
        <v>11.6</v>
      </c>
      <c r="E63" s="65">
        <v>11.6</v>
      </c>
      <c r="F63" s="65">
        <v>11.6</v>
      </c>
      <c r="G63" s="65">
        <v>11.6</v>
      </c>
      <c r="H63" s="65">
        <v>11.6</v>
      </c>
      <c r="I63" s="65">
        <v>11.6</v>
      </c>
      <c r="J63" s="65">
        <v>11.6</v>
      </c>
      <c r="K63" s="65">
        <v>11.6</v>
      </c>
      <c r="L63" s="65">
        <v>11.6</v>
      </c>
      <c r="M63" s="65">
        <v>7</v>
      </c>
      <c r="N63" s="65">
        <v>4</v>
      </c>
      <c r="O63" s="65">
        <v>4</v>
      </c>
      <c r="P63" s="65">
        <v>4</v>
      </c>
      <c r="Q63" s="65">
        <v>4</v>
      </c>
      <c r="R63" s="65">
        <v>4</v>
      </c>
      <c r="S63" s="65">
        <v>4</v>
      </c>
      <c r="T63" s="65">
        <v>4</v>
      </c>
      <c r="U63" s="65">
        <v>4</v>
      </c>
      <c r="V63" s="65">
        <v>4</v>
      </c>
      <c r="W63" s="65">
        <v>4</v>
      </c>
      <c r="X63" s="65">
        <v>4</v>
      </c>
      <c r="Y63" s="65">
        <v>4</v>
      </c>
      <c r="Z63" s="65">
        <v>4</v>
      </c>
      <c r="AA63" s="65">
        <v>4</v>
      </c>
      <c r="AB63" s="65">
        <v>4</v>
      </c>
      <c r="AC63" s="65">
        <v>4</v>
      </c>
      <c r="AD63" s="65">
        <v>4</v>
      </c>
      <c r="AE63" s="65">
        <v>4</v>
      </c>
      <c r="AF63" s="65">
        <v>4</v>
      </c>
      <c r="AG63" s="54">
        <v>14.1</v>
      </c>
      <c r="AH63" s="47">
        <f t="shared" si="2"/>
        <v>11.6</v>
      </c>
      <c r="AI63" s="48">
        <f t="shared" si="3"/>
        <v>4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14.1</v>
      </c>
      <c r="C64" s="65"/>
      <c r="D64" s="65">
        <v>14.1</v>
      </c>
      <c r="E64" s="65">
        <v>14.1</v>
      </c>
      <c r="F64" s="65">
        <v>14.1</v>
      </c>
      <c r="G64" s="65">
        <v>14.1</v>
      </c>
      <c r="H64" s="65">
        <v>14.1</v>
      </c>
      <c r="I64" s="65">
        <v>14.1</v>
      </c>
      <c r="J64" s="65">
        <v>14.1</v>
      </c>
      <c r="K64" s="65">
        <v>14.1</v>
      </c>
      <c r="L64" s="65">
        <v>14.1</v>
      </c>
      <c r="M64" s="65">
        <v>14.1</v>
      </c>
      <c r="N64" s="65">
        <v>14.1</v>
      </c>
      <c r="O64" s="65">
        <v>14.1</v>
      </c>
      <c r="P64" s="65">
        <v>14.1</v>
      </c>
      <c r="Q64" s="65">
        <v>14.1</v>
      </c>
      <c r="R64" s="65">
        <v>14.1</v>
      </c>
      <c r="S64" s="65">
        <v>14.1</v>
      </c>
      <c r="T64" s="65">
        <v>14.1</v>
      </c>
      <c r="U64" s="65">
        <v>14.1</v>
      </c>
      <c r="V64" s="65">
        <v>14.1</v>
      </c>
      <c r="W64" s="65">
        <v>14.1</v>
      </c>
      <c r="X64" s="65">
        <v>14.1</v>
      </c>
      <c r="Y64" s="65">
        <v>14.1</v>
      </c>
      <c r="Z64" s="65">
        <v>14.1</v>
      </c>
      <c r="AA64" s="65">
        <v>14.1</v>
      </c>
      <c r="AB64" s="65">
        <v>14.1</v>
      </c>
      <c r="AC64" s="65">
        <v>14.1</v>
      </c>
      <c r="AD64" s="65">
        <v>14.1</v>
      </c>
      <c r="AE64" s="65">
        <v>14.1</v>
      </c>
      <c r="AF64" s="65">
        <v>14.1</v>
      </c>
      <c r="AG64" s="54">
        <v>14</v>
      </c>
      <c r="AH64" s="47">
        <f t="shared" si="2"/>
        <v>14.1</v>
      </c>
      <c r="AI64" s="48">
        <f t="shared" si="3"/>
        <v>14.1</v>
      </c>
      <c r="AK64" s="49"/>
    </row>
    <row r="65" spans="1:40" x14ac:dyDescent="0.25">
      <c r="A65" s="53" t="s">
        <v>71</v>
      </c>
      <c r="B65" s="65">
        <v>5.6</v>
      </c>
      <c r="C65" s="65"/>
      <c r="D65" s="65">
        <v>5.6</v>
      </c>
      <c r="E65" s="65">
        <v>5.6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6</v>
      </c>
      <c r="P65" s="65">
        <v>5.5</v>
      </c>
      <c r="Q65" s="65">
        <v>7.1</v>
      </c>
      <c r="R65" s="65">
        <v>7.1</v>
      </c>
      <c r="S65" s="65">
        <v>6.8</v>
      </c>
      <c r="T65" s="65">
        <v>8</v>
      </c>
      <c r="U65" s="65">
        <v>7.5</v>
      </c>
      <c r="V65" s="65">
        <v>7.1</v>
      </c>
      <c r="W65" s="65">
        <v>7.1</v>
      </c>
      <c r="X65" s="65">
        <v>7.1</v>
      </c>
      <c r="Y65" s="65">
        <v>7.8</v>
      </c>
      <c r="Z65" s="65">
        <v>7.8</v>
      </c>
      <c r="AA65" s="65">
        <v>7.9</v>
      </c>
      <c r="AB65" s="65">
        <v>7.9</v>
      </c>
      <c r="AC65" s="65">
        <v>7.9</v>
      </c>
      <c r="AD65" s="65">
        <v>7.4</v>
      </c>
      <c r="AE65" s="65">
        <v>7.3</v>
      </c>
      <c r="AF65" s="65">
        <v>8.1</v>
      </c>
      <c r="AG65" s="54">
        <v>10.050000000000001</v>
      </c>
      <c r="AH65" s="47">
        <f t="shared" si="2"/>
        <v>8.1</v>
      </c>
      <c r="AI65" s="48">
        <f t="shared" si="3"/>
        <v>0</v>
      </c>
      <c r="AK65" s="49"/>
    </row>
    <row r="66" spans="1:40" x14ac:dyDescent="0.25">
      <c r="A66" s="53" t="s">
        <v>72</v>
      </c>
      <c r="B66" s="65">
        <v>2.2000000000000002</v>
      </c>
      <c r="C66" s="65"/>
      <c r="D66" s="65">
        <v>2.2000000000000002</v>
      </c>
      <c r="E66" s="65">
        <v>2.2000000000000002</v>
      </c>
      <c r="F66" s="65">
        <v>2.2000000000000002</v>
      </c>
      <c r="G66" s="65">
        <v>2.2000000000000002</v>
      </c>
      <c r="H66" s="65">
        <v>2.2000000000000002</v>
      </c>
      <c r="I66" s="65">
        <v>2.2000000000000002</v>
      </c>
      <c r="J66" s="65">
        <v>2.2000000000000002</v>
      </c>
      <c r="K66" s="65">
        <v>2.2000000000000002</v>
      </c>
      <c r="L66" s="65">
        <v>2.2000000000000002</v>
      </c>
      <c r="M66" s="65">
        <v>2.2000000000000002</v>
      </c>
      <c r="N66" s="65">
        <v>2.2000000000000002</v>
      </c>
      <c r="O66" s="65">
        <v>2.2000000000000002</v>
      </c>
      <c r="P66" s="65">
        <v>2.2000000000000002</v>
      </c>
      <c r="Q66" s="65">
        <v>2.2000000000000002</v>
      </c>
      <c r="R66" s="65">
        <v>2.2000000000000002</v>
      </c>
      <c r="S66" s="65">
        <v>2.2000000000000002</v>
      </c>
      <c r="T66" s="65">
        <v>2.2000000000000002</v>
      </c>
      <c r="U66" s="65">
        <v>2.2000000000000002</v>
      </c>
      <c r="V66" s="65">
        <v>2.2000000000000002</v>
      </c>
      <c r="W66" s="65">
        <v>2.2000000000000002</v>
      </c>
      <c r="X66" s="65">
        <v>2.2000000000000002</v>
      </c>
      <c r="Y66" s="65">
        <v>2.2000000000000002</v>
      </c>
      <c r="Z66" s="65">
        <v>2.2000000000000002</v>
      </c>
      <c r="AA66" s="65">
        <v>2.2000000000000002</v>
      </c>
      <c r="AB66" s="65">
        <v>2.2000000000000002</v>
      </c>
      <c r="AC66" s="65">
        <v>2.2000000000000002</v>
      </c>
      <c r="AD66" s="65">
        <v>2.2000000000000002</v>
      </c>
      <c r="AE66" s="65">
        <v>2.2000000000000002</v>
      </c>
      <c r="AF66" s="65">
        <v>2.2000000000000002</v>
      </c>
      <c r="AG66" s="54">
        <v>6.2</v>
      </c>
      <c r="AH66" s="47">
        <f t="shared" si="2"/>
        <v>2.2000000000000002</v>
      </c>
      <c r="AI66" s="48">
        <f t="shared" si="3"/>
        <v>2.2000000000000002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8">SUM(B55:B67)</f>
        <v>424.44</v>
      </c>
      <c r="C68" s="60">
        <f t="shared" si="8"/>
        <v>3.54</v>
      </c>
      <c r="D68" s="60">
        <f t="shared" si="8"/>
        <v>340.94000000000005</v>
      </c>
      <c r="E68" s="60">
        <f t="shared" si="8"/>
        <v>380.54000000000008</v>
      </c>
      <c r="F68" s="60">
        <f t="shared" si="8"/>
        <v>374.94000000000005</v>
      </c>
      <c r="G68" s="60">
        <f t="shared" si="8"/>
        <v>374.94000000000005</v>
      </c>
      <c r="H68" s="60">
        <f t="shared" si="8"/>
        <v>374.94000000000005</v>
      </c>
      <c r="I68" s="60">
        <f t="shared" si="8"/>
        <v>374.94000000000005</v>
      </c>
      <c r="J68" s="60">
        <f t="shared" si="8"/>
        <v>374.94000000000005</v>
      </c>
      <c r="K68" s="60">
        <f t="shared" si="8"/>
        <v>374.94000000000005</v>
      </c>
      <c r="L68" s="60">
        <f t="shared" si="8"/>
        <v>374.94000000000005</v>
      </c>
      <c r="M68" s="60">
        <f t="shared" si="8"/>
        <v>353.34000000000003</v>
      </c>
      <c r="N68" s="60">
        <f t="shared" si="8"/>
        <v>350.34000000000003</v>
      </c>
      <c r="O68" s="60">
        <f t="shared" si="8"/>
        <v>356.34000000000003</v>
      </c>
      <c r="P68" s="60">
        <f t="shared" si="8"/>
        <v>355.84000000000003</v>
      </c>
      <c r="Q68" s="60">
        <f t="shared" si="8"/>
        <v>357.44000000000005</v>
      </c>
      <c r="R68" s="60">
        <f t="shared" si="8"/>
        <v>357.44000000000005</v>
      </c>
      <c r="S68" s="60">
        <f t="shared" si="8"/>
        <v>364.94</v>
      </c>
      <c r="T68" s="60">
        <f t="shared" si="8"/>
        <v>362.44</v>
      </c>
      <c r="U68" s="60">
        <f t="shared" si="8"/>
        <v>341.54</v>
      </c>
      <c r="V68" s="60">
        <f t="shared" si="8"/>
        <v>340.74000000000007</v>
      </c>
      <c r="W68" s="60">
        <f t="shared" si="8"/>
        <v>340.74000000000007</v>
      </c>
      <c r="X68" s="60">
        <f t="shared" si="8"/>
        <v>340.74000000000007</v>
      </c>
      <c r="Y68" s="60">
        <f t="shared" si="8"/>
        <v>341.44000000000005</v>
      </c>
      <c r="Z68" s="60">
        <f t="shared" si="8"/>
        <v>339.44000000000005</v>
      </c>
      <c r="AA68" s="60">
        <f t="shared" si="8"/>
        <v>351.54</v>
      </c>
      <c r="AB68" s="60">
        <f t="shared" si="8"/>
        <v>342.14</v>
      </c>
      <c r="AC68" s="60">
        <f t="shared" si="8"/>
        <v>342.14</v>
      </c>
      <c r="AD68" s="60">
        <f t="shared" si="8"/>
        <v>353.64</v>
      </c>
      <c r="AE68" s="60">
        <f t="shared" si="8"/>
        <v>353.54</v>
      </c>
      <c r="AF68" s="60">
        <f t="shared" si="8"/>
        <v>354.34000000000003</v>
      </c>
      <c r="AG68" s="61">
        <f t="shared" si="8"/>
        <v>489.91</v>
      </c>
      <c r="AH68" s="47">
        <f t="shared" si="2"/>
        <v>424.44</v>
      </c>
      <c r="AI68" s="48">
        <f t="shared" si="3"/>
        <v>3.54</v>
      </c>
      <c r="AK68" s="49"/>
    </row>
    <row r="69" spans="1:40" x14ac:dyDescent="0.25">
      <c r="A69" s="44" t="s">
        <v>75</v>
      </c>
      <c r="B69" s="45">
        <v>14</v>
      </c>
      <c r="C69" s="45"/>
      <c r="D69" s="45">
        <v>30</v>
      </c>
      <c r="E69" s="45">
        <v>10</v>
      </c>
      <c r="F69" s="45">
        <v>10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14</v>
      </c>
      <c r="O69" s="45">
        <v>35</v>
      </c>
      <c r="P69" s="45">
        <v>35</v>
      </c>
      <c r="Q69" s="45">
        <v>35</v>
      </c>
      <c r="R69" s="45">
        <v>45</v>
      </c>
      <c r="S69" s="45">
        <v>44</v>
      </c>
      <c r="T69" s="45">
        <v>44</v>
      </c>
      <c r="U69" s="45">
        <v>60</v>
      </c>
      <c r="V69" s="45">
        <v>50</v>
      </c>
      <c r="W69" s="45">
        <v>50</v>
      </c>
      <c r="X69" s="45">
        <v>50</v>
      </c>
      <c r="Y69" s="45">
        <v>41</v>
      </c>
      <c r="Z69" s="45">
        <v>33.1</v>
      </c>
      <c r="AA69" s="45">
        <v>20.399999999999999</v>
      </c>
      <c r="AB69" s="45">
        <v>24</v>
      </c>
      <c r="AC69" s="45">
        <v>24</v>
      </c>
      <c r="AD69" s="45">
        <v>14</v>
      </c>
      <c r="AE69" s="45">
        <v>0</v>
      </c>
      <c r="AF69" s="45">
        <v>0</v>
      </c>
      <c r="AG69" s="51">
        <v>60</v>
      </c>
      <c r="AH69" s="47">
        <f t="shared" si="2"/>
        <v>60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5</v>
      </c>
      <c r="C70" s="45"/>
      <c r="D70" s="65">
        <v>14</v>
      </c>
      <c r="E70" s="65">
        <v>5.2</v>
      </c>
      <c r="F70" s="65">
        <v>2.9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5.5</v>
      </c>
      <c r="O70" s="65">
        <v>13.8</v>
      </c>
      <c r="P70" s="65">
        <v>13.8</v>
      </c>
      <c r="Q70" s="65">
        <v>13.8</v>
      </c>
      <c r="R70" s="65">
        <v>27</v>
      </c>
      <c r="S70" s="65">
        <v>20.100000000000001</v>
      </c>
      <c r="T70" s="65">
        <v>19.100000000000001</v>
      </c>
      <c r="U70" s="65">
        <v>30.2</v>
      </c>
      <c r="V70" s="65">
        <v>26.6</v>
      </c>
      <c r="W70" s="65">
        <v>26.6</v>
      </c>
      <c r="X70" s="65">
        <v>26.6</v>
      </c>
      <c r="Y70" s="65">
        <v>12.3</v>
      </c>
      <c r="Z70" s="65">
        <v>28.8</v>
      </c>
      <c r="AA70" s="65">
        <v>22.4</v>
      </c>
      <c r="AB70" s="65">
        <v>5.5</v>
      </c>
      <c r="AC70" s="65">
        <v>11</v>
      </c>
      <c r="AD70" s="65">
        <v>5</v>
      </c>
      <c r="AE70" s="65">
        <v>0</v>
      </c>
      <c r="AF70" s="65">
        <v>0</v>
      </c>
      <c r="AG70" s="54">
        <v>32</v>
      </c>
      <c r="AH70" s="47">
        <f t="shared" si="2"/>
        <v>30.2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2</v>
      </c>
      <c r="C71" s="45"/>
      <c r="D71" s="67">
        <v>5.4</v>
      </c>
      <c r="E71" s="67">
        <v>1.9</v>
      </c>
      <c r="F71" s="67">
        <v>1.1000000000000001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0</v>
      </c>
      <c r="M71" s="67">
        <v>0</v>
      </c>
      <c r="N71" s="67">
        <v>2</v>
      </c>
      <c r="O71" s="67">
        <v>5</v>
      </c>
      <c r="P71" s="67">
        <v>5</v>
      </c>
      <c r="Q71" s="67">
        <v>5</v>
      </c>
      <c r="R71" s="67">
        <v>10</v>
      </c>
      <c r="S71" s="67">
        <v>7.3</v>
      </c>
      <c r="T71" s="67">
        <v>7</v>
      </c>
      <c r="U71" s="67">
        <v>11</v>
      </c>
      <c r="V71" s="67">
        <v>9.6999999999999993</v>
      </c>
      <c r="W71" s="67">
        <v>9.6999999999999993</v>
      </c>
      <c r="X71" s="67">
        <v>9.6999999999999993</v>
      </c>
      <c r="Y71" s="67">
        <v>4.5</v>
      </c>
      <c r="Z71" s="67">
        <v>10.5</v>
      </c>
      <c r="AA71" s="67">
        <v>8.4</v>
      </c>
      <c r="AB71" s="67">
        <v>2</v>
      </c>
      <c r="AC71" s="67">
        <v>4</v>
      </c>
      <c r="AD71" s="67">
        <v>2</v>
      </c>
      <c r="AE71" s="67">
        <v>0</v>
      </c>
      <c r="AF71" s="67">
        <v>0</v>
      </c>
      <c r="AG71" s="68">
        <v>14</v>
      </c>
      <c r="AH71" s="47">
        <f t="shared" si="2"/>
        <v>11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21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9">M69+M70+M71</f>
        <v>0</v>
      </c>
      <c r="N72" s="60">
        <f t="shared" si="9"/>
        <v>21.5</v>
      </c>
      <c r="O72" s="60">
        <f t="shared" si="9"/>
        <v>53.8</v>
      </c>
      <c r="P72" s="60">
        <f t="shared" si="9"/>
        <v>53.8</v>
      </c>
      <c r="Q72" s="60">
        <f t="shared" si="9"/>
        <v>53.8</v>
      </c>
      <c r="R72" s="60">
        <f t="shared" si="9"/>
        <v>82</v>
      </c>
      <c r="S72" s="60">
        <f t="shared" si="9"/>
        <v>71.399999999999991</v>
      </c>
      <c r="T72" s="60">
        <f t="shared" si="9"/>
        <v>70.099999999999994</v>
      </c>
      <c r="U72" s="60">
        <f t="shared" si="9"/>
        <v>101.2</v>
      </c>
      <c r="V72" s="60">
        <f t="shared" si="9"/>
        <v>86.3</v>
      </c>
      <c r="W72" s="60">
        <f t="shared" si="9"/>
        <v>86.3</v>
      </c>
      <c r="X72" s="60">
        <f t="shared" si="9"/>
        <v>86.3</v>
      </c>
      <c r="Y72" s="60">
        <f t="shared" si="9"/>
        <v>57.8</v>
      </c>
      <c r="Z72" s="60">
        <f t="shared" si="9"/>
        <v>72.400000000000006</v>
      </c>
      <c r="AA72" s="60">
        <f t="shared" si="9"/>
        <v>51.199999999999996</v>
      </c>
      <c r="AB72" s="60">
        <f t="shared" si="9"/>
        <v>31.5</v>
      </c>
      <c r="AC72" s="60">
        <f t="shared" si="9"/>
        <v>39</v>
      </c>
      <c r="AD72" s="60">
        <f t="shared" si="9"/>
        <v>21</v>
      </c>
      <c r="AE72" s="60">
        <f t="shared" si="9"/>
        <v>0</v>
      </c>
      <c r="AF72" s="60">
        <f t="shared" si="9"/>
        <v>0</v>
      </c>
      <c r="AG72" s="61">
        <f>SUM(AG69:AG71)</f>
        <v>106</v>
      </c>
      <c r="AH72" s="47">
        <f t="shared" si="2"/>
        <v>101.2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40</v>
      </c>
      <c r="C73" s="45"/>
      <c r="D73" s="45">
        <v>41</v>
      </c>
      <c r="E73" s="45">
        <v>37</v>
      </c>
      <c r="F73" s="45">
        <v>27</v>
      </c>
      <c r="G73" s="45">
        <v>27</v>
      </c>
      <c r="H73" s="45">
        <v>29.4</v>
      </c>
      <c r="I73" s="45">
        <v>17</v>
      </c>
      <c r="J73" s="45">
        <v>22</v>
      </c>
      <c r="K73" s="45">
        <v>56.4</v>
      </c>
      <c r="L73" s="45">
        <v>51</v>
      </c>
      <c r="M73" s="45">
        <v>55.3</v>
      </c>
      <c r="N73" s="45">
        <v>53.9</v>
      </c>
      <c r="O73" s="45">
        <v>66.8</v>
      </c>
      <c r="P73" s="45">
        <v>71.8</v>
      </c>
      <c r="Q73" s="45">
        <v>74</v>
      </c>
      <c r="R73" s="45">
        <v>78</v>
      </c>
      <c r="S73" s="45">
        <v>78.400000000000006</v>
      </c>
      <c r="T73" s="45">
        <v>64.599999999999994</v>
      </c>
      <c r="U73" s="45">
        <v>56.5</v>
      </c>
      <c r="V73" s="45">
        <v>61</v>
      </c>
      <c r="W73" s="45">
        <v>61</v>
      </c>
      <c r="X73" s="45">
        <v>64.8</v>
      </c>
      <c r="Y73" s="45">
        <v>52.3</v>
      </c>
      <c r="Z73" s="45">
        <v>62.4</v>
      </c>
      <c r="AA73" s="45">
        <v>64</v>
      </c>
      <c r="AB73" s="45">
        <v>64.2</v>
      </c>
      <c r="AC73" s="45">
        <v>60</v>
      </c>
      <c r="AD73" s="45">
        <v>60</v>
      </c>
      <c r="AE73" s="45">
        <v>60</v>
      </c>
      <c r="AF73" s="45">
        <v>59</v>
      </c>
      <c r="AG73" s="51"/>
      <c r="AH73" s="47">
        <f t="shared" si="2"/>
        <v>78.400000000000006</v>
      </c>
      <c r="AI73" s="48">
        <f t="shared" si="3"/>
        <v>17</v>
      </c>
      <c r="AK73" s="49"/>
    </row>
    <row r="74" spans="1:40" x14ac:dyDescent="0.25">
      <c r="A74" s="53" t="s">
        <v>80</v>
      </c>
      <c r="B74" s="65">
        <v>0</v>
      </c>
      <c r="C74" s="65"/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-50</v>
      </c>
      <c r="C75" s="65"/>
      <c r="D75" s="65">
        <v>-290</v>
      </c>
      <c r="E75" s="65">
        <v>-309</v>
      </c>
      <c r="F75" s="65">
        <v>-330</v>
      </c>
      <c r="G75" s="65">
        <v>-360</v>
      </c>
      <c r="H75" s="65">
        <v>-305</v>
      </c>
      <c r="I75" s="65">
        <v>-250</v>
      </c>
      <c r="J75" s="65">
        <v>-216</v>
      </c>
      <c r="K75" s="65">
        <v>-250</v>
      </c>
      <c r="L75" s="65">
        <v>-217</v>
      </c>
      <c r="M75" s="65">
        <v>-192</v>
      </c>
      <c r="N75" s="65">
        <v>-260</v>
      </c>
      <c r="O75" s="65">
        <v>-360</v>
      </c>
      <c r="P75" s="65">
        <v>-246</v>
      </c>
      <c r="Q75" s="65">
        <v>-246</v>
      </c>
      <c r="R75" s="65">
        <v>-260</v>
      </c>
      <c r="S75" s="65">
        <v>-250</v>
      </c>
      <c r="T75" s="65">
        <v>-220</v>
      </c>
      <c r="U75" s="65">
        <v>-258</v>
      </c>
      <c r="V75" s="65">
        <v>-230</v>
      </c>
      <c r="W75" s="65">
        <v>-230</v>
      </c>
      <c r="X75" s="65">
        <v>-221</v>
      </c>
      <c r="Y75" s="65">
        <v>-131</v>
      </c>
      <c r="Z75" s="65">
        <v>-76</v>
      </c>
      <c r="AA75" s="65">
        <v>-84</v>
      </c>
      <c r="AB75" s="65">
        <v>-90</v>
      </c>
      <c r="AC75" s="65">
        <v>-187</v>
      </c>
      <c r="AD75" s="65">
        <v>-285</v>
      </c>
      <c r="AE75" s="65">
        <v>-285</v>
      </c>
      <c r="AF75" s="65">
        <v>-230</v>
      </c>
      <c r="AG75" s="75"/>
      <c r="AH75" s="47">
        <f t="shared" si="2"/>
        <v>-50</v>
      </c>
      <c r="AI75" s="48">
        <f t="shared" si="3"/>
        <v>-360</v>
      </c>
      <c r="AK75" s="49"/>
    </row>
    <row r="76" spans="1:40" x14ac:dyDescent="0.25">
      <c r="A76" s="53" t="s">
        <v>82</v>
      </c>
      <c r="B76" s="65">
        <v>10</v>
      </c>
      <c r="C76" s="65"/>
      <c r="D76" s="65">
        <v>10</v>
      </c>
      <c r="E76" s="65">
        <v>10</v>
      </c>
      <c r="F76" s="65">
        <v>10</v>
      </c>
      <c r="G76" s="65">
        <v>10</v>
      </c>
      <c r="H76" s="65">
        <v>10</v>
      </c>
      <c r="I76" s="65">
        <v>10</v>
      </c>
      <c r="J76" s="65">
        <v>10</v>
      </c>
      <c r="K76" s="65">
        <v>10</v>
      </c>
      <c r="L76" s="65">
        <v>10</v>
      </c>
      <c r="M76" s="65">
        <v>10</v>
      </c>
      <c r="N76" s="65">
        <v>10</v>
      </c>
      <c r="O76" s="65">
        <v>10</v>
      </c>
      <c r="P76" s="65">
        <v>10</v>
      </c>
      <c r="Q76" s="65">
        <v>10</v>
      </c>
      <c r="R76" s="65">
        <v>10</v>
      </c>
      <c r="S76" s="65">
        <v>10</v>
      </c>
      <c r="T76" s="65">
        <v>10</v>
      </c>
      <c r="U76" s="65">
        <v>10</v>
      </c>
      <c r="V76" s="65">
        <v>10</v>
      </c>
      <c r="W76" s="65">
        <v>10</v>
      </c>
      <c r="X76" s="65">
        <v>10</v>
      </c>
      <c r="Y76" s="65">
        <v>10</v>
      </c>
      <c r="Z76" s="65">
        <v>10</v>
      </c>
      <c r="AA76" s="76">
        <v>10</v>
      </c>
      <c r="AB76" s="76">
        <v>10</v>
      </c>
      <c r="AC76" s="76">
        <v>10</v>
      </c>
      <c r="AD76" s="76">
        <v>10</v>
      </c>
      <c r="AE76" s="76">
        <v>10</v>
      </c>
      <c r="AF76" s="76">
        <v>10</v>
      </c>
      <c r="AG76" s="75"/>
      <c r="AH76" s="47">
        <f t="shared" si="2"/>
        <v>10</v>
      </c>
      <c r="AI76" s="48">
        <f t="shared" si="3"/>
        <v>10</v>
      </c>
      <c r="AK76" s="49"/>
    </row>
    <row r="77" spans="1:40" x14ac:dyDescent="0.25">
      <c r="A77" s="53" t="s">
        <v>83</v>
      </c>
      <c r="B77" s="45">
        <v>0</v>
      </c>
      <c r="C77" s="45"/>
      <c r="D77" s="65">
        <v>30</v>
      </c>
      <c r="E77" s="65">
        <v>31</v>
      </c>
      <c r="F77" s="65">
        <v>31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0">MAX(B77:AF77)</f>
        <v>31</v>
      </c>
      <c r="AI77" s="48">
        <f t="shared" ref="AI77:AI120" si="11">MIN(B77:AF77)</f>
        <v>0</v>
      </c>
      <c r="AK77" s="49"/>
    </row>
    <row r="78" spans="1:40" x14ac:dyDescent="0.25">
      <c r="A78" s="53" t="s">
        <v>84</v>
      </c>
      <c r="B78" s="45">
        <v>5</v>
      </c>
      <c r="C78" s="77"/>
      <c r="D78" s="65">
        <v>5</v>
      </c>
      <c r="E78" s="65">
        <v>5</v>
      </c>
      <c r="F78" s="65">
        <v>5</v>
      </c>
      <c r="G78" s="65">
        <v>5</v>
      </c>
      <c r="H78" s="65">
        <v>5</v>
      </c>
      <c r="I78" s="65">
        <v>5</v>
      </c>
      <c r="J78" s="65">
        <v>5</v>
      </c>
      <c r="K78" s="65">
        <v>5</v>
      </c>
      <c r="L78" s="65">
        <v>5</v>
      </c>
      <c r="M78" s="65">
        <v>5</v>
      </c>
      <c r="N78" s="65">
        <v>5</v>
      </c>
      <c r="O78" s="65">
        <v>5</v>
      </c>
      <c r="P78" s="65">
        <v>5</v>
      </c>
      <c r="Q78" s="65">
        <v>5</v>
      </c>
      <c r="R78" s="65">
        <v>5</v>
      </c>
      <c r="S78" s="65">
        <v>5</v>
      </c>
      <c r="T78" s="65">
        <v>5</v>
      </c>
      <c r="U78" s="65">
        <v>5</v>
      </c>
      <c r="V78" s="65">
        <v>5</v>
      </c>
      <c r="W78" s="65">
        <v>5</v>
      </c>
      <c r="X78" s="65">
        <v>5</v>
      </c>
      <c r="Y78" s="65">
        <v>5</v>
      </c>
      <c r="Z78" s="65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10"/>
        <v>5</v>
      </c>
      <c r="AI78" s="48">
        <f t="shared" si="11"/>
        <v>5</v>
      </c>
      <c r="AK78" s="49"/>
    </row>
    <row r="79" spans="1:40" ht="15.75" thickBot="1" x14ac:dyDescent="0.3">
      <c r="A79" s="53" t="s">
        <v>85</v>
      </c>
      <c r="B79" s="45">
        <v>0</v>
      </c>
      <c r="C79" s="77"/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0"/>
        <v>0</v>
      </c>
      <c r="AI79" s="48">
        <f t="shared" si="11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0</v>
      </c>
      <c r="C80" s="77"/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0"/>
        <v>0</v>
      </c>
      <c r="AI80" s="48">
        <f t="shared" si="11"/>
        <v>0</v>
      </c>
      <c r="AK80" s="79"/>
      <c r="AL80" s="80">
        <v>0.51388888888888895</v>
      </c>
      <c r="AM80" s="80">
        <v>10</v>
      </c>
      <c r="AN80" s="81"/>
    </row>
    <row r="81" spans="1:40" x14ac:dyDescent="0.25">
      <c r="A81" s="53" t="s">
        <v>88</v>
      </c>
      <c r="B81" s="45">
        <v>0</v>
      </c>
      <c r="C81" s="77"/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0"/>
        <v>0</v>
      </c>
      <c r="AI81" s="48">
        <f t="shared" si="11"/>
        <v>0</v>
      </c>
      <c r="AK81" s="82" t="s">
        <v>89</v>
      </c>
      <c r="AL81" s="65">
        <v>734469.83</v>
      </c>
      <c r="AM81" s="76">
        <v>735703.98</v>
      </c>
      <c r="AN81" s="83">
        <f>AL81-AM81</f>
        <v>-1234.1500000000233</v>
      </c>
    </row>
    <row r="82" spans="1:40" x14ac:dyDescent="0.25">
      <c r="A82" s="84" t="s">
        <v>90</v>
      </c>
      <c r="B82" s="45">
        <v>0</v>
      </c>
      <c r="C82" s="77"/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0"/>
        <v>0</v>
      </c>
      <c r="AI82" s="48">
        <f t="shared" si="11"/>
        <v>0</v>
      </c>
      <c r="AK82" s="82" t="s">
        <v>91</v>
      </c>
      <c r="AL82" s="76">
        <v>569837.29</v>
      </c>
      <c r="AM82" s="76">
        <v>571075.68999999994</v>
      </c>
      <c r="AN82" s="83">
        <f>AL82-AM82</f>
        <v>-1238.3999999999069</v>
      </c>
    </row>
    <row r="83" spans="1:40" ht="15.75" thickBot="1" x14ac:dyDescent="0.3">
      <c r="A83" s="84" t="s">
        <v>92</v>
      </c>
      <c r="B83" s="45">
        <v>0</v>
      </c>
      <c r="C83" s="77"/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0"/>
        <v>0</v>
      </c>
      <c r="AI83" s="48">
        <f t="shared" si="11"/>
        <v>0</v>
      </c>
      <c r="AK83" s="86"/>
      <c r="AL83" s="45"/>
      <c r="AM83" s="45"/>
      <c r="AN83" s="87">
        <f>AN81+AN82</f>
        <v>-2472.5499999999302</v>
      </c>
    </row>
    <row r="84" spans="1:40" ht="15.75" thickBot="1" x14ac:dyDescent="0.3">
      <c r="A84" s="74" t="s">
        <v>93</v>
      </c>
      <c r="B84" s="60">
        <f t="shared" ref="B84:AF84" si="12">SUMIF(B73:B83,"&gt;0")</f>
        <v>55</v>
      </c>
      <c r="C84" s="60">
        <f t="shared" si="12"/>
        <v>0</v>
      </c>
      <c r="D84" s="60">
        <f t="shared" si="12"/>
        <v>86</v>
      </c>
      <c r="E84" s="60">
        <f t="shared" si="12"/>
        <v>83</v>
      </c>
      <c r="F84" s="60">
        <f t="shared" si="12"/>
        <v>73</v>
      </c>
      <c r="G84" s="60">
        <f t="shared" si="12"/>
        <v>42</v>
      </c>
      <c r="H84" s="60">
        <f t="shared" si="12"/>
        <v>44.4</v>
      </c>
      <c r="I84" s="60">
        <f t="shared" si="12"/>
        <v>32</v>
      </c>
      <c r="J84" s="60">
        <f t="shared" si="12"/>
        <v>37</v>
      </c>
      <c r="K84" s="60">
        <f t="shared" si="12"/>
        <v>71.400000000000006</v>
      </c>
      <c r="L84" s="60">
        <f t="shared" si="12"/>
        <v>66</v>
      </c>
      <c r="M84" s="60">
        <f t="shared" si="12"/>
        <v>70.3</v>
      </c>
      <c r="N84" s="60">
        <f t="shared" si="12"/>
        <v>68.900000000000006</v>
      </c>
      <c r="O84" s="60">
        <f t="shared" si="12"/>
        <v>81.8</v>
      </c>
      <c r="P84" s="60">
        <f t="shared" si="12"/>
        <v>86.8</v>
      </c>
      <c r="Q84" s="60">
        <f t="shared" si="12"/>
        <v>89</v>
      </c>
      <c r="R84" s="60">
        <f t="shared" si="12"/>
        <v>93</v>
      </c>
      <c r="S84" s="60">
        <f t="shared" si="12"/>
        <v>93.4</v>
      </c>
      <c r="T84" s="60">
        <f t="shared" si="12"/>
        <v>79.599999999999994</v>
      </c>
      <c r="U84" s="60">
        <f t="shared" si="12"/>
        <v>71.5</v>
      </c>
      <c r="V84" s="60">
        <f t="shared" si="12"/>
        <v>76</v>
      </c>
      <c r="W84" s="60">
        <f t="shared" si="12"/>
        <v>76</v>
      </c>
      <c r="X84" s="60">
        <f t="shared" si="12"/>
        <v>79.8</v>
      </c>
      <c r="Y84" s="60">
        <f t="shared" si="12"/>
        <v>67.3</v>
      </c>
      <c r="Z84" s="60">
        <f t="shared" si="12"/>
        <v>77.400000000000006</v>
      </c>
      <c r="AA84" s="60">
        <f t="shared" si="12"/>
        <v>79</v>
      </c>
      <c r="AB84" s="60">
        <f t="shared" si="12"/>
        <v>79.2</v>
      </c>
      <c r="AC84" s="60">
        <f t="shared" si="12"/>
        <v>75</v>
      </c>
      <c r="AD84" s="60">
        <f t="shared" si="12"/>
        <v>75</v>
      </c>
      <c r="AE84" s="60">
        <f t="shared" si="12"/>
        <v>75</v>
      </c>
      <c r="AF84" s="60">
        <f t="shared" si="12"/>
        <v>74</v>
      </c>
      <c r="AG84" s="88">
        <f>SUM(AG73:AG83)</f>
        <v>0</v>
      </c>
      <c r="AH84" s="47">
        <f t="shared" si="10"/>
        <v>93.4</v>
      </c>
      <c r="AI84" s="48">
        <f t="shared" si="11"/>
        <v>0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0"/>
        <v>0</v>
      </c>
      <c r="AI85" s="48">
        <f t="shared" si="11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0"/>
        <v>0</v>
      </c>
      <c r="AI86" s="48">
        <f t="shared" si="11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0"/>
        <v>0</v>
      </c>
      <c r="AI87" s="48">
        <f t="shared" si="11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10"/>
        <v>0</v>
      </c>
      <c r="AI88" s="48">
        <f t="shared" si="11"/>
        <v>0</v>
      </c>
    </row>
    <row r="89" spans="1:40" ht="15.75" thickBot="1" x14ac:dyDescent="0.3">
      <c r="A89" s="74" t="s">
        <v>98</v>
      </c>
      <c r="B89" s="95">
        <f t="shared" ref="B89:AG89" si="13">B50+B54+B72+B68+B84+B88</f>
        <v>1831.44</v>
      </c>
      <c r="C89" s="95">
        <f t="shared" si="13"/>
        <v>3.54</v>
      </c>
      <c r="D89" s="95">
        <f t="shared" si="13"/>
        <v>1815.94</v>
      </c>
      <c r="E89" s="95">
        <f t="shared" si="13"/>
        <v>1871.44</v>
      </c>
      <c r="F89" s="95">
        <f t="shared" si="13"/>
        <v>1839.8400000000001</v>
      </c>
      <c r="G89" s="95">
        <f t="shared" si="13"/>
        <v>1776.44</v>
      </c>
      <c r="H89" s="95">
        <f t="shared" si="13"/>
        <v>1736.7400000000002</v>
      </c>
      <c r="I89" s="95">
        <f t="shared" si="13"/>
        <v>1640.3400000000001</v>
      </c>
      <c r="J89" s="95">
        <f t="shared" si="13"/>
        <v>1675.3400000000001</v>
      </c>
      <c r="K89" s="95">
        <f t="shared" si="13"/>
        <v>1679.7400000000002</v>
      </c>
      <c r="L89" s="95">
        <f t="shared" si="13"/>
        <v>1661.3400000000001</v>
      </c>
      <c r="M89" s="95">
        <f t="shared" si="13"/>
        <v>1594.0400000000002</v>
      </c>
      <c r="N89" s="95">
        <f t="shared" si="13"/>
        <v>1720.1399999999999</v>
      </c>
      <c r="O89" s="95">
        <f t="shared" si="13"/>
        <v>1771.34</v>
      </c>
      <c r="P89" s="95">
        <f t="shared" si="13"/>
        <v>1830.84</v>
      </c>
      <c r="Q89" s="95">
        <f t="shared" si="13"/>
        <v>1875.24</v>
      </c>
      <c r="R89" s="95">
        <f t="shared" si="13"/>
        <v>1907.44</v>
      </c>
      <c r="S89" s="95">
        <f t="shared" si="13"/>
        <v>1888.7400000000002</v>
      </c>
      <c r="T89" s="95">
        <f t="shared" si="13"/>
        <v>1861.44</v>
      </c>
      <c r="U89" s="95">
        <f t="shared" si="13"/>
        <v>1759.0400000000002</v>
      </c>
      <c r="V89" s="95">
        <f t="shared" si="13"/>
        <v>1714.84</v>
      </c>
      <c r="W89" s="95">
        <f t="shared" si="13"/>
        <v>1729.84</v>
      </c>
      <c r="X89" s="95">
        <f t="shared" si="13"/>
        <v>1628.6399999999999</v>
      </c>
      <c r="Y89" s="95">
        <f t="shared" si="13"/>
        <v>1629.54</v>
      </c>
      <c r="Z89" s="95">
        <f t="shared" si="13"/>
        <v>1632.2400000000002</v>
      </c>
      <c r="AA89" s="95">
        <f t="shared" si="13"/>
        <v>1788.04</v>
      </c>
      <c r="AB89" s="95">
        <f t="shared" si="13"/>
        <v>1889.14</v>
      </c>
      <c r="AC89" s="95">
        <f t="shared" si="13"/>
        <v>1892.44</v>
      </c>
      <c r="AD89" s="95">
        <f t="shared" si="13"/>
        <v>1931.94</v>
      </c>
      <c r="AE89" s="95">
        <f t="shared" si="13"/>
        <v>1890.84</v>
      </c>
      <c r="AF89" s="95">
        <f t="shared" si="13"/>
        <v>1861.44</v>
      </c>
      <c r="AG89" s="61">
        <f t="shared" si="13"/>
        <v>2111.5500000000002</v>
      </c>
      <c r="AH89" s="47">
        <f t="shared" si="10"/>
        <v>1931.94</v>
      </c>
      <c r="AI89" s="48">
        <f t="shared" si="11"/>
        <v>3.54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>
        <v>50</v>
      </c>
      <c r="T90" s="97">
        <v>50</v>
      </c>
      <c r="U90" s="97">
        <v>50</v>
      </c>
      <c r="V90" s="97">
        <v>50</v>
      </c>
      <c r="W90" s="97">
        <v>50</v>
      </c>
      <c r="X90" s="97">
        <v>50</v>
      </c>
      <c r="Y90" s="97">
        <v>50</v>
      </c>
      <c r="Z90" s="97">
        <v>50</v>
      </c>
      <c r="AA90" s="97">
        <v>50</v>
      </c>
      <c r="AB90" s="97">
        <v>50</v>
      </c>
      <c r="AC90" s="97">
        <v>50</v>
      </c>
      <c r="AD90" s="97">
        <v>50</v>
      </c>
      <c r="AE90" s="97">
        <v>50</v>
      </c>
      <c r="AF90" s="97">
        <v>50</v>
      </c>
      <c r="AG90" s="88"/>
      <c r="AH90" s="47">
        <f t="shared" si="10"/>
        <v>50</v>
      </c>
      <c r="AI90" s="48">
        <f t="shared" si="11"/>
        <v>50</v>
      </c>
    </row>
    <row r="91" spans="1:40" ht="15.75" thickBot="1" x14ac:dyDescent="0.3">
      <c r="A91" s="74" t="s">
        <v>100</v>
      </c>
      <c r="B91" s="95">
        <f t="shared" ref="B91:AF91" si="14">B89+B90</f>
        <v>1831.44</v>
      </c>
      <c r="C91" s="95">
        <f t="shared" si="14"/>
        <v>3.54</v>
      </c>
      <c r="D91" s="95">
        <f t="shared" si="14"/>
        <v>1815.94</v>
      </c>
      <c r="E91" s="95">
        <f t="shared" si="14"/>
        <v>1871.44</v>
      </c>
      <c r="F91" s="95">
        <f t="shared" si="14"/>
        <v>1839.8400000000001</v>
      </c>
      <c r="G91" s="95">
        <f t="shared" si="14"/>
        <v>1776.44</v>
      </c>
      <c r="H91" s="95">
        <f t="shared" si="14"/>
        <v>1736.7400000000002</v>
      </c>
      <c r="I91" s="95">
        <f t="shared" si="14"/>
        <v>1640.3400000000001</v>
      </c>
      <c r="J91" s="95">
        <f t="shared" si="14"/>
        <v>1675.3400000000001</v>
      </c>
      <c r="K91" s="95">
        <f t="shared" si="14"/>
        <v>1679.7400000000002</v>
      </c>
      <c r="L91" s="95">
        <f t="shared" si="14"/>
        <v>1661.3400000000001</v>
      </c>
      <c r="M91" s="95">
        <f t="shared" si="14"/>
        <v>1594.0400000000002</v>
      </c>
      <c r="N91" s="95">
        <f t="shared" si="14"/>
        <v>1720.1399999999999</v>
      </c>
      <c r="O91" s="95">
        <f t="shared" si="14"/>
        <v>1771.34</v>
      </c>
      <c r="P91" s="95">
        <f t="shared" si="14"/>
        <v>1830.84</v>
      </c>
      <c r="Q91" s="95">
        <f t="shared" si="14"/>
        <v>1875.24</v>
      </c>
      <c r="R91" s="95">
        <f t="shared" si="14"/>
        <v>1907.44</v>
      </c>
      <c r="S91" s="95">
        <f t="shared" si="14"/>
        <v>1938.7400000000002</v>
      </c>
      <c r="T91" s="95">
        <f t="shared" si="14"/>
        <v>1911.44</v>
      </c>
      <c r="U91" s="95">
        <f t="shared" si="14"/>
        <v>1809.0400000000002</v>
      </c>
      <c r="V91" s="95">
        <f t="shared" si="14"/>
        <v>1764.84</v>
      </c>
      <c r="W91" s="95">
        <f t="shared" si="14"/>
        <v>1779.84</v>
      </c>
      <c r="X91" s="95">
        <f t="shared" si="14"/>
        <v>1678.6399999999999</v>
      </c>
      <c r="Y91" s="95">
        <f t="shared" si="14"/>
        <v>1679.54</v>
      </c>
      <c r="Z91" s="95">
        <f t="shared" si="14"/>
        <v>1682.2400000000002</v>
      </c>
      <c r="AA91" s="95">
        <f t="shared" si="14"/>
        <v>1838.04</v>
      </c>
      <c r="AB91" s="95">
        <f t="shared" si="14"/>
        <v>1939.14</v>
      </c>
      <c r="AC91" s="95">
        <f t="shared" si="14"/>
        <v>1942.44</v>
      </c>
      <c r="AD91" s="95">
        <f t="shared" si="14"/>
        <v>1981.94</v>
      </c>
      <c r="AE91" s="95">
        <f t="shared" si="14"/>
        <v>1940.84</v>
      </c>
      <c r="AF91" s="95">
        <f t="shared" si="14"/>
        <v>1911.44</v>
      </c>
      <c r="AG91" s="88">
        <f>AG88+AG84+AG72+AG68+AG50+AG90</f>
        <v>1573.45</v>
      </c>
      <c r="AH91" s="47">
        <f t="shared" si="10"/>
        <v>1981.94</v>
      </c>
      <c r="AI91" s="48">
        <f t="shared" si="11"/>
        <v>3.54</v>
      </c>
    </row>
    <row r="92" spans="1:40" ht="15.75" thickBot="1" x14ac:dyDescent="0.3">
      <c r="A92" s="74" t="s">
        <v>101</v>
      </c>
      <c r="B92" s="95">
        <f t="shared" ref="B92:AF92" si="15">B91-B99</f>
        <v>1831.44</v>
      </c>
      <c r="C92" s="95">
        <f t="shared" si="15"/>
        <v>3.54</v>
      </c>
      <c r="D92" s="95">
        <f t="shared" si="15"/>
        <v>1815.94</v>
      </c>
      <c r="E92" s="95">
        <f t="shared" si="15"/>
        <v>1871.44</v>
      </c>
      <c r="F92" s="95">
        <f t="shared" si="15"/>
        <v>1839.8400000000001</v>
      </c>
      <c r="G92" s="95">
        <f t="shared" si="15"/>
        <v>1776.44</v>
      </c>
      <c r="H92" s="95">
        <f t="shared" si="15"/>
        <v>1736.7400000000002</v>
      </c>
      <c r="I92" s="95">
        <f t="shared" si="15"/>
        <v>1640.3400000000001</v>
      </c>
      <c r="J92" s="95">
        <f t="shared" si="15"/>
        <v>1675.3400000000001</v>
      </c>
      <c r="K92" s="95">
        <f t="shared" si="15"/>
        <v>1679.7400000000002</v>
      </c>
      <c r="L92" s="95">
        <f t="shared" si="15"/>
        <v>1661.3400000000001</v>
      </c>
      <c r="M92" s="95">
        <f t="shared" si="15"/>
        <v>1594.0400000000002</v>
      </c>
      <c r="N92" s="95">
        <f t="shared" si="15"/>
        <v>1720.1399999999999</v>
      </c>
      <c r="O92" s="95">
        <f t="shared" si="15"/>
        <v>1771.34</v>
      </c>
      <c r="P92" s="95">
        <f t="shared" si="15"/>
        <v>1830.84</v>
      </c>
      <c r="Q92" s="95">
        <f t="shared" si="15"/>
        <v>1875.24</v>
      </c>
      <c r="R92" s="95">
        <f t="shared" si="15"/>
        <v>1907.44</v>
      </c>
      <c r="S92" s="95">
        <f t="shared" si="15"/>
        <v>1938.7400000000002</v>
      </c>
      <c r="T92" s="95">
        <f t="shared" si="15"/>
        <v>1911.44</v>
      </c>
      <c r="U92" s="95">
        <f t="shared" si="15"/>
        <v>1809.0400000000002</v>
      </c>
      <c r="V92" s="95">
        <f t="shared" si="15"/>
        <v>1764.84</v>
      </c>
      <c r="W92" s="95">
        <f t="shared" si="15"/>
        <v>1779.84</v>
      </c>
      <c r="X92" s="95">
        <f t="shared" si="15"/>
        <v>1678.6399999999999</v>
      </c>
      <c r="Y92" s="95">
        <f t="shared" si="15"/>
        <v>1679.54</v>
      </c>
      <c r="Z92" s="95">
        <f t="shared" si="15"/>
        <v>1682.2400000000002</v>
      </c>
      <c r="AA92" s="95">
        <f t="shared" si="15"/>
        <v>1838.04</v>
      </c>
      <c r="AB92" s="95">
        <f t="shared" si="15"/>
        <v>1939.14</v>
      </c>
      <c r="AC92" s="95">
        <f t="shared" si="15"/>
        <v>1942.44</v>
      </c>
      <c r="AD92" s="95">
        <f t="shared" si="15"/>
        <v>1981.94</v>
      </c>
      <c r="AE92" s="95">
        <f t="shared" si="15"/>
        <v>1940.84</v>
      </c>
      <c r="AF92" s="95">
        <f t="shared" si="15"/>
        <v>1911.44</v>
      </c>
      <c r="AG92" s="88"/>
      <c r="AH92" s="47">
        <f t="shared" si="10"/>
        <v>1981.94</v>
      </c>
      <c r="AI92" s="48">
        <f t="shared" si="11"/>
        <v>3.54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0"/>
        <v>0</v>
      </c>
      <c r="AI93" s="48">
        <f t="shared" si="11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0"/>
        <v>0</v>
      </c>
      <c r="AI94" s="48">
        <f t="shared" si="11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0"/>
        <v>0</v>
      </c>
      <c r="AI95" s="48">
        <f t="shared" si="11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0"/>
        <v>0</v>
      </c>
      <c r="AI96" s="48">
        <f t="shared" si="11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0"/>
        <v>0</v>
      </c>
      <c r="AI97" s="48">
        <f t="shared" si="11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0"/>
        <v>0</v>
      </c>
      <c r="AI98" s="48">
        <f t="shared" si="11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10"/>
        <v>0</v>
      </c>
      <c r="AI99" s="48">
        <f t="shared" si="11"/>
        <v>0</v>
      </c>
      <c r="AK99" s="49"/>
    </row>
    <row r="100" spans="1:37" ht="15.75" thickBot="1" x14ac:dyDescent="0.3">
      <c r="A100" s="74" t="s">
        <v>106</v>
      </c>
      <c r="B100" s="60">
        <f t="shared" ref="B100:AF100" si="16">B84-B99</f>
        <v>55</v>
      </c>
      <c r="C100" s="60">
        <f t="shared" si="16"/>
        <v>0</v>
      </c>
      <c r="D100" s="60">
        <f t="shared" si="16"/>
        <v>86</v>
      </c>
      <c r="E100" s="60">
        <f t="shared" si="16"/>
        <v>83</v>
      </c>
      <c r="F100" s="60">
        <f t="shared" si="16"/>
        <v>73</v>
      </c>
      <c r="G100" s="60">
        <f t="shared" si="16"/>
        <v>42</v>
      </c>
      <c r="H100" s="60">
        <f t="shared" si="16"/>
        <v>44.4</v>
      </c>
      <c r="I100" s="60">
        <f t="shared" si="16"/>
        <v>32</v>
      </c>
      <c r="J100" s="60">
        <f t="shared" si="16"/>
        <v>37</v>
      </c>
      <c r="K100" s="60">
        <f t="shared" si="16"/>
        <v>71.400000000000006</v>
      </c>
      <c r="L100" s="60">
        <f t="shared" si="16"/>
        <v>66</v>
      </c>
      <c r="M100" s="60">
        <f t="shared" si="16"/>
        <v>70.3</v>
      </c>
      <c r="N100" s="60">
        <f t="shared" si="16"/>
        <v>68.900000000000006</v>
      </c>
      <c r="O100" s="60">
        <f t="shared" si="16"/>
        <v>81.8</v>
      </c>
      <c r="P100" s="60">
        <f t="shared" si="16"/>
        <v>86.8</v>
      </c>
      <c r="Q100" s="60">
        <f t="shared" si="16"/>
        <v>89</v>
      </c>
      <c r="R100" s="60">
        <f t="shared" si="16"/>
        <v>93</v>
      </c>
      <c r="S100" s="60">
        <f t="shared" si="16"/>
        <v>93.4</v>
      </c>
      <c r="T100" s="60">
        <f t="shared" si="16"/>
        <v>79.599999999999994</v>
      </c>
      <c r="U100" s="60">
        <f t="shared" si="16"/>
        <v>71.5</v>
      </c>
      <c r="V100" s="60">
        <f t="shared" si="16"/>
        <v>76</v>
      </c>
      <c r="W100" s="60">
        <f t="shared" si="16"/>
        <v>76</v>
      </c>
      <c r="X100" s="60">
        <f t="shared" si="16"/>
        <v>79.8</v>
      </c>
      <c r="Y100" s="60">
        <f t="shared" si="16"/>
        <v>67.3</v>
      </c>
      <c r="Z100" s="60">
        <f t="shared" si="16"/>
        <v>77.400000000000006</v>
      </c>
      <c r="AA100" s="60">
        <f t="shared" si="16"/>
        <v>79</v>
      </c>
      <c r="AB100" s="60">
        <f t="shared" si="16"/>
        <v>79.2</v>
      </c>
      <c r="AC100" s="60">
        <f t="shared" si="16"/>
        <v>75</v>
      </c>
      <c r="AD100" s="60">
        <f t="shared" si="16"/>
        <v>75</v>
      </c>
      <c r="AE100" s="60">
        <f t="shared" si="16"/>
        <v>75</v>
      </c>
      <c r="AF100" s="60">
        <f t="shared" si="16"/>
        <v>74</v>
      </c>
      <c r="AG100" s="88"/>
      <c r="AH100" s="47">
        <f t="shared" si="10"/>
        <v>93.4</v>
      </c>
      <c r="AI100" s="48">
        <f t="shared" si="11"/>
        <v>0</v>
      </c>
    </row>
    <row r="101" spans="1:37" x14ac:dyDescent="0.25">
      <c r="A101" s="100" t="s">
        <v>107</v>
      </c>
      <c r="B101" s="101">
        <v>49.962000000000003</v>
      </c>
      <c r="C101" s="101"/>
      <c r="D101" s="101">
        <v>50.067999999999998</v>
      </c>
      <c r="E101" s="101">
        <v>50.002000000000002</v>
      </c>
      <c r="F101" s="101">
        <v>50.002000000000002</v>
      </c>
      <c r="G101" s="101">
        <v>49.970999999999997</v>
      </c>
      <c r="H101" s="101">
        <v>49.975000000000001</v>
      </c>
      <c r="I101" s="101">
        <v>49.875</v>
      </c>
      <c r="J101" s="101">
        <v>49.963000000000001</v>
      </c>
      <c r="K101" s="101">
        <v>49.994999999999997</v>
      </c>
      <c r="L101" s="101">
        <v>50.058</v>
      </c>
      <c r="M101" s="101">
        <v>50.121000000000002</v>
      </c>
      <c r="N101" s="101">
        <v>50.046999999999997</v>
      </c>
      <c r="O101" s="101">
        <v>50.085999999999999</v>
      </c>
      <c r="P101" s="101">
        <v>50.04</v>
      </c>
      <c r="Q101" s="101">
        <v>49.987000000000002</v>
      </c>
      <c r="R101" s="101">
        <v>50.042999999999999</v>
      </c>
      <c r="S101" s="101">
        <v>50.073</v>
      </c>
      <c r="T101" s="101">
        <v>49.939</v>
      </c>
      <c r="U101" s="101">
        <v>49.954999999999998</v>
      </c>
      <c r="V101" s="101">
        <v>50.084000000000003</v>
      </c>
      <c r="W101" s="101">
        <v>50.084000000000003</v>
      </c>
      <c r="X101" s="101">
        <v>50.084000000000003</v>
      </c>
      <c r="Y101" s="101">
        <v>49.994999999999997</v>
      </c>
      <c r="Z101" s="101">
        <v>50.04</v>
      </c>
      <c r="AA101" s="101">
        <v>50.052999999999997</v>
      </c>
      <c r="AB101" s="101">
        <v>50.03</v>
      </c>
      <c r="AC101" s="101">
        <v>50.1</v>
      </c>
      <c r="AD101" s="101">
        <v>50</v>
      </c>
      <c r="AE101" s="101">
        <v>49.97</v>
      </c>
      <c r="AF101" s="101">
        <v>50</v>
      </c>
      <c r="AG101" s="102"/>
      <c r="AH101" s="47">
        <f t="shared" si="10"/>
        <v>50.121000000000002</v>
      </c>
      <c r="AI101" s="48">
        <f t="shared" si="11"/>
        <v>49.875</v>
      </c>
    </row>
    <row r="102" spans="1:37" x14ac:dyDescent="0.25">
      <c r="A102" s="103" t="s">
        <v>108</v>
      </c>
      <c r="B102" s="65">
        <v>120.4</v>
      </c>
      <c r="C102" s="65"/>
      <c r="D102" s="65">
        <v>124.9</v>
      </c>
      <c r="E102" s="65">
        <v>123.3</v>
      </c>
      <c r="F102" s="65">
        <v>123.3</v>
      </c>
      <c r="G102" s="65">
        <v>123.3</v>
      </c>
      <c r="H102" s="65">
        <v>122</v>
      </c>
      <c r="I102" s="65">
        <v>122.1</v>
      </c>
      <c r="J102" s="65">
        <v>119.4</v>
      </c>
      <c r="K102" s="65">
        <v>120</v>
      </c>
      <c r="L102" s="65">
        <v>119.5</v>
      </c>
      <c r="M102" s="65">
        <v>121.3</v>
      </c>
      <c r="N102" s="65">
        <v>122.8</v>
      </c>
      <c r="O102" s="65">
        <v>118.8</v>
      </c>
      <c r="P102" s="65">
        <v>118.8</v>
      </c>
      <c r="Q102" s="65">
        <v>118.5</v>
      </c>
      <c r="R102" s="65">
        <v>118.5</v>
      </c>
      <c r="S102" s="65">
        <v>121.2</v>
      </c>
      <c r="T102" s="65">
        <v>120.5</v>
      </c>
      <c r="U102" s="65">
        <v>124.5</v>
      </c>
      <c r="V102" s="65">
        <v>124.4</v>
      </c>
      <c r="W102" s="65">
        <v>124.4</v>
      </c>
      <c r="X102" s="65">
        <v>124.4</v>
      </c>
      <c r="Y102" s="65">
        <v>124.7</v>
      </c>
      <c r="Z102" s="65">
        <v>126.3</v>
      </c>
      <c r="AA102" s="65">
        <v>124.7</v>
      </c>
      <c r="AB102" s="65">
        <v>124</v>
      </c>
      <c r="AC102" s="65">
        <v>123.5</v>
      </c>
      <c r="AD102" s="65">
        <v>123.5</v>
      </c>
      <c r="AE102" s="65">
        <v>123.5</v>
      </c>
      <c r="AF102" s="65">
        <v>119</v>
      </c>
      <c r="AG102" s="104"/>
      <c r="AH102" s="47">
        <f t="shared" si="10"/>
        <v>126.3</v>
      </c>
      <c r="AI102" s="48">
        <f t="shared" si="11"/>
        <v>118.5</v>
      </c>
    </row>
    <row r="103" spans="1:37" x14ac:dyDescent="0.25">
      <c r="A103" s="103" t="s">
        <v>109</v>
      </c>
      <c r="B103" s="65">
        <v>126.5</v>
      </c>
      <c r="C103" s="65"/>
      <c r="D103" s="65">
        <v>128.80000000000001</v>
      </c>
      <c r="E103" s="65">
        <v>128.80000000000001</v>
      </c>
      <c r="F103" s="65">
        <v>127.7</v>
      </c>
      <c r="G103" s="65">
        <v>127.5</v>
      </c>
      <c r="H103" s="65">
        <v>126.5</v>
      </c>
      <c r="I103" s="65">
        <v>126</v>
      </c>
      <c r="J103" s="65">
        <v>124.3</v>
      </c>
      <c r="K103" s="65">
        <v>124.2</v>
      </c>
      <c r="L103" s="65">
        <v>124.2</v>
      </c>
      <c r="M103" s="65">
        <v>125</v>
      </c>
      <c r="N103" s="65">
        <v>126.1</v>
      </c>
      <c r="O103" s="65">
        <v>123.6</v>
      </c>
      <c r="P103" s="65">
        <v>123.6</v>
      </c>
      <c r="Q103" s="65">
        <v>123.6</v>
      </c>
      <c r="R103" s="65">
        <v>123.6</v>
      </c>
      <c r="S103" s="65">
        <v>125</v>
      </c>
      <c r="T103" s="65">
        <v>124.6</v>
      </c>
      <c r="U103" s="65">
        <v>127.2</v>
      </c>
      <c r="V103" s="65">
        <v>127.5</v>
      </c>
      <c r="W103" s="65">
        <v>127.5</v>
      </c>
      <c r="X103" s="65">
        <v>127.5</v>
      </c>
      <c r="Y103" s="65">
        <v>127.7</v>
      </c>
      <c r="Z103" s="65">
        <v>129.30000000000001</v>
      </c>
      <c r="AA103" s="65">
        <v>127.1</v>
      </c>
      <c r="AB103" s="65">
        <v>127.5</v>
      </c>
      <c r="AC103" s="65">
        <v>127.7</v>
      </c>
      <c r="AD103" s="65">
        <v>127.7</v>
      </c>
      <c r="AE103" s="65">
        <v>127.7</v>
      </c>
      <c r="AF103" s="65">
        <v>125.6</v>
      </c>
      <c r="AG103" s="104"/>
      <c r="AH103" s="47">
        <f t="shared" si="10"/>
        <v>129.30000000000001</v>
      </c>
      <c r="AI103" s="48">
        <f t="shared" si="11"/>
        <v>123.6</v>
      </c>
    </row>
    <row r="104" spans="1:37" x14ac:dyDescent="0.25">
      <c r="A104" s="103" t="s">
        <v>110</v>
      </c>
      <c r="B104" s="65">
        <v>126.1</v>
      </c>
      <c r="C104" s="65"/>
      <c r="D104" s="65">
        <v>127.3</v>
      </c>
      <c r="E104" s="65">
        <v>127.3</v>
      </c>
      <c r="F104" s="65">
        <v>130.4</v>
      </c>
      <c r="G104" s="65">
        <v>130</v>
      </c>
      <c r="H104" s="65">
        <v>131.80000000000001</v>
      </c>
      <c r="I104" s="65">
        <v>127</v>
      </c>
      <c r="J104" s="65">
        <v>131.4</v>
      </c>
      <c r="K104" s="65">
        <v>129.6</v>
      </c>
      <c r="L104" s="65">
        <v>128.4</v>
      </c>
      <c r="M104" s="65">
        <v>130.80000000000001</v>
      </c>
      <c r="N104" s="65">
        <v>127.9</v>
      </c>
      <c r="O104" s="65">
        <v>128.6</v>
      </c>
      <c r="P104" s="65">
        <v>128.6</v>
      </c>
      <c r="Q104" s="65">
        <v>128.6</v>
      </c>
      <c r="R104" s="65">
        <v>128.6</v>
      </c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104"/>
      <c r="AH104" s="47">
        <f t="shared" si="10"/>
        <v>131.80000000000001</v>
      </c>
      <c r="AI104" s="48">
        <f t="shared" si="11"/>
        <v>126.1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10"/>
        <v>0</v>
      </c>
      <c r="AI105" s="48">
        <f t="shared" si="11"/>
        <v>0</v>
      </c>
    </row>
    <row r="106" spans="1:37" x14ac:dyDescent="0.25">
      <c r="A106" s="105" t="s">
        <v>112</v>
      </c>
      <c r="B106" s="106">
        <v>127.7</v>
      </c>
      <c r="C106" s="106"/>
      <c r="D106" s="106">
        <v>123.6</v>
      </c>
      <c r="E106" s="106">
        <v>123.6</v>
      </c>
      <c r="F106" s="106">
        <v>131.19999999999999</v>
      </c>
      <c r="G106" s="106">
        <v>131.1</v>
      </c>
      <c r="H106" s="106">
        <v>127.5</v>
      </c>
      <c r="I106" s="106">
        <v>130</v>
      </c>
      <c r="J106" s="106">
        <v>128.19999999999999</v>
      </c>
      <c r="K106" s="106">
        <v>132.1</v>
      </c>
      <c r="L106" s="106">
        <v>133</v>
      </c>
      <c r="M106" s="106">
        <v>130.9</v>
      </c>
      <c r="N106" s="106">
        <v>130.4</v>
      </c>
      <c r="O106" s="106">
        <v>131</v>
      </c>
      <c r="P106" s="106">
        <v>131</v>
      </c>
      <c r="Q106" s="106">
        <v>131</v>
      </c>
      <c r="R106" s="106">
        <v>131</v>
      </c>
      <c r="S106" s="106">
        <v>132.80000000000001</v>
      </c>
      <c r="T106" s="106">
        <v>131.30000000000001</v>
      </c>
      <c r="U106" s="106">
        <v>131.6</v>
      </c>
      <c r="V106" s="106">
        <v>131.30000000000001</v>
      </c>
      <c r="W106" s="106">
        <v>131.30000000000001</v>
      </c>
      <c r="X106" s="106">
        <v>131.30000000000001</v>
      </c>
      <c r="Y106" s="106">
        <v>131.5</v>
      </c>
      <c r="Z106" s="106">
        <v>132.9</v>
      </c>
      <c r="AA106" s="106">
        <v>129.30000000000001</v>
      </c>
      <c r="AB106" s="106">
        <v>130.9</v>
      </c>
      <c r="AC106" s="106">
        <v>131.69999999999999</v>
      </c>
      <c r="AD106" s="106">
        <v>131.69999999999999</v>
      </c>
      <c r="AE106" s="106">
        <v>131.69999999999999</v>
      </c>
      <c r="AF106" s="106">
        <v>130</v>
      </c>
      <c r="AG106" s="107"/>
      <c r="AH106" s="47">
        <f t="shared" si="10"/>
        <v>133</v>
      </c>
      <c r="AI106" s="48">
        <f t="shared" si="11"/>
        <v>123.6</v>
      </c>
    </row>
    <row r="107" spans="1:37" x14ac:dyDescent="0.25">
      <c r="A107" s="103" t="s">
        <v>113</v>
      </c>
      <c r="B107" s="65">
        <v>128.6</v>
      </c>
      <c r="C107" s="65"/>
      <c r="D107" s="65">
        <v>125</v>
      </c>
      <c r="E107" s="65">
        <v>125</v>
      </c>
      <c r="F107" s="65">
        <v>133.5</v>
      </c>
      <c r="G107" s="65">
        <v>132.6</v>
      </c>
      <c r="H107" s="65">
        <v>124.6</v>
      </c>
      <c r="I107" s="65">
        <v>128</v>
      </c>
      <c r="J107" s="65">
        <v>124.9</v>
      </c>
      <c r="K107" s="65">
        <v>123.5</v>
      </c>
      <c r="L107" s="65">
        <v>128.30000000000001</v>
      </c>
      <c r="M107" s="65">
        <v>129.69999999999999</v>
      </c>
      <c r="N107" s="65">
        <v>122.5</v>
      </c>
      <c r="O107" s="65">
        <v>124.4</v>
      </c>
      <c r="P107" s="65">
        <v>124.4</v>
      </c>
      <c r="Q107" s="65">
        <v>124.4</v>
      </c>
      <c r="R107" s="65">
        <v>124.4</v>
      </c>
      <c r="S107" s="65">
        <v>132.30000000000001</v>
      </c>
      <c r="T107" s="65">
        <v>129.19999999999999</v>
      </c>
      <c r="U107" s="65">
        <v>134.4</v>
      </c>
      <c r="V107" s="65">
        <v>130.6</v>
      </c>
      <c r="W107" s="65">
        <v>130.6</v>
      </c>
      <c r="X107" s="65">
        <v>130.6</v>
      </c>
      <c r="Y107" s="65">
        <v>129.69999999999999</v>
      </c>
      <c r="Z107" s="65">
        <v>132.1</v>
      </c>
      <c r="AA107" s="65">
        <v>129.5</v>
      </c>
      <c r="AB107" s="65">
        <v>131.19999999999999</v>
      </c>
      <c r="AC107" s="65">
        <v>131</v>
      </c>
      <c r="AD107" s="65">
        <v>131</v>
      </c>
      <c r="AE107" s="65">
        <v>131</v>
      </c>
      <c r="AF107" s="65">
        <v>131</v>
      </c>
      <c r="AG107" s="104"/>
      <c r="AH107" s="47">
        <f t="shared" si="10"/>
        <v>134.4</v>
      </c>
      <c r="AI107" s="48">
        <f t="shared" si="11"/>
        <v>122.5</v>
      </c>
    </row>
    <row r="108" spans="1:37" ht="15.75" thickBot="1" x14ac:dyDescent="0.3">
      <c r="A108" s="103" t="s">
        <v>114</v>
      </c>
      <c r="B108" s="92">
        <v>63.7</v>
      </c>
      <c r="C108" s="92"/>
      <c r="D108" s="92">
        <v>64.599999999999994</v>
      </c>
      <c r="E108" s="92">
        <v>64.599999999999994</v>
      </c>
      <c r="F108" s="92">
        <v>63.7</v>
      </c>
      <c r="G108" s="92">
        <v>63.7</v>
      </c>
      <c r="H108" s="92">
        <v>63.5</v>
      </c>
      <c r="I108" s="92">
        <v>63.1</v>
      </c>
      <c r="J108" s="92">
        <v>62.2</v>
      </c>
      <c r="K108" s="92">
        <v>62.4</v>
      </c>
      <c r="L108" s="92">
        <v>62.2</v>
      </c>
      <c r="M108" s="92">
        <v>63.1</v>
      </c>
      <c r="N108" s="92">
        <v>62.6</v>
      </c>
      <c r="O108" s="92">
        <v>61.8</v>
      </c>
      <c r="P108" s="92">
        <v>61.8</v>
      </c>
      <c r="Q108" s="92">
        <v>61.4</v>
      </c>
      <c r="R108" s="92">
        <v>61.4</v>
      </c>
      <c r="S108" s="92">
        <v>62.6</v>
      </c>
      <c r="T108" s="92">
        <v>62.1</v>
      </c>
      <c r="U108" s="92">
        <v>63.4</v>
      </c>
      <c r="V108" s="92">
        <v>63.8</v>
      </c>
      <c r="W108" s="92">
        <v>63.8</v>
      </c>
      <c r="X108" s="92">
        <v>63.8</v>
      </c>
      <c r="Y108" s="92">
        <v>64.2</v>
      </c>
      <c r="Z108" s="92">
        <v>64.8</v>
      </c>
      <c r="AA108" s="92">
        <v>63.9</v>
      </c>
      <c r="AB108" s="92">
        <v>64.2</v>
      </c>
      <c r="AC108" s="92">
        <v>64.2</v>
      </c>
      <c r="AD108" s="92">
        <v>64.2</v>
      </c>
      <c r="AE108" s="92">
        <v>64.2</v>
      </c>
      <c r="AF108" s="92">
        <v>63.4</v>
      </c>
      <c r="AG108" s="108"/>
      <c r="AH108" s="47">
        <f t="shared" si="10"/>
        <v>64.8</v>
      </c>
      <c r="AI108" s="48">
        <f t="shared" si="11"/>
        <v>61.4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0"/>
        <v>0</v>
      </c>
      <c r="AI109" s="48">
        <f t="shared" si="11"/>
        <v>0</v>
      </c>
    </row>
    <row r="110" spans="1:37" ht="15.75" thickBot="1" x14ac:dyDescent="0.3">
      <c r="A110" s="110" t="s">
        <v>116</v>
      </c>
      <c r="B110" s="111">
        <f t="shared" ref="B110:O110" si="17">SUM(B20,B26,B29:B30,B58,B60:B61,B63,B65,B111:B115,B138,B144,B150,B159,B161,B173,B180,B183:B184,B191,B193,B195,B199:B201,B203:B205,B210,B216:B217,B219:B221,B229,B234)</f>
        <v>108.5</v>
      </c>
      <c r="C110" s="111">
        <f t="shared" si="17"/>
        <v>0.94</v>
      </c>
      <c r="D110" s="111">
        <f t="shared" si="17"/>
        <v>65.64</v>
      </c>
      <c r="E110" s="111">
        <f t="shared" si="17"/>
        <v>78.039999999999978</v>
      </c>
      <c r="F110" s="111">
        <f t="shared" si="17"/>
        <v>61.840000000000011</v>
      </c>
      <c r="G110" s="111">
        <f t="shared" si="17"/>
        <v>85.04</v>
      </c>
      <c r="H110" s="111">
        <f t="shared" si="17"/>
        <v>99.84</v>
      </c>
      <c r="I110" s="111">
        <f t="shared" si="17"/>
        <v>159.84</v>
      </c>
      <c r="J110" s="111">
        <f t="shared" si="17"/>
        <v>164.54000000000002</v>
      </c>
      <c r="K110" s="111">
        <f t="shared" si="17"/>
        <v>186.84</v>
      </c>
      <c r="L110" s="111">
        <f t="shared" si="17"/>
        <v>198.34</v>
      </c>
      <c r="M110" s="111">
        <f t="shared" si="17"/>
        <v>188.04000000000002</v>
      </c>
      <c r="N110" s="111">
        <f t="shared" si="17"/>
        <v>171.14</v>
      </c>
      <c r="O110" s="111">
        <f t="shared" si="17"/>
        <v>209.34000000000003</v>
      </c>
      <c r="P110" s="111">
        <v>42</v>
      </c>
      <c r="Q110" s="111">
        <f t="shared" ref="Q110:AF110" si="18">SUM(Q20,Q26,Q29:Q30,Q58,Q60:Q61,Q63,Q65,Q111:Q115,Q138,Q144,Q150,Q159,Q161,Q173,Q180,Q183:Q184,Q191,Q193,Q195,Q199:Q201,Q203:Q205,Q210,Q216:Q217,Q219:Q221,Q229,Q234)</f>
        <v>213.39999999999998</v>
      </c>
      <c r="R110" s="111">
        <f t="shared" si="18"/>
        <v>213.39999999999998</v>
      </c>
      <c r="S110" s="111">
        <f t="shared" si="18"/>
        <v>240.40000000000003</v>
      </c>
      <c r="T110" s="111">
        <f t="shared" si="18"/>
        <v>222.39999999999998</v>
      </c>
      <c r="U110" s="111">
        <f t="shared" si="18"/>
        <v>220.8</v>
      </c>
      <c r="V110" s="111">
        <f t="shared" si="18"/>
        <v>218.8</v>
      </c>
      <c r="W110" s="111">
        <f t="shared" si="18"/>
        <v>218.8</v>
      </c>
      <c r="X110" s="111">
        <f t="shared" si="18"/>
        <v>205.29999999999998</v>
      </c>
      <c r="Y110" s="111">
        <f t="shared" si="18"/>
        <v>260.80000000000007</v>
      </c>
      <c r="Z110" s="111">
        <f t="shared" si="18"/>
        <v>248.90000000000003</v>
      </c>
      <c r="AA110" s="111">
        <f t="shared" si="18"/>
        <v>317.10000000000002</v>
      </c>
      <c r="AB110" s="111">
        <f t="shared" si="18"/>
        <v>270.10000000000002</v>
      </c>
      <c r="AC110" s="111">
        <f t="shared" si="18"/>
        <v>250.3</v>
      </c>
      <c r="AD110" s="111"/>
      <c r="AE110" s="111">
        <f t="shared" si="18"/>
        <v>126.70000000000002</v>
      </c>
      <c r="AF110" s="111">
        <f t="shared" si="18"/>
        <v>103.5</v>
      </c>
      <c r="AG110" s="112"/>
      <c r="AH110" s="47">
        <f t="shared" si="10"/>
        <v>317.10000000000002</v>
      </c>
      <c r="AI110" s="48">
        <f t="shared" si="11"/>
        <v>0.94</v>
      </c>
    </row>
    <row r="111" spans="1:37" x14ac:dyDescent="0.25">
      <c r="A111" s="100" t="s">
        <v>117</v>
      </c>
      <c r="B111" s="113">
        <v>28.1</v>
      </c>
      <c r="C111" s="113"/>
      <c r="D111" s="113">
        <v>14.2</v>
      </c>
      <c r="E111" s="113">
        <v>19.7</v>
      </c>
      <c r="F111" s="113">
        <v>19.7</v>
      </c>
      <c r="G111" s="113">
        <v>30</v>
      </c>
      <c r="H111" s="113">
        <v>17</v>
      </c>
      <c r="I111" s="113">
        <v>14</v>
      </c>
      <c r="J111" s="113">
        <v>10.4</v>
      </c>
      <c r="K111" s="113">
        <v>43.4</v>
      </c>
      <c r="L111" s="113">
        <v>31.6</v>
      </c>
      <c r="M111" s="113">
        <v>36</v>
      </c>
      <c r="N111" s="113">
        <v>29.2</v>
      </c>
      <c r="O111" s="113">
        <v>33.9</v>
      </c>
      <c r="P111" s="113">
        <v>26.3</v>
      </c>
      <c r="Q111" s="113">
        <v>29.2</v>
      </c>
      <c r="R111" s="113">
        <v>29.2</v>
      </c>
      <c r="S111" s="113">
        <v>22.4</v>
      </c>
      <c r="T111" s="113">
        <v>26.2</v>
      </c>
      <c r="U111" s="113">
        <v>32.4</v>
      </c>
      <c r="V111" s="113">
        <v>37.299999999999997</v>
      </c>
      <c r="W111" s="113">
        <v>37.299999999999997</v>
      </c>
      <c r="X111" s="113">
        <v>48.7</v>
      </c>
      <c r="Y111" s="113">
        <v>56</v>
      </c>
      <c r="Z111" s="113">
        <v>45</v>
      </c>
      <c r="AA111" s="113">
        <v>36.700000000000003</v>
      </c>
      <c r="AB111" s="113">
        <v>37.799999999999997</v>
      </c>
      <c r="AC111" s="113">
        <v>58</v>
      </c>
      <c r="AD111" s="113">
        <v>58</v>
      </c>
      <c r="AE111" s="113">
        <v>52</v>
      </c>
      <c r="AF111" s="113">
        <v>59</v>
      </c>
      <c r="AG111" s="114">
        <v>75</v>
      </c>
      <c r="AH111" s="47">
        <f t="shared" si="10"/>
        <v>59</v>
      </c>
      <c r="AI111" s="48">
        <f t="shared" si="11"/>
        <v>10.4</v>
      </c>
    </row>
    <row r="112" spans="1:37" x14ac:dyDescent="0.25">
      <c r="A112" s="103" t="s">
        <v>118</v>
      </c>
      <c r="B112" s="115">
        <v>52.7</v>
      </c>
      <c r="C112" s="115"/>
      <c r="D112" s="115">
        <v>31.3</v>
      </c>
      <c r="E112" s="115">
        <v>38.200000000000003</v>
      </c>
      <c r="F112" s="115">
        <v>38.200000000000003</v>
      </c>
      <c r="G112" s="115">
        <v>56</v>
      </c>
      <c r="H112" s="115">
        <v>33</v>
      </c>
      <c r="I112" s="115">
        <v>27</v>
      </c>
      <c r="J112" s="115">
        <v>22</v>
      </c>
      <c r="K112" s="115">
        <v>70.2</v>
      </c>
      <c r="L112" s="115">
        <v>46.9</v>
      </c>
      <c r="M112" s="115">
        <v>52.6</v>
      </c>
      <c r="N112" s="115">
        <v>46.5</v>
      </c>
      <c r="O112" s="115">
        <v>50.6</v>
      </c>
      <c r="P112" s="115">
        <v>42.6</v>
      </c>
      <c r="Q112" s="115">
        <v>47.3</v>
      </c>
      <c r="R112" s="115">
        <v>47.3</v>
      </c>
      <c r="S112" s="115">
        <v>38.299999999999997</v>
      </c>
      <c r="T112" s="115">
        <v>42.2</v>
      </c>
      <c r="U112" s="115">
        <v>49.4</v>
      </c>
      <c r="V112" s="115">
        <v>54.6</v>
      </c>
      <c r="W112" s="115">
        <v>54.6</v>
      </c>
      <c r="X112" s="115">
        <v>70.7</v>
      </c>
      <c r="Y112" s="115">
        <v>81.099999999999994</v>
      </c>
      <c r="Z112" s="115">
        <v>65</v>
      </c>
      <c r="AA112" s="115">
        <v>51.8</v>
      </c>
      <c r="AB112" s="115">
        <v>55.6</v>
      </c>
      <c r="AC112" s="115">
        <v>38</v>
      </c>
      <c r="AD112" s="115">
        <v>38</v>
      </c>
      <c r="AE112" s="115">
        <v>29</v>
      </c>
      <c r="AF112" s="115">
        <v>32</v>
      </c>
      <c r="AG112" s="114">
        <v>240</v>
      </c>
      <c r="AH112" s="47">
        <f t="shared" si="10"/>
        <v>81.099999999999994</v>
      </c>
      <c r="AI112" s="48">
        <f t="shared" si="11"/>
        <v>22</v>
      </c>
    </row>
    <row r="113" spans="1:37" x14ac:dyDescent="0.25">
      <c r="A113" s="103" t="s">
        <v>119</v>
      </c>
      <c r="B113" s="115">
        <v>-166</v>
      </c>
      <c r="C113" s="115"/>
      <c r="D113" s="115">
        <v>-160</v>
      </c>
      <c r="E113" s="115">
        <v>-160</v>
      </c>
      <c r="F113" s="115">
        <v>-150</v>
      </c>
      <c r="G113" s="115">
        <v>-155</v>
      </c>
      <c r="H113" s="115">
        <v>-131</v>
      </c>
      <c r="I113" s="115">
        <v>-93</v>
      </c>
      <c r="J113" s="115">
        <v>-90</v>
      </c>
      <c r="K113" s="115">
        <v>-120</v>
      </c>
      <c r="L113" s="115">
        <v>-98</v>
      </c>
      <c r="M113" s="115">
        <v>-93</v>
      </c>
      <c r="N113" s="115">
        <v>-94</v>
      </c>
      <c r="O113" s="115">
        <v>-96.4</v>
      </c>
      <c r="P113" s="115">
        <v>-97</v>
      </c>
      <c r="Q113" s="115">
        <v>-93.8</v>
      </c>
      <c r="R113" s="115">
        <v>-93.8</v>
      </c>
      <c r="S113" s="115">
        <v>-75</v>
      </c>
      <c r="T113" s="115">
        <v>-92</v>
      </c>
      <c r="U113" s="115">
        <f>-36.7-49.2</f>
        <v>-85.9</v>
      </c>
      <c r="V113" s="115">
        <v>-90</v>
      </c>
      <c r="W113" s="115">
        <v>-90</v>
      </c>
      <c r="X113" s="115">
        <f>-48.6-56.1</f>
        <v>-104.7</v>
      </c>
      <c r="Y113" s="115">
        <v>-97</v>
      </c>
      <c r="Z113" s="115">
        <v>-80</v>
      </c>
      <c r="AA113" s="115">
        <v>-58</v>
      </c>
      <c r="AB113" s="115">
        <f>-52.7-49.9</f>
        <v>-102.6</v>
      </c>
      <c r="AC113" s="115">
        <v>-113</v>
      </c>
      <c r="AD113" s="115">
        <v>-113</v>
      </c>
      <c r="AE113" s="115">
        <v>-160</v>
      </c>
      <c r="AF113" s="115">
        <v>-180</v>
      </c>
      <c r="AG113" s="114">
        <v>240</v>
      </c>
      <c r="AH113" s="47">
        <f t="shared" si="10"/>
        <v>-58</v>
      </c>
      <c r="AI113" s="48">
        <f t="shared" si="11"/>
        <v>-180</v>
      </c>
    </row>
    <row r="114" spans="1:37" x14ac:dyDescent="0.25">
      <c r="A114" s="103" t="s">
        <v>120</v>
      </c>
      <c r="B114" s="115">
        <v>-12.2</v>
      </c>
      <c r="C114" s="115"/>
      <c r="D114" s="115">
        <v>1</v>
      </c>
      <c r="E114" s="115">
        <v>1</v>
      </c>
      <c r="F114" s="115">
        <v>-14</v>
      </c>
      <c r="G114" s="115">
        <v>-14.3</v>
      </c>
      <c r="H114" s="115">
        <v>-12</v>
      </c>
      <c r="I114" s="115">
        <v>-7</v>
      </c>
      <c r="J114" s="115">
        <v>-4.8</v>
      </c>
      <c r="K114" s="115">
        <v>-6</v>
      </c>
      <c r="L114" s="115">
        <v>-3</v>
      </c>
      <c r="M114" s="115">
        <v>1.2</v>
      </c>
      <c r="N114" s="115">
        <v>10.199999999999999</v>
      </c>
      <c r="O114" s="115">
        <v>23.8</v>
      </c>
      <c r="P114" s="115">
        <v>30.9</v>
      </c>
      <c r="Q114" s="115">
        <v>20.100000000000001</v>
      </c>
      <c r="R114" s="115">
        <v>20.100000000000001</v>
      </c>
      <c r="S114" s="115">
        <v>27.4</v>
      </c>
      <c r="T114" s="115">
        <v>29.6</v>
      </c>
      <c r="U114" s="115">
        <v>41.6</v>
      </c>
      <c r="V114" s="115">
        <v>35.9</v>
      </c>
      <c r="W114" s="115">
        <v>35.9</v>
      </c>
      <c r="X114" s="115">
        <v>16.600000000000001</v>
      </c>
      <c r="Y114" s="115">
        <v>33.1</v>
      </c>
      <c r="Z114" s="115">
        <v>39</v>
      </c>
      <c r="AA114" s="115">
        <v>17.399999999999999</v>
      </c>
      <c r="AB114" s="115">
        <v>15.4</v>
      </c>
      <c r="AC114" s="115">
        <v>12</v>
      </c>
      <c r="AD114" s="115">
        <v>12</v>
      </c>
      <c r="AE114" s="115">
        <v>-19</v>
      </c>
      <c r="AF114" s="115">
        <v>-18</v>
      </c>
      <c r="AG114" s="114">
        <v>60</v>
      </c>
      <c r="AH114" s="47">
        <f t="shared" si="10"/>
        <v>41.6</v>
      </c>
      <c r="AI114" s="48">
        <f t="shared" si="11"/>
        <v>-19</v>
      </c>
    </row>
    <row r="115" spans="1:37" x14ac:dyDescent="0.25">
      <c r="A115" s="116" t="s">
        <v>121</v>
      </c>
      <c r="B115" s="117">
        <v>48.9</v>
      </c>
      <c r="C115" s="117"/>
      <c r="D115" s="117">
        <v>21.2</v>
      </c>
      <c r="E115" s="117">
        <v>21.2</v>
      </c>
      <c r="F115" s="117">
        <v>15.6</v>
      </c>
      <c r="G115" s="117">
        <v>16</v>
      </c>
      <c r="H115" s="117">
        <v>55</v>
      </c>
      <c r="I115" s="117">
        <v>81</v>
      </c>
      <c r="J115" s="117">
        <v>89.1</v>
      </c>
      <c r="K115" s="117">
        <v>61.4</v>
      </c>
      <c r="L115" s="117">
        <v>80</v>
      </c>
      <c r="M115" s="117">
        <v>72</v>
      </c>
      <c r="N115" s="117">
        <v>63</v>
      </c>
      <c r="O115" s="117">
        <v>75.2</v>
      </c>
      <c r="P115" s="117">
        <v>78.3</v>
      </c>
      <c r="Q115" s="117">
        <v>88.2</v>
      </c>
      <c r="R115" s="117">
        <v>88.2</v>
      </c>
      <c r="S115" s="117">
        <v>97.4</v>
      </c>
      <c r="T115" s="117">
        <v>86.7</v>
      </c>
      <c r="U115" s="117">
        <v>56</v>
      </c>
      <c r="V115" s="117">
        <v>54.5</v>
      </c>
      <c r="W115" s="117">
        <v>54.5</v>
      </c>
      <c r="X115" s="117">
        <v>47.5</v>
      </c>
      <c r="Y115" s="117">
        <v>51</v>
      </c>
      <c r="Z115" s="117">
        <v>45.3</v>
      </c>
      <c r="AA115" s="117">
        <v>93.9</v>
      </c>
      <c r="AB115" s="117">
        <v>88.6</v>
      </c>
      <c r="AC115" s="117">
        <v>80</v>
      </c>
      <c r="AD115" s="117">
        <v>80</v>
      </c>
      <c r="AE115" s="117">
        <v>50</v>
      </c>
      <c r="AF115" s="117">
        <v>35</v>
      </c>
      <c r="AG115" s="118">
        <v>120</v>
      </c>
      <c r="AH115" s="47">
        <f t="shared" si="10"/>
        <v>97.4</v>
      </c>
      <c r="AI115" s="48">
        <f t="shared" si="11"/>
        <v>15.6</v>
      </c>
    </row>
    <row r="116" spans="1:37" x14ac:dyDescent="0.25">
      <c r="A116" s="116" t="s">
        <v>122</v>
      </c>
      <c r="B116" s="117">
        <v>67.7</v>
      </c>
      <c r="C116" s="117"/>
      <c r="D116" s="117">
        <v>30</v>
      </c>
      <c r="E116" s="117">
        <v>30</v>
      </c>
      <c r="F116" s="117">
        <v>56.1</v>
      </c>
      <c r="G116" s="117">
        <v>40</v>
      </c>
      <c r="H116" s="117">
        <v>55</v>
      </c>
      <c r="I116" s="117">
        <v>77</v>
      </c>
      <c r="J116" s="117">
        <v>86</v>
      </c>
      <c r="K116" s="117">
        <v>70</v>
      </c>
      <c r="L116" s="117">
        <v>88</v>
      </c>
      <c r="M116" s="117">
        <v>81</v>
      </c>
      <c r="N116" s="117">
        <v>76.900000000000006</v>
      </c>
      <c r="O116" s="117">
        <v>91.7</v>
      </c>
      <c r="P116" s="117">
        <v>90.7</v>
      </c>
      <c r="Q116" s="117">
        <v>92.6</v>
      </c>
      <c r="R116" s="117">
        <v>92.6</v>
      </c>
      <c r="S116" s="117">
        <v>86</v>
      </c>
      <c r="T116" s="117">
        <v>87.5</v>
      </c>
      <c r="U116" s="117">
        <v>44.3</v>
      </c>
      <c r="V116" s="117">
        <v>34</v>
      </c>
      <c r="W116" s="117">
        <v>34</v>
      </c>
      <c r="X116" s="117">
        <v>33.799999999999997</v>
      </c>
      <c r="Y116" s="117">
        <v>50.8</v>
      </c>
      <c r="Z116" s="117">
        <v>26</v>
      </c>
      <c r="AA116" s="117">
        <v>66.2</v>
      </c>
      <c r="AB116" s="117">
        <v>65.099999999999994</v>
      </c>
      <c r="AC116" s="117">
        <v>60</v>
      </c>
      <c r="AD116" s="117">
        <v>60</v>
      </c>
      <c r="AE116" s="117">
        <v>50</v>
      </c>
      <c r="AF116" s="117">
        <v>44</v>
      </c>
      <c r="AG116" s="118"/>
      <c r="AH116" s="47">
        <f t="shared" si="10"/>
        <v>92.6</v>
      </c>
      <c r="AI116" s="48">
        <f t="shared" si="11"/>
        <v>26</v>
      </c>
    </row>
    <row r="117" spans="1:37" x14ac:dyDescent="0.25">
      <c r="A117" s="116" t="s">
        <v>123</v>
      </c>
      <c r="B117" s="117">
        <v>46</v>
      </c>
      <c r="C117" s="117"/>
      <c r="D117" s="117">
        <v>50.2</v>
      </c>
      <c r="E117" s="117">
        <v>50.2</v>
      </c>
      <c r="F117" s="117">
        <v>54.3</v>
      </c>
      <c r="G117" s="117"/>
      <c r="H117" s="117">
        <v>56</v>
      </c>
      <c r="I117" s="117"/>
      <c r="J117" s="117"/>
      <c r="K117" s="117">
        <v>39</v>
      </c>
      <c r="L117" s="117"/>
      <c r="M117" s="117"/>
      <c r="N117" s="117"/>
      <c r="O117" s="117">
        <v>41.7</v>
      </c>
      <c r="P117" s="117">
        <v>54.1</v>
      </c>
      <c r="Q117" s="117">
        <v>51.6</v>
      </c>
      <c r="R117" s="117">
        <v>51.6</v>
      </c>
      <c r="S117" s="117">
        <v>58</v>
      </c>
      <c r="T117" s="117">
        <v>57</v>
      </c>
      <c r="U117" s="117">
        <v>52.4</v>
      </c>
      <c r="V117" s="117">
        <v>43.4</v>
      </c>
      <c r="W117" s="117">
        <v>43.4</v>
      </c>
      <c r="X117" s="117">
        <v>31.8</v>
      </c>
      <c r="Y117" s="117">
        <v>32.9</v>
      </c>
      <c r="Z117" s="117">
        <v>32.700000000000003</v>
      </c>
      <c r="AA117" s="117">
        <v>49.1</v>
      </c>
      <c r="AB117" s="117">
        <v>51.2</v>
      </c>
      <c r="AC117" s="117">
        <v>58</v>
      </c>
      <c r="AD117" s="117">
        <v>58</v>
      </c>
      <c r="AE117" s="117">
        <v>70</v>
      </c>
      <c r="AF117" s="117">
        <v>85</v>
      </c>
      <c r="AG117" s="119"/>
      <c r="AH117" s="47">
        <f t="shared" si="10"/>
        <v>85</v>
      </c>
      <c r="AI117" s="48">
        <f t="shared" si="11"/>
        <v>31.8</v>
      </c>
    </row>
    <row r="118" spans="1:37" x14ac:dyDescent="0.25">
      <c r="A118" s="120" t="s">
        <v>124</v>
      </c>
      <c r="B118" s="106">
        <v>29.9</v>
      </c>
      <c r="C118" s="106"/>
      <c r="D118" s="106">
        <v>58.7</v>
      </c>
      <c r="E118" s="106">
        <v>58.7</v>
      </c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19"/>
      <c r="AH118" s="47">
        <f t="shared" si="10"/>
        <v>58.7</v>
      </c>
      <c r="AI118" s="48">
        <f t="shared" si="11"/>
        <v>29.9</v>
      </c>
    </row>
    <row r="119" spans="1:37" x14ac:dyDescent="0.25">
      <c r="A119" s="175" t="s">
        <v>265</v>
      </c>
      <c r="B119" s="106">
        <v>86.3</v>
      </c>
      <c r="C119" s="106"/>
      <c r="D119" s="106">
        <v>89</v>
      </c>
      <c r="E119" s="106">
        <v>89</v>
      </c>
      <c r="F119" s="106">
        <v>74.099999999999994</v>
      </c>
      <c r="G119" s="106">
        <v>70</v>
      </c>
      <c r="H119" s="106">
        <v>62</v>
      </c>
      <c r="I119" s="106">
        <v>43</v>
      </c>
      <c r="J119" s="106">
        <v>42</v>
      </c>
      <c r="K119" s="106">
        <v>30</v>
      </c>
      <c r="L119" s="106">
        <v>29</v>
      </c>
      <c r="M119" s="106">
        <v>29.3</v>
      </c>
      <c r="N119" s="106">
        <v>27</v>
      </c>
      <c r="O119" s="106">
        <v>30.5</v>
      </c>
      <c r="P119" s="106">
        <v>31.4</v>
      </c>
      <c r="Q119" s="106">
        <v>27.1</v>
      </c>
      <c r="R119" s="106">
        <v>27.1</v>
      </c>
      <c r="S119" s="106">
        <v>26.4</v>
      </c>
      <c r="T119" s="106">
        <v>25.8</v>
      </c>
      <c r="U119" s="106">
        <v>65.7</v>
      </c>
      <c r="V119" s="106">
        <v>60</v>
      </c>
      <c r="W119" s="106">
        <v>60</v>
      </c>
      <c r="X119" s="106">
        <v>56.2</v>
      </c>
      <c r="Y119" s="106">
        <v>56.1</v>
      </c>
      <c r="Z119" s="106">
        <v>46</v>
      </c>
      <c r="AA119" s="106">
        <v>23.1</v>
      </c>
      <c r="AB119" s="106">
        <v>46.9</v>
      </c>
      <c r="AC119" s="106"/>
      <c r="AD119" s="106"/>
      <c r="AE119" s="106">
        <v>77</v>
      </c>
      <c r="AF119" s="106">
        <v>90</v>
      </c>
      <c r="AG119" s="119"/>
      <c r="AH119" s="47">
        <f t="shared" si="10"/>
        <v>90</v>
      </c>
      <c r="AI119" s="48">
        <f t="shared" si="11"/>
        <v>23.1</v>
      </c>
    </row>
    <row r="120" spans="1:37" ht="15.75" thickBot="1" x14ac:dyDescent="0.3">
      <c r="A120" s="120" t="s">
        <v>125</v>
      </c>
      <c r="B120" s="106">
        <v>81.400000000000006</v>
      </c>
      <c r="C120" s="106"/>
      <c r="D120" s="106">
        <v>48.9</v>
      </c>
      <c r="E120" s="106">
        <v>48.9</v>
      </c>
      <c r="F120" s="106">
        <v>30</v>
      </c>
      <c r="G120" s="106">
        <v>16</v>
      </c>
      <c r="H120" s="106">
        <v>13</v>
      </c>
      <c r="I120" s="106">
        <v>0</v>
      </c>
      <c r="J120" s="106">
        <v>-3</v>
      </c>
      <c r="K120" s="106">
        <v>-14</v>
      </c>
      <c r="L120" s="106">
        <v>-26</v>
      </c>
      <c r="M120" s="106">
        <v>-32</v>
      </c>
      <c r="N120" s="106">
        <v>-18.2</v>
      </c>
      <c r="O120" s="106">
        <v>-6.4</v>
      </c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19"/>
      <c r="AH120" s="47">
        <f t="shared" si="10"/>
        <v>81.400000000000006</v>
      </c>
      <c r="AI120" s="48">
        <f t="shared" si="11"/>
        <v>-32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9">SUM(B122:B226)</f>
        <v>0</v>
      </c>
      <c r="C227" s="136">
        <f t="shared" si="19"/>
        <v>0</v>
      </c>
      <c r="D227" s="136">
        <f t="shared" si="19"/>
        <v>0</v>
      </c>
      <c r="E227" s="136">
        <f t="shared" si="19"/>
        <v>0</v>
      </c>
      <c r="F227" s="136">
        <f t="shared" si="19"/>
        <v>0</v>
      </c>
      <c r="G227" s="136">
        <f t="shared" si="19"/>
        <v>0</v>
      </c>
      <c r="H227" s="136">
        <f t="shared" si="19"/>
        <v>0</v>
      </c>
      <c r="I227" s="136">
        <f t="shared" si="19"/>
        <v>0</v>
      </c>
      <c r="J227" s="136">
        <f t="shared" si="19"/>
        <v>0</v>
      </c>
      <c r="K227" s="136">
        <f t="shared" si="19"/>
        <v>0</v>
      </c>
      <c r="L227" s="136">
        <f t="shared" si="19"/>
        <v>0</v>
      </c>
      <c r="M227" s="136">
        <f t="shared" si="19"/>
        <v>0</v>
      </c>
      <c r="N227" s="136">
        <f t="shared" si="19"/>
        <v>0</v>
      </c>
      <c r="O227" s="136">
        <f t="shared" si="19"/>
        <v>0</v>
      </c>
      <c r="P227" s="136">
        <f t="shared" si="19"/>
        <v>0</v>
      </c>
      <c r="Q227" s="136">
        <f t="shared" si="19"/>
        <v>0</v>
      </c>
      <c r="R227" s="136">
        <f t="shared" si="19"/>
        <v>0</v>
      </c>
      <c r="S227" s="136">
        <f t="shared" si="19"/>
        <v>0</v>
      </c>
      <c r="T227" s="136">
        <f t="shared" si="19"/>
        <v>0</v>
      </c>
      <c r="U227" s="136">
        <f t="shared" si="19"/>
        <v>0</v>
      </c>
      <c r="V227" s="136">
        <f t="shared" si="19"/>
        <v>0</v>
      </c>
      <c r="W227" s="136">
        <f t="shared" si="19"/>
        <v>0</v>
      </c>
      <c r="X227" s="136">
        <f t="shared" si="19"/>
        <v>0</v>
      </c>
      <c r="Y227" s="136">
        <f t="shared" si="19"/>
        <v>0</v>
      </c>
      <c r="Z227" s="136">
        <f t="shared" si="19"/>
        <v>0</v>
      </c>
      <c r="AA227" s="136">
        <f t="shared" si="19"/>
        <v>0</v>
      </c>
      <c r="AB227" s="136">
        <f t="shared" si="19"/>
        <v>0</v>
      </c>
      <c r="AC227" s="136">
        <f t="shared" si="19"/>
        <v>0</v>
      </c>
      <c r="AD227" s="136">
        <f t="shared" si="19"/>
        <v>0</v>
      </c>
      <c r="AE227" s="136">
        <f t="shared" si="19"/>
        <v>0</v>
      </c>
      <c r="AF227" s="137">
        <f t="shared" si="19"/>
        <v>0</v>
      </c>
      <c r="AG227" s="138">
        <f t="shared" si="19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20">AF229</f>
        <v>0</v>
      </c>
      <c r="C229" s="140">
        <v>0.3</v>
      </c>
      <c r="D229" s="140">
        <f t="shared" ref="D229:P234" si="21">C229</f>
        <v>0.3</v>
      </c>
      <c r="E229" s="140">
        <f t="shared" si="21"/>
        <v>0.3</v>
      </c>
      <c r="F229" s="140">
        <f t="shared" si="21"/>
        <v>0.3</v>
      </c>
      <c r="G229" s="140">
        <f t="shared" si="21"/>
        <v>0.3</v>
      </c>
      <c r="H229" s="140">
        <f t="shared" si="21"/>
        <v>0.3</v>
      </c>
      <c r="I229" s="140">
        <f t="shared" si="21"/>
        <v>0.3</v>
      </c>
      <c r="J229" s="140">
        <f t="shared" si="21"/>
        <v>0.3</v>
      </c>
      <c r="K229" s="140">
        <f t="shared" si="21"/>
        <v>0.3</v>
      </c>
      <c r="L229" s="140">
        <f t="shared" si="21"/>
        <v>0.3</v>
      </c>
      <c r="M229" s="140">
        <f t="shared" si="21"/>
        <v>0.3</v>
      </c>
      <c r="N229" s="140">
        <f t="shared" si="21"/>
        <v>0.3</v>
      </c>
      <c r="O229" s="140">
        <f t="shared" si="21"/>
        <v>0.3</v>
      </c>
      <c r="P229" s="140">
        <f t="shared" si="21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20"/>
        <v>0</v>
      </c>
      <c r="C230" s="128">
        <v>0.4</v>
      </c>
      <c r="D230" s="128">
        <f t="shared" si="21"/>
        <v>0.4</v>
      </c>
      <c r="E230" s="128">
        <f t="shared" si="21"/>
        <v>0.4</v>
      </c>
      <c r="F230" s="128">
        <f t="shared" si="21"/>
        <v>0.4</v>
      </c>
      <c r="G230" s="128">
        <f t="shared" si="21"/>
        <v>0.4</v>
      </c>
      <c r="H230" s="128">
        <f t="shared" si="21"/>
        <v>0.4</v>
      </c>
      <c r="I230" s="128">
        <f t="shared" si="21"/>
        <v>0.4</v>
      </c>
      <c r="J230" s="128">
        <f t="shared" si="21"/>
        <v>0.4</v>
      </c>
      <c r="K230" s="128">
        <f t="shared" si="21"/>
        <v>0.4</v>
      </c>
      <c r="L230" s="128">
        <f t="shared" si="21"/>
        <v>0.4</v>
      </c>
      <c r="M230" s="128">
        <f t="shared" si="21"/>
        <v>0.4</v>
      </c>
      <c r="N230" s="128">
        <f t="shared" si="21"/>
        <v>0.4</v>
      </c>
      <c r="O230" s="128">
        <f t="shared" si="21"/>
        <v>0.4</v>
      </c>
      <c r="P230" s="128">
        <f t="shared" si="21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20"/>
        <v>0</v>
      </c>
      <c r="C231" s="128">
        <v>1.5</v>
      </c>
      <c r="D231" s="128">
        <f t="shared" si="21"/>
        <v>1.5</v>
      </c>
      <c r="E231" s="128">
        <f t="shared" si="21"/>
        <v>1.5</v>
      </c>
      <c r="F231" s="128">
        <f t="shared" si="21"/>
        <v>1.5</v>
      </c>
      <c r="G231" s="128">
        <f t="shared" si="21"/>
        <v>1.5</v>
      </c>
      <c r="H231" s="128">
        <f t="shared" si="21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21"/>
        <v>123.21900000000009</v>
      </c>
      <c r="K231" s="128">
        <f t="shared" ca="1" si="21"/>
        <v>123.21900000000009</v>
      </c>
      <c r="L231" s="128">
        <f t="shared" ca="1" si="21"/>
        <v>123.21900000000009</v>
      </c>
      <c r="M231" s="128">
        <f t="shared" ca="1" si="21"/>
        <v>119.19900000000008</v>
      </c>
      <c r="N231" s="128">
        <f t="shared" ca="1" si="21"/>
        <v>119.19900000000008</v>
      </c>
      <c r="O231" s="128">
        <f t="shared" ca="1" si="21"/>
        <v>119.19900000000008</v>
      </c>
      <c r="P231" s="128">
        <f t="shared" ca="1" si="21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20"/>
        <v>0</v>
      </c>
      <c r="C232" s="128">
        <v>0.3</v>
      </c>
      <c r="D232" s="128">
        <f t="shared" si="21"/>
        <v>0.3</v>
      </c>
      <c r="E232" s="128">
        <f t="shared" si="21"/>
        <v>0.3</v>
      </c>
      <c r="F232" s="128">
        <f t="shared" si="21"/>
        <v>0.3</v>
      </c>
      <c r="G232" s="128">
        <f t="shared" si="21"/>
        <v>0.3</v>
      </c>
      <c r="H232" s="128">
        <f t="shared" si="21"/>
        <v>0.3</v>
      </c>
      <c r="I232" s="128">
        <f t="shared" si="21"/>
        <v>0.3</v>
      </c>
      <c r="J232" s="128">
        <f t="shared" si="21"/>
        <v>0.3</v>
      </c>
      <c r="K232" s="128">
        <f t="shared" si="21"/>
        <v>0.3</v>
      </c>
      <c r="L232" s="128">
        <f t="shared" si="21"/>
        <v>0.3</v>
      </c>
      <c r="M232" s="128">
        <f t="shared" si="21"/>
        <v>0.3</v>
      </c>
      <c r="N232" s="128">
        <f t="shared" si="21"/>
        <v>0.3</v>
      </c>
      <c r="O232" s="128">
        <f t="shared" si="21"/>
        <v>0.3</v>
      </c>
      <c r="P232" s="128">
        <f t="shared" si="21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20"/>
        <v>0</v>
      </c>
      <c r="C233" s="128">
        <v>0.4</v>
      </c>
      <c r="D233" s="128">
        <f t="shared" si="21"/>
        <v>0.4</v>
      </c>
      <c r="E233" s="128">
        <f t="shared" si="21"/>
        <v>0.4</v>
      </c>
      <c r="F233" s="128">
        <f t="shared" si="21"/>
        <v>0.4</v>
      </c>
      <c r="G233" s="128">
        <f t="shared" si="21"/>
        <v>0.4</v>
      </c>
      <c r="H233" s="128">
        <f t="shared" si="21"/>
        <v>0.4</v>
      </c>
      <c r="I233" s="128">
        <f t="shared" si="21"/>
        <v>0.4</v>
      </c>
      <c r="J233" s="128">
        <f t="shared" si="21"/>
        <v>0.4</v>
      </c>
      <c r="K233" s="128">
        <f t="shared" si="21"/>
        <v>0.4</v>
      </c>
      <c r="L233" s="128">
        <f t="shared" si="21"/>
        <v>0.4</v>
      </c>
      <c r="M233" s="128">
        <f t="shared" si="21"/>
        <v>0.4</v>
      </c>
      <c r="N233" s="128">
        <f t="shared" si="21"/>
        <v>0.4</v>
      </c>
      <c r="O233" s="128">
        <f t="shared" si="21"/>
        <v>0.4</v>
      </c>
      <c r="P233" s="128">
        <f t="shared" si="21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20"/>
        <v>0</v>
      </c>
      <c r="C234" s="132">
        <v>0.64</v>
      </c>
      <c r="D234" s="132">
        <f t="shared" si="21"/>
        <v>0.64</v>
      </c>
      <c r="E234" s="132">
        <f t="shared" si="21"/>
        <v>0.64</v>
      </c>
      <c r="F234" s="132">
        <f t="shared" si="21"/>
        <v>0.64</v>
      </c>
      <c r="G234" s="132">
        <f t="shared" si="21"/>
        <v>0.64</v>
      </c>
      <c r="H234" s="132">
        <f t="shared" si="21"/>
        <v>0.64</v>
      </c>
      <c r="I234" s="132">
        <f t="shared" si="21"/>
        <v>0.64</v>
      </c>
      <c r="J234" s="132">
        <f t="shared" si="21"/>
        <v>0.64</v>
      </c>
      <c r="K234" s="132">
        <f t="shared" si="21"/>
        <v>0.64</v>
      </c>
      <c r="L234" s="132">
        <f t="shared" si="21"/>
        <v>0.64</v>
      </c>
      <c r="M234" s="132">
        <f t="shared" si="21"/>
        <v>0.64</v>
      </c>
      <c r="N234" s="132">
        <f t="shared" si="21"/>
        <v>0.64</v>
      </c>
      <c r="O234" s="132">
        <f t="shared" si="21"/>
        <v>0.64</v>
      </c>
      <c r="P234" s="132">
        <f t="shared" si="21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2">SUM(B229:B234)</f>
        <v>0</v>
      </c>
      <c r="C235" s="136">
        <f t="shared" si="22"/>
        <v>3.54</v>
      </c>
      <c r="D235" s="136">
        <f t="shared" si="22"/>
        <v>3.54</v>
      </c>
      <c r="E235" s="136">
        <f t="shared" si="22"/>
        <v>3.54</v>
      </c>
      <c r="F235" s="136">
        <f t="shared" si="22"/>
        <v>3.54</v>
      </c>
      <c r="G235" s="136">
        <f t="shared" si="22"/>
        <v>3.54</v>
      </c>
      <c r="H235" s="136">
        <f t="shared" si="22"/>
        <v>3.54</v>
      </c>
      <c r="I235" s="136">
        <f t="shared" ca="1" si="22"/>
        <v>121.23900000000009</v>
      </c>
      <c r="J235" s="136">
        <f t="shared" ca="1" si="22"/>
        <v>121.23900000000009</v>
      </c>
      <c r="K235" s="136">
        <f t="shared" ca="1" si="22"/>
        <v>121.23900000000009</v>
      </c>
      <c r="L235" s="136">
        <f t="shared" ca="1" si="22"/>
        <v>125.2590000000001</v>
      </c>
      <c r="M235" s="136">
        <f t="shared" ca="1" si="22"/>
        <v>121.23900000000009</v>
      </c>
      <c r="N235" s="136">
        <f t="shared" ca="1" si="22"/>
        <v>121.23900000000009</v>
      </c>
      <c r="O235" s="136">
        <f t="shared" ca="1" si="22"/>
        <v>121.23900000000009</v>
      </c>
      <c r="P235" s="136">
        <f t="shared" ca="1" si="22"/>
        <v>121.23900000000009</v>
      </c>
      <c r="Q235" s="136">
        <f t="shared" si="22"/>
        <v>0</v>
      </c>
      <c r="R235" s="136">
        <f t="shared" si="22"/>
        <v>0</v>
      </c>
      <c r="S235" s="136">
        <f t="shared" si="22"/>
        <v>0</v>
      </c>
      <c r="T235" s="136">
        <f t="shared" si="22"/>
        <v>0</v>
      </c>
      <c r="U235" s="136">
        <f t="shared" si="22"/>
        <v>0</v>
      </c>
      <c r="V235" s="136">
        <f t="shared" si="22"/>
        <v>0</v>
      </c>
      <c r="W235" s="136">
        <f t="shared" si="22"/>
        <v>0</v>
      </c>
      <c r="X235" s="136">
        <f t="shared" si="22"/>
        <v>0</v>
      </c>
      <c r="Y235" s="136">
        <f t="shared" si="22"/>
        <v>0</v>
      </c>
      <c r="Z235" s="136">
        <f t="shared" si="22"/>
        <v>0</v>
      </c>
      <c r="AA235" s="136">
        <f t="shared" si="22"/>
        <v>0</v>
      </c>
      <c r="AB235" s="136">
        <f t="shared" si="22"/>
        <v>0</v>
      </c>
      <c r="AC235" s="136">
        <f t="shared" si="22"/>
        <v>0</v>
      </c>
      <c r="AD235" s="136">
        <f t="shared" si="22"/>
        <v>0</v>
      </c>
      <c r="AE235" s="136">
        <f t="shared" si="22"/>
        <v>0</v>
      </c>
      <c r="AF235" s="136">
        <f t="shared" si="22"/>
        <v>0</v>
      </c>
      <c r="AG235" s="145">
        <f t="shared" si="2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1776.44</v>
      </c>
      <c r="C244" s="161">
        <f>INDEX(G9:N9,1,MATCH(MAX(G91:N91),G91:N91,0))</f>
        <v>0.20833333333333301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30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2080/02/30)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2080/02/30)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3">B91</f>
        <v>1831.44</v>
      </c>
      <c r="U249" s="170">
        <f t="shared" si="23"/>
        <v>3.54</v>
      </c>
      <c r="V249" s="170">
        <f t="shared" si="23"/>
        <v>1815.94</v>
      </c>
      <c r="W249" s="170">
        <f t="shared" si="23"/>
        <v>1871.44</v>
      </c>
      <c r="X249" s="170">
        <f t="shared" si="23"/>
        <v>1839.8400000000001</v>
      </c>
      <c r="Y249" s="170">
        <f t="shared" si="23"/>
        <v>1776.44</v>
      </c>
      <c r="Z249" s="170">
        <f t="shared" si="23"/>
        <v>1736.7400000000002</v>
      </c>
      <c r="AA249" s="170">
        <f t="shared" si="23"/>
        <v>1640.3400000000001</v>
      </c>
      <c r="AB249" s="170">
        <f t="shared" si="23"/>
        <v>1675.3400000000001</v>
      </c>
      <c r="AC249" s="170">
        <f t="shared" si="23"/>
        <v>1679.7400000000002</v>
      </c>
      <c r="AD249" s="170">
        <f t="shared" si="23"/>
        <v>1661.3400000000001</v>
      </c>
      <c r="AE249" s="170">
        <f t="shared" si="23"/>
        <v>1594.0400000000002</v>
      </c>
      <c r="AF249" s="170">
        <f t="shared" si="23"/>
        <v>1720.1399999999999</v>
      </c>
      <c r="AG249" s="170">
        <f t="shared" si="23"/>
        <v>1771.34</v>
      </c>
      <c r="AH249" s="170">
        <f t="shared" si="23"/>
        <v>1830.84</v>
      </c>
      <c r="AI249" s="170">
        <f t="shared" si="23"/>
        <v>1875.24</v>
      </c>
      <c r="AJ249" s="170">
        <f t="shared" si="23"/>
        <v>1907.44</v>
      </c>
      <c r="AK249" s="170">
        <f t="shared" si="23"/>
        <v>1938.7400000000002</v>
      </c>
      <c r="AL249" s="170">
        <f t="shared" si="23"/>
        <v>1911.44</v>
      </c>
      <c r="AM249" s="170">
        <f t="shared" si="23"/>
        <v>1809.0400000000002</v>
      </c>
      <c r="AN249" s="170">
        <f t="shared" si="23"/>
        <v>1764.84</v>
      </c>
      <c r="AO249" s="170">
        <f t="shared" si="23"/>
        <v>1779.84</v>
      </c>
      <c r="AP249" s="170">
        <f t="shared" si="23"/>
        <v>1678.6399999999999</v>
      </c>
      <c r="AQ249" s="170">
        <f t="shared" si="23"/>
        <v>1679.54</v>
      </c>
      <c r="AR249" s="170">
        <f t="shared" si="23"/>
        <v>1682.2400000000002</v>
      </c>
      <c r="AS249" s="170">
        <f t="shared" si="23"/>
        <v>1838.04</v>
      </c>
      <c r="AT249" s="170">
        <f t="shared" si="23"/>
        <v>1939.14</v>
      </c>
      <c r="AU249" s="170">
        <f t="shared" si="23"/>
        <v>1942.44</v>
      </c>
      <c r="AV249" s="170">
        <f t="shared" si="23"/>
        <v>1981.94</v>
      </c>
      <c r="AW249" s="170">
        <f t="shared" si="23"/>
        <v>1940.84</v>
      </c>
      <c r="AX249" s="170">
        <f t="shared" si="23"/>
        <v>1911.44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4">C234</f>
        <v>0.64</v>
      </c>
      <c r="C270" s="173">
        <f t="shared" si="24"/>
        <v>0.64</v>
      </c>
      <c r="D270" s="173">
        <f t="shared" si="24"/>
        <v>0.64</v>
      </c>
      <c r="E270" s="173">
        <f t="shared" si="24"/>
        <v>0.64</v>
      </c>
      <c r="F270" s="173">
        <f t="shared" si="24"/>
        <v>0.64</v>
      </c>
      <c r="G270" s="173">
        <f t="shared" si="24"/>
        <v>0.64</v>
      </c>
      <c r="H270" s="173">
        <f t="shared" si="24"/>
        <v>0.64</v>
      </c>
      <c r="I270" s="173">
        <f t="shared" si="24"/>
        <v>0.64</v>
      </c>
      <c r="J270" s="173">
        <f t="shared" si="24"/>
        <v>0.64</v>
      </c>
      <c r="K270" s="173">
        <f t="shared" si="24"/>
        <v>0.64</v>
      </c>
      <c r="L270" s="173">
        <f t="shared" si="24"/>
        <v>0.64</v>
      </c>
      <c r="M270" s="173">
        <f t="shared" si="24"/>
        <v>0.64</v>
      </c>
      <c r="N270" s="173">
        <f t="shared" si="24"/>
        <v>0.64</v>
      </c>
      <c r="O270" s="173">
        <f t="shared" si="24"/>
        <v>0.64</v>
      </c>
      <c r="P270" s="173">
        <f t="shared" si="24"/>
        <v>0</v>
      </c>
      <c r="Q270" s="173">
        <f t="shared" si="24"/>
        <v>0</v>
      </c>
      <c r="R270" s="173">
        <f t="shared" si="24"/>
        <v>0</v>
      </c>
      <c r="S270" s="173">
        <f t="shared" si="24"/>
        <v>0</v>
      </c>
      <c r="T270" s="173">
        <f t="shared" si="24"/>
        <v>0</v>
      </c>
      <c r="U270" s="173">
        <f t="shared" si="24"/>
        <v>0</v>
      </c>
      <c r="V270" s="173">
        <f t="shared" si="24"/>
        <v>0</v>
      </c>
      <c r="W270" s="173">
        <f t="shared" si="24"/>
        <v>0</v>
      </c>
      <c r="X270" s="173">
        <f t="shared" si="24"/>
        <v>0</v>
      </c>
      <c r="Y270" s="173">
        <f t="shared" si="24"/>
        <v>0</v>
      </c>
      <c r="Z270" s="173">
        <f t="shared" si="24"/>
        <v>0</v>
      </c>
      <c r="AA270" s="173">
        <f t="shared" si="24"/>
        <v>0</v>
      </c>
      <c r="AB270" s="173">
        <f t="shared" si="24"/>
        <v>0</v>
      </c>
      <c r="AC270" s="173">
        <f t="shared" si="24"/>
        <v>0</v>
      </c>
      <c r="AD270" s="173">
        <f t="shared" si="24"/>
        <v>0</v>
      </c>
      <c r="AE270" s="173">
        <f t="shared" si="24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5">IF(B238&lt;100,"",B238-520)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6">IF(B239&lt;100,"",B239-620)</f>
        <v/>
      </c>
      <c r="C272" s="174" t="str">
        <f t="shared" si="26"/>
        <v/>
      </c>
      <c r="D272" s="174" t="str">
        <f t="shared" si="26"/>
        <v/>
      </c>
      <c r="E272" s="174" t="str">
        <f t="shared" si="26"/>
        <v/>
      </c>
      <c r="F272" s="174" t="str">
        <f t="shared" si="26"/>
        <v/>
      </c>
      <c r="G272" s="174" t="str">
        <f t="shared" si="26"/>
        <v/>
      </c>
      <c r="H272" s="174" t="str">
        <f t="shared" si="26"/>
        <v/>
      </c>
      <c r="I272" s="174" t="str">
        <f t="shared" si="26"/>
        <v/>
      </c>
      <c r="J272" s="174" t="str">
        <f t="shared" si="26"/>
        <v/>
      </c>
      <c r="K272" s="174" t="str">
        <f t="shared" si="26"/>
        <v/>
      </c>
      <c r="L272" s="174" t="str">
        <f t="shared" si="26"/>
        <v/>
      </c>
      <c r="M272" s="174" t="str">
        <f t="shared" si="26"/>
        <v/>
      </c>
      <c r="N272" s="174" t="str">
        <f t="shared" si="26"/>
        <v/>
      </c>
      <c r="O272" s="174" t="str">
        <f t="shared" si="26"/>
        <v/>
      </c>
      <c r="P272" s="174" t="str">
        <f t="shared" si="26"/>
        <v/>
      </c>
      <c r="Q272" s="174" t="str">
        <f t="shared" si="26"/>
        <v/>
      </c>
      <c r="R272" s="174" t="str">
        <f t="shared" si="26"/>
        <v/>
      </c>
      <c r="S272" s="174" t="str">
        <f t="shared" si="26"/>
        <v/>
      </c>
      <c r="T272" s="174" t="str">
        <f t="shared" si="26"/>
        <v/>
      </c>
      <c r="U272" s="174" t="str">
        <f t="shared" si="26"/>
        <v/>
      </c>
      <c r="V272" s="174" t="str">
        <f t="shared" si="26"/>
        <v/>
      </c>
      <c r="W272" s="174" t="str">
        <f t="shared" si="26"/>
        <v/>
      </c>
      <c r="X272" s="174" t="str">
        <f t="shared" si="26"/>
        <v/>
      </c>
      <c r="Y272" s="174" t="str">
        <f t="shared" si="26"/>
        <v/>
      </c>
      <c r="Z272" s="174" t="str">
        <f t="shared" si="26"/>
        <v/>
      </c>
      <c r="AA272" s="174" t="str">
        <f t="shared" si="26"/>
        <v/>
      </c>
      <c r="AB272" s="174" t="str">
        <f t="shared" si="26"/>
        <v/>
      </c>
      <c r="AC272" s="174" t="str">
        <f t="shared" si="26"/>
        <v/>
      </c>
      <c r="AD272" s="174" t="str">
        <f t="shared" si="26"/>
        <v/>
      </c>
      <c r="AE272" s="174" t="str">
        <f t="shared" si="26"/>
        <v/>
      </c>
      <c r="AF272" s="174" t="str">
        <f t="shared" si="26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7">IF(B240&lt;100,"",B240-330)</f>
        <v/>
      </c>
      <c r="C273" s="174" t="str">
        <f t="shared" si="27"/>
        <v/>
      </c>
      <c r="D273" s="174" t="str">
        <f t="shared" si="27"/>
        <v/>
      </c>
      <c r="E273" s="174" t="str">
        <f t="shared" si="27"/>
        <v/>
      </c>
      <c r="F273" s="174" t="str">
        <f t="shared" si="27"/>
        <v/>
      </c>
      <c r="G273" s="174" t="str">
        <f t="shared" si="27"/>
        <v/>
      </c>
      <c r="H273" s="174" t="str">
        <f t="shared" si="27"/>
        <v/>
      </c>
      <c r="I273" s="174" t="str">
        <f t="shared" si="27"/>
        <v/>
      </c>
      <c r="J273" s="174" t="str">
        <f t="shared" si="27"/>
        <v/>
      </c>
      <c r="K273" s="174" t="str">
        <f t="shared" si="27"/>
        <v/>
      </c>
      <c r="L273" s="174" t="str">
        <f t="shared" si="27"/>
        <v/>
      </c>
      <c r="M273" s="174" t="str">
        <f t="shared" si="27"/>
        <v/>
      </c>
      <c r="N273" s="174" t="str">
        <f t="shared" si="27"/>
        <v/>
      </c>
      <c r="O273" s="174" t="str">
        <f t="shared" si="27"/>
        <v/>
      </c>
      <c r="P273" s="174" t="str">
        <f t="shared" si="27"/>
        <v/>
      </c>
      <c r="Q273" s="174" t="str">
        <f t="shared" si="27"/>
        <v/>
      </c>
      <c r="R273" s="174" t="str">
        <f t="shared" si="27"/>
        <v/>
      </c>
      <c r="S273" s="174" t="str">
        <f t="shared" si="27"/>
        <v/>
      </c>
      <c r="T273" s="174" t="str">
        <f t="shared" si="27"/>
        <v/>
      </c>
      <c r="U273" s="174" t="str">
        <f t="shared" si="27"/>
        <v/>
      </c>
      <c r="V273" s="174" t="str">
        <f t="shared" si="27"/>
        <v/>
      </c>
      <c r="W273" s="174" t="str">
        <f t="shared" si="27"/>
        <v/>
      </c>
      <c r="X273" s="174" t="str">
        <f t="shared" si="27"/>
        <v/>
      </c>
      <c r="Y273" s="174" t="str">
        <f t="shared" si="27"/>
        <v/>
      </c>
      <c r="Z273" s="174" t="str">
        <f t="shared" si="27"/>
        <v/>
      </c>
      <c r="AA273" s="174" t="str">
        <f t="shared" si="27"/>
        <v/>
      </c>
      <c r="AB273" s="174" t="str">
        <f t="shared" si="27"/>
        <v/>
      </c>
      <c r="AC273" s="174" t="str">
        <f t="shared" si="27"/>
        <v/>
      </c>
      <c r="AD273" s="174" t="str">
        <f t="shared" si="27"/>
        <v/>
      </c>
      <c r="AE273" s="174" t="str">
        <f t="shared" si="27"/>
        <v/>
      </c>
      <c r="AF273" s="174" t="str">
        <f t="shared" si="27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8">IF(B241&lt;100,"",B241-1500)</f>
        <v/>
      </c>
      <c r="C274" s="174" t="str">
        <f t="shared" si="28"/>
        <v/>
      </c>
      <c r="D274" s="174" t="str">
        <f t="shared" si="28"/>
        <v/>
      </c>
      <c r="E274" s="174" t="str">
        <f t="shared" si="28"/>
        <v/>
      </c>
      <c r="F274" s="174" t="str">
        <f t="shared" si="28"/>
        <v/>
      </c>
      <c r="G274" s="174" t="str">
        <f t="shared" si="28"/>
        <v/>
      </c>
      <c r="H274" s="174" t="str">
        <f t="shared" si="28"/>
        <v/>
      </c>
      <c r="I274" s="174" t="str">
        <f t="shared" si="28"/>
        <v/>
      </c>
      <c r="J274" s="174" t="str">
        <f t="shared" si="28"/>
        <v/>
      </c>
      <c r="K274" s="174" t="str">
        <f t="shared" si="28"/>
        <v/>
      </c>
      <c r="L274" s="174" t="str">
        <f t="shared" si="28"/>
        <v/>
      </c>
      <c r="M274" s="174" t="str">
        <f t="shared" si="28"/>
        <v/>
      </c>
      <c r="N274" s="174" t="str">
        <f t="shared" si="28"/>
        <v/>
      </c>
      <c r="O274" s="174" t="str">
        <f t="shared" si="28"/>
        <v/>
      </c>
      <c r="P274" s="174" t="str">
        <f t="shared" si="28"/>
        <v/>
      </c>
      <c r="Q274" s="174" t="str">
        <f t="shared" si="28"/>
        <v/>
      </c>
      <c r="R274" s="174" t="str">
        <f t="shared" si="28"/>
        <v/>
      </c>
      <c r="S274" s="174" t="str">
        <f t="shared" si="28"/>
        <v/>
      </c>
      <c r="T274" s="174" t="str">
        <f t="shared" si="28"/>
        <v/>
      </c>
      <c r="U274" s="174" t="str">
        <f t="shared" si="28"/>
        <v/>
      </c>
      <c r="V274" s="174" t="str">
        <f t="shared" si="28"/>
        <v/>
      </c>
      <c r="W274" s="174" t="str">
        <f t="shared" si="28"/>
        <v/>
      </c>
      <c r="X274" s="174" t="str">
        <f t="shared" si="28"/>
        <v/>
      </c>
      <c r="Y274" s="174" t="str">
        <f t="shared" si="28"/>
        <v/>
      </c>
      <c r="Z274" s="174" t="str">
        <f t="shared" si="28"/>
        <v/>
      </c>
      <c r="AA274" s="174" t="str">
        <f t="shared" si="28"/>
        <v/>
      </c>
      <c r="AB274" s="174" t="str">
        <f t="shared" si="28"/>
        <v/>
      </c>
      <c r="AC274" s="174" t="str">
        <f t="shared" si="28"/>
        <v/>
      </c>
      <c r="AD274" s="174" t="str">
        <f t="shared" si="28"/>
        <v/>
      </c>
      <c r="AE274" s="174" t="str">
        <f t="shared" si="28"/>
        <v/>
      </c>
      <c r="AF274" s="174" t="str">
        <f t="shared" si="2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4:AF17 B12:AF12">
    <cfRule type="expression" dxfId="2115" priority="409">
      <formula>B$9&gt;=20/24</formula>
    </cfRule>
    <cfRule type="expression" dxfId="2114" priority="410">
      <formula>AND(B$9&gt;=14/24,B$9&lt;20/24)</formula>
    </cfRule>
    <cfRule type="expression" dxfId="2113" priority="411">
      <formula>AND(B$9&gt;=8/24,B$9&lt;14/24)</formula>
    </cfRule>
    <cfRule type="expression" dxfId="2112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G67 B14:AF17 B12:AF12">
    <cfRule type="expression" dxfId="2111" priority="407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2110" priority="406">
      <formula>$AH12=0</formula>
    </cfRule>
  </conditionalFormatting>
  <conditionalFormatting sqref="A116">
    <cfRule type="expression" dxfId="2109" priority="405">
      <formula>$AH116=0</formula>
    </cfRule>
  </conditionalFormatting>
  <conditionalFormatting sqref="AL44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2108" priority="403">
      <formula>$AH47=0</formula>
    </cfRule>
  </conditionalFormatting>
  <conditionalFormatting sqref="A100">
    <cfRule type="expression" dxfId="2107" priority="402">
      <formula>$AH100=0</formula>
    </cfRule>
  </conditionalFormatting>
  <conditionalFormatting sqref="A20">
    <cfRule type="expression" dxfId="2106" priority="401">
      <formula>$AH20=0</formula>
    </cfRule>
  </conditionalFormatting>
  <conditionalFormatting sqref="A199:A204">
    <cfRule type="expression" dxfId="2105" priority="400">
      <formula>$AH199=0</formula>
    </cfRule>
  </conditionalFormatting>
  <conditionalFormatting sqref="A193:A198">
    <cfRule type="expression" dxfId="2104" priority="399">
      <formula>$AH193=0</formula>
    </cfRule>
  </conditionalFormatting>
  <conditionalFormatting sqref="A60">
    <cfRule type="expression" dxfId="2103" priority="398">
      <formula>$AH60=0</formula>
    </cfRule>
  </conditionalFormatting>
  <conditionalFormatting sqref="A96">
    <cfRule type="expression" dxfId="2102" priority="397">
      <formula>$AH96=0</formula>
    </cfRule>
  </conditionalFormatting>
  <conditionalFormatting sqref="AD101:AF101 E101:Y101">
    <cfRule type="expression" dxfId="2101" priority="393">
      <formula>E$9&gt;=20/24</formula>
    </cfRule>
    <cfRule type="expression" dxfId="2100" priority="394">
      <formula>AND(E$9&gt;=14/24,E$9&lt;20/24)</formula>
    </cfRule>
    <cfRule type="expression" dxfId="2099" priority="395">
      <formula>AND(E$9&gt;=8/24,E$9&lt;14/24)</formula>
    </cfRule>
    <cfRule type="expression" dxfId="2098" priority="396">
      <formula>E$9&lt;8/24</formula>
    </cfRule>
  </conditionalFormatting>
  <conditionalFormatting sqref="AL45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097" priority="415">
      <formula>C$9&gt;=20/24</formula>
    </cfRule>
    <cfRule type="expression" dxfId="2096" priority="416">
      <formula>AND(C$9&gt;=14/24,C$9&lt;20/24)</formula>
    </cfRule>
    <cfRule type="expression" dxfId="2095" priority="417">
      <formula>AND(C$9&gt;=8/24,C$9&lt;14/24)</formula>
    </cfRule>
    <cfRule type="expression" dxfId="2094" priority="418">
      <formula>C$9&lt;8/24</formula>
    </cfRule>
  </conditionalFormatting>
  <conditionalFormatting sqref="A236">
    <cfRule type="expression" dxfId="2093" priority="419">
      <formula>$AH236=0</formula>
    </cfRule>
  </conditionalFormatting>
  <conditionalFormatting sqref="AG248">
    <cfRule type="expression" dxfId="2092" priority="420">
      <formula>B$9&gt;=20/24</formula>
    </cfRule>
    <cfRule type="expression" dxfId="2091" priority="421">
      <formula>AND(B$9&gt;=14/24,B$9&lt;20/24)</formula>
    </cfRule>
    <cfRule type="expression" dxfId="2090" priority="422">
      <formula>AND(B$9&gt;=8/24,B$9&lt;14/24)</formula>
    </cfRule>
    <cfRule type="expression" dxfId="2089" priority="423">
      <formula>B$9&lt;8/24</formula>
    </cfRule>
  </conditionalFormatting>
  <conditionalFormatting sqref="S8">
    <cfRule type="expression" dxfId="2088" priority="388">
      <formula>U$9&gt;=20/24</formula>
    </cfRule>
    <cfRule type="expression" dxfId="2087" priority="389">
      <formula>AND(U$9&gt;=14/24,U$9&lt;20/24)</formula>
    </cfRule>
    <cfRule type="expression" dxfId="2086" priority="390">
      <formula>AND(U$9&gt;=8/24,U$9&lt;14/24)</formula>
    </cfRule>
    <cfRule type="expression" dxfId="2085" priority="391">
      <formula>U$9&lt;8/24</formula>
    </cfRule>
  </conditionalFormatting>
  <conditionalFormatting sqref="AB8">
    <cfRule type="expression" dxfId="2084" priority="384">
      <formula>AD$9&gt;=20/24</formula>
    </cfRule>
    <cfRule type="expression" dxfId="2083" priority="385">
      <formula>AND(AD$9&gt;=14/24,AD$9&lt;20/24)</formula>
    </cfRule>
    <cfRule type="expression" dxfId="2082" priority="386">
      <formula>AND(AD$9&gt;=8/24,AD$9&lt;14/24)</formula>
    </cfRule>
    <cfRule type="expression" dxfId="2081" priority="387">
      <formula>AD$9&lt;8/24</formula>
    </cfRule>
  </conditionalFormatting>
  <conditionalFormatting sqref="AH248:AX248">
    <cfRule type="expression" dxfId="2080" priority="424">
      <formula>AG$9&gt;=20/24</formula>
    </cfRule>
    <cfRule type="expression" dxfId="2079" priority="425">
      <formula>AND(AG$9&gt;=14/24,AG$9&lt;20/24)</formula>
    </cfRule>
    <cfRule type="expression" dxfId="2078" priority="426">
      <formula>AND(AG$9&gt;=8/24,AG$9&lt;14/24)</formula>
    </cfRule>
    <cfRule type="expression" dxfId="2077" priority="427">
      <formula>AG$9&lt;8/24</formula>
    </cfRule>
  </conditionalFormatting>
  <conditionalFormatting sqref="T248">
    <cfRule type="expression" dxfId="2076" priority="428">
      <formula>AX$9&gt;=20/24</formula>
    </cfRule>
    <cfRule type="expression" dxfId="2075" priority="429">
      <formula>AND(AX$9&gt;=14/24,AX$9&lt;20/24)</formula>
    </cfRule>
    <cfRule type="expression" dxfId="2074" priority="430">
      <formula>AND(AX$9&gt;=8/24,AX$9&lt;14/24)</formula>
    </cfRule>
    <cfRule type="expression" dxfId="2073" priority="431">
      <formula>AX$9&lt;8/24</formula>
    </cfRule>
  </conditionalFormatting>
  <conditionalFormatting sqref="A117:A119">
    <cfRule type="expression" dxfId="2072" priority="383">
      <formula>$AH117=0</formula>
    </cfRule>
  </conditionalFormatting>
  <conditionalFormatting sqref="N73:AF73">
    <cfRule type="expression" dxfId="2071" priority="379">
      <formula>N$9&gt;=20/24</formula>
    </cfRule>
    <cfRule type="expression" dxfId="2070" priority="380">
      <formula>AND(N$9&gt;=14/24,N$9&lt;20/24)</formula>
    </cfRule>
    <cfRule type="expression" dxfId="2069" priority="381">
      <formula>AND(N$9&gt;=8/24,N$9&lt;14/24)</formula>
    </cfRule>
    <cfRule type="expression" dxfId="2068" priority="382">
      <formula>N$9&lt;8/24</formula>
    </cfRule>
  </conditionalFormatting>
  <conditionalFormatting sqref="R55:T55">
    <cfRule type="expression" dxfId="2067" priority="375">
      <formula>R$9&gt;=20/24</formula>
    </cfRule>
    <cfRule type="expression" dxfId="2066" priority="376">
      <formula>AND(R$9&gt;=14/24,R$9&lt;20/24)</formula>
    </cfRule>
    <cfRule type="expression" dxfId="2065" priority="377">
      <formula>AND(R$9&gt;=8/24,R$9&lt;14/24)</formula>
    </cfRule>
    <cfRule type="expression" dxfId="2064" priority="378">
      <formula>R$9&lt;8/24</formula>
    </cfRule>
  </conditionalFormatting>
  <conditionalFormatting sqref="R55:T55">
    <cfRule type="expression" dxfId="2063" priority="374">
      <formula>R55&gt;$AG55</formula>
    </cfRule>
  </conditionalFormatting>
  <conditionalFormatting sqref="D88:AF88 X98:AF98 AF102:AF108 M102:Y108 AA69:AF71 X49:AF49 N74:AF75">
    <cfRule type="expression" dxfId="2062" priority="370">
      <formula>D$9&gt;=20/24</formula>
    </cfRule>
    <cfRule type="expression" dxfId="2061" priority="371">
      <formula>AND(D$9&gt;=14/24,D$9&lt;20/24)</formula>
    </cfRule>
    <cfRule type="expression" dxfId="2060" priority="372">
      <formula>AND(D$9&gt;=8/24,D$9&lt;14/24)</formula>
    </cfRule>
    <cfRule type="expression" dxfId="2059" priority="373">
      <formula>D$9&lt;8/24</formula>
    </cfRule>
  </conditionalFormatting>
  <conditionalFormatting sqref="AA69:AF71 X49:AF49">
    <cfRule type="expression" dxfId="2058" priority="369">
      <formula>X49&gt;$AG49</formula>
    </cfRule>
  </conditionalFormatting>
  <conditionalFormatting sqref="U55:AF60">
    <cfRule type="expression" dxfId="2057" priority="365">
      <formula>U$9&gt;=20/24</formula>
    </cfRule>
    <cfRule type="expression" dxfId="2056" priority="366">
      <formula>AND(U$9&gt;=14/24,U$9&lt;20/24)</formula>
    </cfRule>
    <cfRule type="expression" dxfId="2055" priority="367">
      <formula>AND(U$9&gt;=8/24,U$9&lt;14/24)</formula>
    </cfRule>
    <cfRule type="expression" dxfId="2054" priority="368">
      <formula>U$9&lt;8/24</formula>
    </cfRule>
  </conditionalFormatting>
  <conditionalFormatting sqref="U55:AF60">
    <cfRule type="expression" dxfId="2053" priority="364">
      <formula>U55&gt;$AG55</formula>
    </cfRule>
  </conditionalFormatting>
  <conditionalFormatting sqref="C99:AF99 D90:AF90">
    <cfRule type="expression" dxfId="2052" priority="360">
      <formula>C$9&gt;=20/24</formula>
    </cfRule>
    <cfRule type="expression" dxfId="2051" priority="361">
      <formula>AND(C$9&gt;=14/24,C$9&lt;20/24)</formula>
    </cfRule>
    <cfRule type="expression" dxfId="2050" priority="362">
      <formula>AND(C$9&gt;=8/24,C$9&lt;14/24)</formula>
    </cfRule>
    <cfRule type="expression" dxfId="2049" priority="363">
      <formula>C$9&lt;8/24</formula>
    </cfRule>
  </conditionalFormatting>
  <conditionalFormatting sqref="T49:W49">
    <cfRule type="expression" dxfId="2048" priority="356">
      <formula>T$9&gt;=20/24</formula>
    </cfRule>
    <cfRule type="expression" dxfId="2047" priority="357">
      <formula>AND(T$9&gt;=14/24,T$9&lt;20/24)</formula>
    </cfRule>
    <cfRule type="expression" dxfId="2046" priority="358">
      <formula>AND(T$9&gt;=8/24,T$9&lt;14/24)</formula>
    </cfRule>
    <cfRule type="expression" dxfId="2045" priority="359">
      <formula>T$9&lt;8/24</formula>
    </cfRule>
  </conditionalFormatting>
  <conditionalFormatting sqref="T49:W49">
    <cfRule type="expression" dxfId="2044" priority="355">
      <formula>T49&gt;$AG49</formula>
    </cfRule>
  </conditionalFormatting>
  <conditionalFormatting sqref="AG72 AG89 E102:L102 F103:L108">
    <cfRule type="expression" dxfId="2043" priority="342">
      <formula>E$9&gt;=20/24</formula>
    </cfRule>
    <cfRule type="expression" dxfId="2042" priority="343">
      <formula>AND(E$9&gt;=14/24,E$9&lt;20/24)</formula>
    </cfRule>
    <cfRule type="expression" dxfId="2041" priority="344">
      <formula>AND(E$9&gt;=8/24,E$9&lt;14/24)</formula>
    </cfRule>
    <cfRule type="expression" dxfId="2040" priority="345">
      <formula>E$9&lt;8/24</formula>
    </cfRule>
  </conditionalFormatting>
  <conditionalFormatting sqref="AG50 AG68 AG72">
    <cfRule type="expression" dxfId="2039" priority="341">
      <formula>AG50&gt;$AG50</formula>
    </cfRule>
  </conditionalFormatting>
  <conditionalFormatting sqref="A45">
    <cfRule type="expression" dxfId="2038" priority="335">
      <formula>$AH45=0</formula>
    </cfRule>
  </conditionalFormatting>
  <conditionalFormatting sqref="X93:AF97">
    <cfRule type="expression" dxfId="2037" priority="331">
      <formula>X$9&gt;=20/24</formula>
    </cfRule>
    <cfRule type="expression" dxfId="2036" priority="332">
      <formula>AND(X$9&gt;=14/24,X$9&lt;20/24)</formula>
    </cfRule>
    <cfRule type="expression" dxfId="2035" priority="333">
      <formula>AND(X$9&gt;=8/24,X$9&lt;14/24)</formula>
    </cfRule>
    <cfRule type="expression" dxfId="2034" priority="334">
      <formula>X$9&lt;8/24</formula>
    </cfRule>
  </conditionalFormatting>
  <conditionalFormatting sqref="AL47 AL43 AL24:AL34 AL40:AL41 AL19:AL22 AL36:AL38 AL7:AL17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N51:T51 Q53:T53 U51:AF53">
    <cfRule type="expression" dxfId="2033" priority="327">
      <formula>N$9&gt;=20/24</formula>
    </cfRule>
    <cfRule type="expression" dxfId="2032" priority="328">
      <formula>AND(N$9&gt;=14/24,N$9&lt;20/24)</formula>
    </cfRule>
    <cfRule type="expression" dxfId="2031" priority="329">
      <formula>AND(N$9&gt;=8/24,N$9&lt;14/24)</formula>
    </cfRule>
    <cfRule type="expression" dxfId="2030" priority="330">
      <formula>N$9&lt;8/24</formula>
    </cfRule>
  </conditionalFormatting>
  <conditionalFormatting sqref="N51:T51 Q53:T53 U51:AF53">
    <cfRule type="expression" dxfId="2029" priority="326">
      <formula>N51&gt;$AG51</formula>
    </cfRule>
  </conditionalFormatting>
  <conditionalFormatting sqref="AG54">
    <cfRule type="expression" dxfId="2028" priority="322">
      <formula>AG$9&gt;=20/24</formula>
    </cfRule>
    <cfRule type="expression" dxfId="2027" priority="323">
      <formula>AND(AG$9&gt;=14/24,AG$9&lt;20/24)</formula>
    </cfRule>
    <cfRule type="expression" dxfId="2026" priority="324">
      <formula>AND(AG$9&gt;=8/24,AG$9&lt;14/24)</formula>
    </cfRule>
    <cfRule type="expression" dxfId="2025" priority="325">
      <formula>AG$9&lt;8/24</formula>
    </cfRule>
  </conditionalFormatting>
  <conditionalFormatting sqref="AG54">
    <cfRule type="expression" dxfId="2024" priority="321">
      <formula>AG54&gt;$AG54</formula>
    </cfRule>
  </conditionalFormatting>
  <conditionalFormatting sqref="C109:AF109">
    <cfRule type="expression" dxfId="2023" priority="317">
      <formula>C$9&gt;=20/24</formula>
    </cfRule>
    <cfRule type="expression" dxfId="2022" priority="318">
      <formula>AND(C$9&gt;=14/24,C$9&lt;20/24)</formula>
    </cfRule>
    <cfRule type="expression" dxfId="2021" priority="319">
      <formula>AND(C$9&gt;=8/24,C$9&lt;14/24)</formula>
    </cfRule>
    <cfRule type="expression" dxfId="2020" priority="320">
      <formula>C$9&lt;8/24</formula>
    </cfRule>
  </conditionalFormatting>
  <conditionalFormatting sqref="AL42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2019" priority="315">
      <formula>$AH42=0</formula>
    </cfRule>
  </conditionalFormatting>
  <conditionalFormatting sqref="A92">
    <cfRule type="expression" dxfId="2018" priority="313">
      <formula>$AH92=0</formula>
    </cfRule>
  </conditionalFormatting>
  <conditionalFormatting sqref="A89">
    <cfRule type="expression" dxfId="2017" priority="314">
      <formula>$AH89=0</formula>
    </cfRule>
  </conditionalFormatting>
  <conditionalFormatting sqref="D112:AF112">
    <cfRule type="expression" dxfId="2016" priority="309">
      <formula>D$9&gt;=20/24</formula>
    </cfRule>
    <cfRule type="expression" dxfId="2015" priority="310">
      <formula>AND(D$9&gt;=14/24,D$9&lt;20/24)</formula>
    </cfRule>
    <cfRule type="expression" dxfId="2014" priority="311">
      <formula>AND(D$9&gt;=8/24,D$9&lt;14/24)</formula>
    </cfRule>
    <cfRule type="expression" dxfId="2013" priority="312">
      <formula>D$9&lt;8/24</formula>
    </cfRule>
  </conditionalFormatting>
  <conditionalFormatting sqref="A112">
    <cfRule type="expression" dxfId="2012" priority="308">
      <formula>$AH112=0</formula>
    </cfRule>
  </conditionalFormatting>
  <conditionalFormatting sqref="A23">
    <cfRule type="expression" dxfId="2011" priority="306">
      <formula>$AH23=0</formula>
    </cfRule>
  </conditionalFormatting>
  <conditionalFormatting sqref="AL2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2010" priority="304">
      <formula>$AH39=0</formula>
    </cfRule>
  </conditionalFormatting>
  <conditionalFormatting sqref="AL39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2009" priority="300">
      <formula>Z$9&gt;=20/24</formula>
    </cfRule>
    <cfRule type="expression" dxfId="2008" priority="301">
      <formula>AND(Z$9&gt;=14/24,Z$9&lt;20/24)</formula>
    </cfRule>
    <cfRule type="expression" dxfId="2007" priority="302">
      <formula>AND(Z$9&gt;=8/24,Z$9&lt;14/24)</formula>
    </cfRule>
    <cfRule type="expression" dxfId="2006" priority="303">
      <formula>Z$9&lt;8/24</formula>
    </cfRule>
  </conditionalFormatting>
  <conditionalFormatting sqref="Z102:AE108">
    <cfRule type="expression" dxfId="2005" priority="296">
      <formula>Z$9&gt;=20/24</formula>
    </cfRule>
    <cfRule type="expression" dxfId="2004" priority="297">
      <formula>AND(Z$9&gt;=14/24,Z$9&lt;20/24)</formula>
    </cfRule>
    <cfRule type="expression" dxfId="2003" priority="298">
      <formula>AND(Z$9&gt;=8/24,Z$9&lt;14/24)</formula>
    </cfRule>
    <cfRule type="expression" dxfId="2002" priority="299">
      <formula>Z$9&lt;8/24</formula>
    </cfRule>
  </conditionalFormatting>
  <conditionalFormatting sqref="C111 C113:C119 AA19:AF30 AA36:AF45 AA32:AF34">
    <cfRule type="expression" dxfId="2001" priority="292">
      <formula>C$9&gt;=20/24</formula>
    </cfRule>
    <cfRule type="expression" dxfId="2000" priority="293">
      <formula>AND(C$9&gt;=14/24,C$9&lt;20/24)</formula>
    </cfRule>
    <cfRule type="expression" dxfId="1999" priority="294">
      <formula>AND(C$9&gt;=8/24,C$9&lt;14/24)</formula>
    </cfRule>
    <cfRule type="expression" dxfId="1998" priority="295">
      <formula>C$9&lt;8/24</formula>
    </cfRule>
  </conditionalFormatting>
  <conditionalFormatting sqref="E49:S49">
    <cfRule type="expression" dxfId="1997" priority="288">
      <formula>E$9&gt;=20/24</formula>
    </cfRule>
    <cfRule type="expression" dxfId="1996" priority="289">
      <formula>AND(E$9&gt;=14/24,E$9&lt;20/24)</formula>
    </cfRule>
    <cfRule type="expression" dxfId="1995" priority="290">
      <formula>AND(E$9&gt;=8/24,E$9&lt;14/24)</formula>
    </cfRule>
    <cfRule type="expression" dxfId="1994" priority="291">
      <formula>E$9&lt;8/24</formula>
    </cfRule>
  </conditionalFormatting>
  <conditionalFormatting sqref="E49:S49 AA19:AF30 AA36:AF45 AA32:AF34">
    <cfRule type="expression" dxfId="1993" priority="287">
      <formula>E19&gt;$AG19</formula>
    </cfRule>
  </conditionalFormatting>
  <conditionalFormatting sqref="C101:D101">
    <cfRule type="expression" dxfId="1992" priority="283">
      <formula>C$9&gt;=20/24</formula>
    </cfRule>
    <cfRule type="expression" dxfId="1991" priority="284">
      <formula>AND(C$9&gt;=14/24,C$9&lt;20/24)</formula>
    </cfRule>
    <cfRule type="expression" dxfId="1990" priority="285">
      <formula>AND(C$9&gt;=8/24,C$9&lt;14/24)</formula>
    </cfRule>
    <cfRule type="expression" dxfId="1989" priority="286">
      <formula>C$9&lt;8/24</formula>
    </cfRule>
  </conditionalFormatting>
  <conditionalFormatting sqref="C88 C98:W98 C85:AF87 D102:D108 E103:E108 E69:Z71 AA76:AF78">
    <cfRule type="expression" dxfId="1988" priority="279">
      <formula>C$9&gt;=20/24</formula>
    </cfRule>
    <cfRule type="expression" dxfId="1987" priority="280">
      <formula>AND(C$9&gt;=14/24,C$9&lt;20/24)</formula>
    </cfRule>
    <cfRule type="expression" dxfId="1986" priority="281">
      <formula>AND(C$9&gt;=8/24,C$9&lt;14/24)</formula>
    </cfRule>
    <cfRule type="expression" dxfId="1985" priority="282">
      <formula>C$9&lt;8/24</formula>
    </cfRule>
  </conditionalFormatting>
  <conditionalFormatting sqref="E69:Z71">
    <cfRule type="expression" dxfId="1984" priority="278">
      <formula>E69&gt;$AG69</formula>
    </cfRule>
  </conditionalFormatting>
  <conditionalFormatting sqref="C73:M73 D56:T59">
    <cfRule type="expression" dxfId="1983" priority="220">
      <formula>C$9&gt;=20/24</formula>
    </cfRule>
    <cfRule type="expression" dxfId="1982" priority="221">
      <formula>AND(C$9&gt;=14/24,C$9&lt;20/24)</formula>
    </cfRule>
    <cfRule type="expression" dxfId="1981" priority="222">
      <formula>AND(C$9&gt;=8/24,C$9&lt;14/24)</formula>
    </cfRule>
    <cfRule type="expression" dxfId="1980" priority="223">
      <formula>C$9&lt;8/24</formula>
    </cfRule>
  </conditionalFormatting>
  <conditionalFormatting sqref="C89:AF89 C91:AF91 C100:AF100 C72:AF72">
    <cfRule type="expression" dxfId="1979" priority="274">
      <formula>C$9&gt;=20/24</formula>
    </cfRule>
    <cfRule type="expression" dxfId="1978" priority="275">
      <formula>AND(C$9&gt;=14/24,C$9&lt;20/24)</formula>
    </cfRule>
    <cfRule type="expression" dxfId="1977" priority="276">
      <formula>AND(C$9&gt;=8/24,C$9&lt;14/24)</formula>
    </cfRule>
    <cfRule type="expression" dxfId="1976" priority="277">
      <formula>C$9&lt;8/24</formula>
    </cfRule>
  </conditionalFormatting>
  <conditionalFormatting sqref="C72:AF72 D67:AF68">
    <cfRule type="expression" dxfId="1975" priority="273">
      <formula>C67&gt;$AG67</formula>
    </cfRule>
  </conditionalFormatting>
  <conditionalFormatting sqref="C84:AF84">
    <cfRule type="expression" dxfId="1974" priority="269">
      <formula>C$9&gt;=20/24</formula>
    </cfRule>
    <cfRule type="expression" dxfId="1973" priority="270">
      <formula>AND(C$9&gt;=14/24,C$9&lt;20/24)</formula>
    </cfRule>
    <cfRule type="expression" dxfId="1972" priority="271">
      <formula>AND(C$9&gt;=8/24,C$9&lt;14/24)</formula>
    </cfRule>
    <cfRule type="expression" dxfId="1971" priority="272">
      <formula>C$9&lt;8/24</formula>
    </cfRule>
  </conditionalFormatting>
  <conditionalFormatting sqref="C93:W97">
    <cfRule type="expression" dxfId="1970" priority="265">
      <formula>C$9&gt;=20/24</formula>
    </cfRule>
    <cfRule type="expression" dxfId="1969" priority="266">
      <formula>AND(C$9&gt;=14/24,C$9&lt;20/24)</formula>
    </cfRule>
    <cfRule type="expression" dxfId="1968" priority="267">
      <formula>AND(C$9&gt;=8/24,C$9&lt;14/24)</formula>
    </cfRule>
    <cfRule type="expression" dxfId="1967" priority="268">
      <formula>C$9&lt;8/24</formula>
    </cfRule>
  </conditionalFormatting>
  <conditionalFormatting sqref="D54:AF54">
    <cfRule type="expression" dxfId="1966" priority="261">
      <formula>D$9&gt;=20/24</formula>
    </cfRule>
    <cfRule type="expression" dxfId="1965" priority="262">
      <formula>AND(D$9&gt;=14/24,D$9&lt;20/24)</formula>
    </cfRule>
    <cfRule type="expression" dxfId="1964" priority="263">
      <formula>AND(D$9&gt;=8/24,D$9&lt;14/24)</formula>
    </cfRule>
    <cfRule type="expression" dxfId="1963" priority="264">
      <formula>D$9&lt;8/24</formula>
    </cfRule>
  </conditionalFormatting>
  <conditionalFormatting sqref="D54:AF54">
    <cfRule type="expression" dxfId="1962" priority="260">
      <formula>D54&gt;$AG54</formula>
    </cfRule>
  </conditionalFormatting>
  <conditionalFormatting sqref="C112">
    <cfRule type="expression" dxfId="1961" priority="252">
      <formula>C$9&gt;=20/24</formula>
    </cfRule>
    <cfRule type="expression" dxfId="1960" priority="253">
      <formula>AND(C$9&gt;=14/24,C$9&lt;20/24)</formula>
    </cfRule>
    <cfRule type="expression" dxfId="1959" priority="254">
      <formula>AND(C$9&gt;=8/24,C$9&lt;14/24)</formula>
    </cfRule>
    <cfRule type="expression" dxfId="1958" priority="255">
      <formula>C$9&lt;8/24</formula>
    </cfRule>
  </conditionalFormatting>
  <conditionalFormatting sqref="AA61:AF66">
    <cfRule type="expression" dxfId="1957" priority="248">
      <formula>AA$9&gt;=20/24</formula>
    </cfRule>
    <cfRule type="expression" dxfId="1956" priority="249">
      <formula>AND(AA$9&gt;=14/24,AA$9&lt;20/24)</formula>
    </cfRule>
    <cfRule type="expression" dxfId="1955" priority="250">
      <formula>AND(AA$9&gt;=8/24,AA$9&lt;14/24)</formula>
    </cfRule>
    <cfRule type="expression" dxfId="1954" priority="251">
      <formula>AA$9&lt;8/24</formula>
    </cfRule>
  </conditionalFormatting>
  <conditionalFormatting sqref="AA61:AF66">
    <cfRule type="expression" dxfId="1953" priority="247">
      <formula>AA61&gt;$AG61</formula>
    </cfRule>
  </conditionalFormatting>
  <conditionalFormatting sqref="AA47:AF47">
    <cfRule type="expression" dxfId="1952" priority="246">
      <formula>AA47&gt;$AG47</formula>
    </cfRule>
  </conditionalFormatting>
  <conditionalFormatting sqref="AA13:AF13">
    <cfRule type="expression" dxfId="1951" priority="242">
      <formula>AA$9&gt;=20/24</formula>
    </cfRule>
    <cfRule type="expression" dxfId="1950" priority="243">
      <formula>AND(AA$9&gt;=14/24,AA$9&lt;20/24)</formula>
    </cfRule>
    <cfRule type="expression" dxfId="1949" priority="244">
      <formula>AND(AA$9&gt;=8/24,AA$9&lt;14/24)</formula>
    </cfRule>
    <cfRule type="expression" dxfId="1948" priority="245">
      <formula>AA$9&lt;8/24</formula>
    </cfRule>
  </conditionalFormatting>
  <conditionalFormatting sqref="AA13:AF13">
    <cfRule type="expression" dxfId="1947" priority="241">
      <formula>AA13&gt;$AG13</formula>
    </cfRule>
  </conditionalFormatting>
  <conditionalFormatting sqref="AA47:AF47">
    <cfRule type="expression" dxfId="1946" priority="237">
      <formula>AA$9&gt;=20/24</formula>
    </cfRule>
    <cfRule type="expression" dxfId="1945" priority="238">
      <formula>AND(AA$9&gt;=14/24,AA$9&lt;20/24)</formula>
    </cfRule>
    <cfRule type="expression" dxfId="1944" priority="239">
      <formula>AND(AA$9&gt;=8/24,AA$9&lt;14/24)</formula>
    </cfRule>
    <cfRule type="expression" dxfId="1943" priority="240">
      <formula>AA$9&lt;8/24</formula>
    </cfRule>
  </conditionalFormatting>
  <conditionalFormatting sqref="AA79:AF83">
    <cfRule type="expression" dxfId="1942" priority="233">
      <formula>AA$9&gt;=20/24</formula>
    </cfRule>
    <cfRule type="expression" dxfId="1941" priority="234">
      <formula>AND(AA$9&gt;=14/24,AA$9&lt;20/24)</formula>
    </cfRule>
    <cfRule type="expression" dxfId="1940" priority="235">
      <formula>AND(AA$9&gt;=8/24,AA$9&lt;14/24)</formula>
    </cfRule>
    <cfRule type="expression" dxfId="1939" priority="236">
      <formula>AA$9&lt;8/24</formula>
    </cfRule>
  </conditionalFormatting>
  <conditionalFormatting sqref="AL80:AN80 AL86:AN86 AN81:AN82">
    <cfRule type="expression" dxfId="1938" priority="229">
      <formula>AL$9&gt;=20/24</formula>
    </cfRule>
    <cfRule type="expression" dxfId="1937" priority="230">
      <formula>AND(AL$9&gt;=14/24,AL$9&lt;20/24)</formula>
    </cfRule>
    <cfRule type="expression" dxfId="1936" priority="231">
      <formula>AND(AL$9&gt;=8/24,AL$9&lt;14/24)</formula>
    </cfRule>
    <cfRule type="expression" dxfId="1935" priority="232">
      <formula>AL$9&lt;8/24</formula>
    </cfRule>
  </conditionalFormatting>
  <conditionalFormatting sqref="AN83:AN84">
    <cfRule type="expression" dxfId="1934" priority="225">
      <formula>AN$9&gt;=20/24</formula>
    </cfRule>
    <cfRule type="expression" dxfId="1933" priority="226">
      <formula>AND(AN$9&gt;=14/24,AN$9&lt;20/24)</formula>
    </cfRule>
    <cfRule type="expression" dxfId="1932" priority="227">
      <formula>AND(AN$9&gt;=8/24,AN$9&lt;14/24)</formula>
    </cfRule>
    <cfRule type="expression" dxfId="1931" priority="228">
      <formula>AN$9&lt;8/24</formula>
    </cfRule>
  </conditionalFormatting>
  <conditionalFormatting sqref="AL81:AM85">
    <cfRule type="expression" dxfId="1930" priority="433">
      <formula>AJ$9&gt;=20/24</formula>
    </cfRule>
    <cfRule type="expression" dxfId="1929" priority="434">
      <formula>AND(AJ$9&gt;=14/24,AJ$9&lt;20/24)</formula>
    </cfRule>
    <cfRule type="expression" dxfId="1928" priority="435">
      <formula>AND(AJ$9&gt;=8/24,AJ$9&lt;14/24)</formula>
    </cfRule>
    <cfRule type="expression" dxfId="1927" priority="436">
      <formula>AJ$9&lt;8/24</formula>
    </cfRule>
  </conditionalFormatting>
  <conditionalFormatting sqref="A120">
    <cfRule type="expression" dxfId="1926" priority="224">
      <formula>$AH120=0</formula>
    </cfRule>
  </conditionalFormatting>
  <conditionalFormatting sqref="D55:Q55">
    <cfRule type="expression" dxfId="1925" priority="216">
      <formula>D$9&gt;=20/24</formula>
    </cfRule>
    <cfRule type="expression" dxfId="1924" priority="217">
      <formula>AND(D$9&gt;=14/24,D$9&lt;20/24)</formula>
    </cfRule>
    <cfRule type="expression" dxfId="1923" priority="218">
      <formula>AND(D$9&gt;=8/24,D$9&lt;14/24)</formula>
    </cfRule>
    <cfRule type="expression" dxfId="1922" priority="219">
      <formula>D$9&lt;8/24</formula>
    </cfRule>
  </conditionalFormatting>
  <conditionalFormatting sqref="D55:Q59 R56:T59">
    <cfRule type="expression" dxfId="1921" priority="215">
      <formula>D55&gt;$AG55</formula>
    </cfRule>
  </conditionalFormatting>
  <conditionalFormatting sqref="C74:D76 C102:C108 D69:D71 D77:D83 E74:M83 N76:Z83">
    <cfRule type="expression" dxfId="1920" priority="211">
      <formula>C$9&gt;=20/24</formula>
    </cfRule>
    <cfRule type="expression" dxfId="1919" priority="212">
      <formula>AND(C$9&gt;=14/24,C$9&lt;20/24)</formula>
    </cfRule>
    <cfRule type="expression" dxfId="1918" priority="213">
      <formula>AND(C$9&gt;=8/24,C$9&lt;14/24)</formula>
    </cfRule>
    <cfRule type="expression" dxfId="1917" priority="214">
      <formula>C$9&lt;8/24</formula>
    </cfRule>
  </conditionalFormatting>
  <conditionalFormatting sqref="D69:D71">
    <cfRule type="expression" dxfId="1916" priority="210">
      <formula>D69&gt;$AG69</formula>
    </cfRule>
  </conditionalFormatting>
  <conditionalFormatting sqref="C90">
    <cfRule type="expression" dxfId="1915" priority="206">
      <formula>C$9&gt;=20/24</formula>
    </cfRule>
    <cfRule type="expression" dxfId="1914" priority="207">
      <formula>AND(C$9&gt;=14/24,C$9&lt;20/24)</formula>
    </cfRule>
    <cfRule type="expression" dxfId="1913" priority="208">
      <formula>AND(C$9&gt;=8/24,C$9&lt;14/24)</formula>
    </cfRule>
    <cfRule type="expression" dxfId="1912" priority="209">
      <formula>C$9&lt;8/24</formula>
    </cfRule>
  </conditionalFormatting>
  <conditionalFormatting sqref="AA48:AF48">
    <cfRule type="expression" dxfId="1911" priority="202">
      <formula>AA$9&gt;=20/24</formula>
    </cfRule>
    <cfRule type="expression" dxfId="1910" priority="203">
      <formula>AND(AA$9&gt;=14/24,AA$9&lt;20/24)</formula>
    </cfRule>
    <cfRule type="expression" dxfId="1909" priority="204">
      <formula>AND(AA$9&gt;=8/24,AA$9&lt;14/24)</formula>
    </cfRule>
    <cfRule type="expression" dxfId="1908" priority="205">
      <formula>AA$9&lt;8/24</formula>
    </cfRule>
  </conditionalFormatting>
  <conditionalFormatting sqref="AA48:AF48">
    <cfRule type="expression" dxfId="1907" priority="201">
      <formula>AA48&gt;$AG48</formula>
    </cfRule>
  </conditionalFormatting>
  <conditionalFormatting sqref="D60:T60">
    <cfRule type="expression" dxfId="1906" priority="197">
      <formula>D$9&gt;=20/24</formula>
    </cfRule>
    <cfRule type="expression" dxfId="1905" priority="198">
      <formula>AND(D$9&gt;=14/24,D$9&lt;20/24)</formula>
    </cfRule>
    <cfRule type="expression" dxfId="1904" priority="199">
      <formula>AND(D$9&gt;=8/24,D$9&lt;14/24)</formula>
    </cfRule>
    <cfRule type="expression" dxfId="1903" priority="200">
      <formula>D$9&lt;8/24</formula>
    </cfRule>
  </conditionalFormatting>
  <conditionalFormatting sqref="D60:T60">
    <cfRule type="expression" dxfId="1902" priority="196">
      <formula>D60&gt;$AG60</formula>
    </cfRule>
  </conditionalFormatting>
  <conditionalFormatting sqref="B88 B98 B102:B108 B74:B76 B69:C71 B49:D49">
    <cfRule type="expression" dxfId="1901" priority="126">
      <formula>B$9&gt;=20/24</formula>
    </cfRule>
    <cfRule type="expression" dxfId="1900" priority="127">
      <formula>AND(B$9&gt;=14/24,B$9&lt;20/24)</formula>
    </cfRule>
    <cfRule type="expression" dxfId="1899" priority="128">
      <formula>AND(B$9&gt;=8/24,B$9&lt;14/24)</formula>
    </cfRule>
    <cfRule type="expression" dxfId="1898" priority="129">
      <formula>B$9&lt;8/24</formula>
    </cfRule>
  </conditionalFormatting>
  <conditionalFormatting sqref="B60:C60">
    <cfRule type="expression" dxfId="1897" priority="117">
      <formula>B$9&gt;=20/24</formula>
    </cfRule>
    <cfRule type="expression" dxfId="1896" priority="118">
      <formula>AND(B$9&gt;=14/24,B$9&lt;20/24)</formula>
    </cfRule>
    <cfRule type="expression" dxfId="1895" priority="119">
      <formula>AND(B$9&gt;=8/24,B$9&lt;14/24)</formula>
    </cfRule>
    <cfRule type="expression" dxfId="1894" priority="120">
      <formula>B$9&lt;8/24</formula>
    </cfRule>
  </conditionalFormatting>
  <conditionalFormatting sqref="C77:C78">
    <cfRule type="expression" dxfId="1893" priority="192">
      <formula>C$9&gt;=20/24</formula>
    </cfRule>
    <cfRule type="expression" dxfId="1892" priority="193">
      <formula>AND(C$9&gt;=14/24,C$9&lt;20/24)</formula>
    </cfRule>
    <cfRule type="expression" dxfId="1891" priority="194">
      <formula>AND(C$9&gt;=8/24,C$9&lt;14/24)</formula>
    </cfRule>
    <cfRule type="expression" dxfId="1890" priority="195">
      <formula>C$9&lt;8/24</formula>
    </cfRule>
  </conditionalFormatting>
  <conditionalFormatting sqref="E50:AF50">
    <cfRule type="expression" dxfId="1889" priority="191">
      <formula>E50&gt;$AG50</formula>
    </cfRule>
  </conditionalFormatting>
  <conditionalFormatting sqref="D61:Z66">
    <cfRule type="expression" dxfId="1888" priority="187">
      <formula>D$9&gt;=20/24</formula>
    </cfRule>
    <cfRule type="expression" dxfId="1887" priority="188">
      <formula>AND(D$9&gt;=14/24,D$9&lt;20/24)</formula>
    </cfRule>
    <cfRule type="expression" dxfId="1886" priority="189">
      <formula>AND(D$9&gt;=8/24,D$9&lt;14/24)</formula>
    </cfRule>
    <cfRule type="expression" dxfId="1885" priority="190">
      <formula>D$9&lt;8/24</formula>
    </cfRule>
  </conditionalFormatting>
  <conditionalFormatting sqref="D61:Z66">
    <cfRule type="expression" dxfId="1884" priority="186">
      <formula>D61&gt;$AG61</formula>
    </cfRule>
  </conditionalFormatting>
  <conditionalFormatting sqref="C79:C83">
    <cfRule type="expression" dxfId="1883" priority="182">
      <formula>C$9&gt;=20/24</formula>
    </cfRule>
    <cfRule type="expression" dxfId="1882" priority="183">
      <formula>AND(C$9&gt;=14/24,C$9&lt;20/24)</formula>
    </cfRule>
    <cfRule type="expression" dxfId="1881" priority="184">
      <formula>AND(C$9&gt;=8/24,C$9&lt;14/24)</formula>
    </cfRule>
    <cfRule type="expression" dxfId="1880" priority="185">
      <formula>C$9&lt;8/24</formula>
    </cfRule>
  </conditionalFormatting>
  <conditionalFormatting sqref="A11">
    <cfRule type="expression" dxfId="1879" priority="181">
      <formula>$AH11=0</formula>
    </cfRule>
  </conditionalFormatting>
  <conditionalFormatting sqref="AA11:AF11">
    <cfRule type="expression" dxfId="1878" priority="177">
      <formula>AA$9&gt;=20/24</formula>
    </cfRule>
    <cfRule type="expression" dxfId="1877" priority="178">
      <formula>AND(AA$9&gt;=14/24,AA$9&lt;20/24)</formula>
    </cfRule>
    <cfRule type="expression" dxfId="1876" priority="179">
      <formula>AND(AA$9&gt;=8/24,AA$9&lt;14/24)</formula>
    </cfRule>
    <cfRule type="expression" dxfId="1875" priority="180">
      <formula>AA$9&lt;8/24</formula>
    </cfRule>
  </conditionalFormatting>
  <conditionalFormatting sqref="AA11:AF11">
    <cfRule type="expression" dxfId="1874" priority="176">
      <formula>AA11&gt;$AG11</formula>
    </cfRule>
  </conditionalFormatting>
  <conditionalFormatting sqref="A18">
    <cfRule type="expression" dxfId="1873" priority="174">
      <formula>$AH18=0</formula>
    </cfRule>
  </conditionalFormatting>
  <conditionalFormatting sqref="AL1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1872" priority="170">
      <formula>AA$9&gt;=20/24</formula>
    </cfRule>
    <cfRule type="expression" dxfId="1871" priority="171">
      <formula>AND(AA$9&gt;=14/24,AA$9&lt;20/24)</formula>
    </cfRule>
    <cfRule type="expression" dxfId="1870" priority="172">
      <formula>AND(AA$9&gt;=8/24,AA$9&lt;14/24)</formula>
    </cfRule>
    <cfRule type="expression" dxfId="1869" priority="173">
      <formula>AA$9&lt;8/24</formula>
    </cfRule>
  </conditionalFormatting>
  <conditionalFormatting sqref="AA18:AF18">
    <cfRule type="expression" dxfId="1868" priority="169">
      <formula>AA18&gt;$AG18</formula>
    </cfRule>
  </conditionalFormatting>
  <conditionalFormatting sqref="A35">
    <cfRule type="expression" dxfId="1867" priority="167">
      <formula>$AH35=0</formula>
    </cfRule>
  </conditionalFormatting>
  <conditionalFormatting sqref="AL3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1866" priority="163">
      <formula>AA$9&gt;=20/24</formula>
    </cfRule>
    <cfRule type="expression" dxfId="1865" priority="164">
      <formula>AND(AA$9&gt;=14/24,AA$9&lt;20/24)</formula>
    </cfRule>
    <cfRule type="expression" dxfId="1864" priority="165">
      <formula>AND(AA$9&gt;=8/24,AA$9&lt;14/24)</formula>
    </cfRule>
    <cfRule type="expression" dxfId="1863" priority="166">
      <formula>AA$9&lt;8/24</formula>
    </cfRule>
  </conditionalFormatting>
  <conditionalFormatting sqref="AA35:AF35">
    <cfRule type="expression" dxfId="1862" priority="162">
      <formula>AA35&gt;$AG35</formula>
    </cfRule>
  </conditionalFormatting>
  <conditionalFormatting sqref="A46">
    <cfRule type="expression" dxfId="1861" priority="160">
      <formula>$AH46=0</formula>
    </cfRule>
  </conditionalFormatting>
  <conditionalFormatting sqref="AL4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1860" priority="159">
      <formula>AA46&gt;$AG46</formula>
    </cfRule>
  </conditionalFormatting>
  <conditionalFormatting sqref="AA46:AF46">
    <cfRule type="expression" dxfId="1859" priority="155">
      <formula>AA$9&gt;=20/24</formula>
    </cfRule>
    <cfRule type="expression" dxfId="1858" priority="156">
      <formula>AND(AA$9&gt;=14/24,AA$9&lt;20/24)</formula>
    </cfRule>
    <cfRule type="expression" dxfId="1857" priority="157">
      <formula>AND(AA$9&gt;=8/24,AA$9&lt;14/24)</formula>
    </cfRule>
    <cfRule type="expression" dxfId="1856" priority="158">
      <formula>AA$9&lt;8/24</formula>
    </cfRule>
  </conditionalFormatting>
  <conditionalFormatting sqref="B120">
    <cfRule type="expression" dxfId="1855" priority="27">
      <formula>B$9&gt;=20/24</formula>
    </cfRule>
    <cfRule type="expression" dxfId="1854" priority="28">
      <formula>AND(B$9&gt;=14/24,B$9&lt;20/24)</formula>
    </cfRule>
    <cfRule type="expression" dxfId="1853" priority="29">
      <formula>AND(B$9&gt;=8/24,B$9&lt;14/24)</formula>
    </cfRule>
    <cfRule type="expression" dxfId="1852" priority="30">
      <formula>B$9&lt;8/24</formula>
    </cfRule>
  </conditionalFormatting>
  <conditionalFormatting sqref="D120:AF120">
    <cfRule type="expression" dxfId="1851" priority="151">
      <formula>D$9&gt;=20/24</formula>
    </cfRule>
    <cfRule type="expression" dxfId="1850" priority="152">
      <formula>AND(D$9&gt;=14/24,D$9&lt;20/24)</formula>
    </cfRule>
    <cfRule type="expression" dxfId="1849" priority="153">
      <formula>AND(D$9&gt;=8/24,D$9&lt;14/24)</formula>
    </cfRule>
    <cfRule type="expression" dxfId="1848" priority="154">
      <formula>D$9&lt;8/24</formula>
    </cfRule>
  </conditionalFormatting>
  <conditionalFormatting sqref="C120">
    <cfRule type="expression" dxfId="1847" priority="147">
      <formula>C$9&gt;=20/24</formula>
    </cfRule>
    <cfRule type="expression" dxfId="1846" priority="148">
      <formula>AND(C$9&gt;=14/24,C$9&lt;20/24)</formula>
    </cfRule>
    <cfRule type="expression" dxfId="1845" priority="149">
      <formula>AND(C$9&gt;=8/24,C$9&lt;14/24)</formula>
    </cfRule>
    <cfRule type="expression" dxfId="1844" priority="150">
      <formula>C$9&lt;8/24</formula>
    </cfRule>
  </conditionalFormatting>
  <conditionalFormatting sqref="B111 B113:B119">
    <cfRule type="expression" dxfId="1843" priority="143">
      <formula>B$9&gt;=20/24</formula>
    </cfRule>
    <cfRule type="expression" dxfId="1842" priority="144">
      <formula>AND(B$9&gt;=14/24,B$9&lt;20/24)</formula>
    </cfRule>
    <cfRule type="expression" dxfId="1841" priority="145">
      <formula>AND(B$9&gt;=8/24,B$9&lt;14/24)</formula>
    </cfRule>
    <cfRule type="expression" dxfId="1840" priority="146">
      <formula>B$9&lt;8/24</formula>
    </cfRule>
  </conditionalFormatting>
  <conditionalFormatting sqref="B101">
    <cfRule type="expression" dxfId="1839" priority="139">
      <formula>B$9&gt;=20/24</formula>
    </cfRule>
    <cfRule type="expression" dxfId="1838" priority="140">
      <formula>AND(B$9&gt;=14/24,B$9&lt;20/24)</formula>
    </cfRule>
    <cfRule type="expression" dxfId="1837" priority="141">
      <formula>AND(B$9&gt;=8/24,B$9&lt;14/24)</formula>
    </cfRule>
    <cfRule type="expression" dxfId="1836" priority="142">
      <formula>B$9&lt;8/24</formula>
    </cfRule>
  </conditionalFormatting>
  <conditionalFormatting sqref="B73 B56:C59">
    <cfRule type="expression" dxfId="1835" priority="135">
      <formula>B$9&gt;=20/24</formula>
    </cfRule>
    <cfRule type="expression" dxfId="1834" priority="136">
      <formula>AND(B$9&gt;=14/24,B$9&lt;20/24)</formula>
    </cfRule>
    <cfRule type="expression" dxfId="1833" priority="137">
      <formula>AND(B$9&gt;=8/24,B$9&lt;14/24)</formula>
    </cfRule>
    <cfRule type="expression" dxfId="1832" priority="138">
      <formula>B$9&lt;8/24</formula>
    </cfRule>
  </conditionalFormatting>
  <conditionalFormatting sqref="B55:C55">
    <cfRule type="expression" dxfId="1831" priority="131">
      <formula>B$9&gt;=20/24</formula>
    </cfRule>
    <cfRule type="expression" dxfId="1830" priority="132">
      <formula>AND(B$9&gt;=14/24,B$9&lt;20/24)</formula>
    </cfRule>
    <cfRule type="expression" dxfId="1829" priority="133">
      <formula>AND(B$9&gt;=8/24,B$9&lt;14/24)</formula>
    </cfRule>
    <cfRule type="expression" dxfId="1828" priority="134">
      <formula>B$9&lt;8/24</formula>
    </cfRule>
  </conditionalFormatting>
  <conditionalFormatting sqref="B55:C59">
    <cfRule type="expression" dxfId="1827" priority="130">
      <formula>B55&gt;$AG55</formula>
    </cfRule>
  </conditionalFormatting>
  <conditionalFormatting sqref="B69:C71 B49:D49">
    <cfRule type="expression" dxfId="1826" priority="125">
      <formula>B49&gt;$AG49</formula>
    </cfRule>
  </conditionalFormatting>
  <conditionalFormatting sqref="B99 B90">
    <cfRule type="expression" dxfId="1825" priority="121">
      <formula>B$9&gt;=20/24</formula>
    </cfRule>
    <cfRule type="expression" dxfId="1824" priority="122">
      <formula>AND(B$9&gt;=14/24,B$9&lt;20/24)</formula>
    </cfRule>
    <cfRule type="expression" dxfId="1823" priority="123">
      <formula>AND(B$9&gt;=8/24,B$9&lt;14/24)</formula>
    </cfRule>
    <cfRule type="expression" dxfId="1822" priority="124">
      <formula>B$9&lt;8/24</formula>
    </cfRule>
  </conditionalFormatting>
  <conditionalFormatting sqref="B60:C60">
    <cfRule type="expression" dxfId="1821" priority="116">
      <formula>B60&gt;$AG60</formula>
    </cfRule>
  </conditionalFormatting>
  <conditionalFormatting sqref="B93:B97">
    <cfRule type="expression" dxfId="1820" priority="112">
      <formula>B$9&gt;=20/24</formula>
    </cfRule>
    <cfRule type="expression" dxfId="1819" priority="113">
      <formula>AND(B$9&gt;=14/24,B$9&lt;20/24)</formula>
    </cfRule>
    <cfRule type="expression" dxfId="1818" priority="114">
      <formula>AND(B$9&gt;=8/24,B$9&lt;14/24)</formula>
    </cfRule>
    <cfRule type="expression" dxfId="1817" priority="115">
      <formula>B$9&lt;8/24</formula>
    </cfRule>
  </conditionalFormatting>
  <conditionalFormatting sqref="B51:M53 N53:P53 N52:T52">
    <cfRule type="expression" dxfId="1816" priority="108">
      <formula>B$9&gt;=20/24</formula>
    </cfRule>
    <cfRule type="expression" dxfId="1815" priority="109">
      <formula>AND(B$9&gt;=14/24,B$9&lt;20/24)</formula>
    </cfRule>
    <cfRule type="expression" dxfId="1814" priority="110">
      <formula>AND(B$9&gt;=8/24,B$9&lt;14/24)</formula>
    </cfRule>
    <cfRule type="expression" dxfId="1813" priority="111">
      <formula>B$9&lt;8/24</formula>
    </cfRule>
  </conditionalFormatting>
  <conditionalFormatting sqref="B51:M53 N53:P53 N52:T52">
    <cfRule type="expression" dxfId="1812" priority="107">
      <formula>B51&gt;$AG51</formula>
    </cfRule>
  </conditionalFormatting>
  <conditionalFormatting sqref="B109">
    <cfRule type="expression" dxfId="1811" priority="103">
      <formula>B$9&gt;=20/24</formula>
    </cfRule>
    <cfRule type="expression" dxfId="1810" priority="104">
      <formula>AND(B$9&gt;=14/24,B$9&lt;20/24)</formula>
    </cfRule>
    <cfRule type="expression" dxfId="1809" priority="105">
      <formula>AND(B$9&gt;=8/24,B$9&lt;14/24)</formula>
    </cfRule>
    <cfRule type="expression" dxfId="1808" priority="106">
      <formula>B$9&lt;8/24</formula>
    </cfRule>
  </conditionalFormatting>
  <conditionalFormatting sqref="B112">
    <cfRule type="expression" dxfId="1807" priority="99">
      <formula>B$9&gt;=20/24</formula>
    </cfRule>
    <cfRule type="expression" dxfId="1806" priority="100">
      <formula>AND(B$9&gt;=14/24,B$9&lt;20/24)</formula>
    </cfRule>
    <cfRule type="expression" dxfId="1805" priority="101">
      <formula>AND(B$9&gt;=8/24,B$9&lt;14/24)</formula>
    </cfRule>
    <cfRule type="expression" dxfId="1804" priority="102">
      <formula>B$9&lt;8/24</formula>
    </cfRule>
  </conditionalFormatting>
  <conditionalFormatting sqref="B36:Z45 B19:Z34 AA31:AF31">
    <cfRule type="expression" dxfId="1803" priority="95">
      <formula>B$9&gt;=20/24</formula>
    </cfRule>
    <cfRule type="expression" dxfId="1802" priority="96">
      <formula>AND(B$9&gt;=14/24,B$9&lt;20/24)</formula>
    </cfRule>
    <cfRule type="expression" dxfId="1801" priority="97">
      <formula>AND(B$9&gt;=8/24,B$9&lt;14/24)</formula>
    </cfRule>
    <cfRule type="expression" dxfId="1800" priority="98">
      <formula>B$9&lt;8/24</formula>
    </cfRule>
  </conditionalFormatting>
  <conditionalFormatting sqref="B36:Z45 B19:Z34 AA31:AF31">
    <cfRule type="expression" dxfId="1799" priority="94">
      <formula>B19&gt;$AG19</formula>
    </cfRule>
  </conditionalFormatting>
  <conditionalFormatting sqref="B85:B87 B77:B83">
    <cfRule type="expression" dxfId="1798" priority="90">
      <formula>B$9&gt;=20/24</formula>
    </cfRule>
    <cfRule type="expression" dxfId="1797" priority="91">
      <formula>AND(B$9&gt;=14/24,B$9&lt;20/24)</formula>
    </cfRule>
    <cfRule type="expression" dxfId="1796" priority="92">
      <formula>AND(B$9&gt;=8/24,B$9&lt;14/24)</formula>
    </cfRule>
    <cfRule type="expression" dxfId="1795" priority="93">
      <formula>B$9&lt;8/24</formula>
    </cfRule>
  </conditionalFormatting>
  <conditionalFormatting sqref="B89 B91 B100 B72">
    <cfRule type="expression" dxfId="1794" priority="86">
      <formula>B$9&gt;=20/24</formula>
    </cfRule>
    <cfRule type="expression" dxfId="1793" priority="87">
      <formula>AND(B$9&gt;=14/24,B$9&lt;20/24)</formula>
    </cfRule>
    <cfRule type="expression" dxfId="1792" priority="88">
      <formula>AND(B$9&gt;=8/24,B$9&lt;14/24)</formula>
    </cfRule>
    <cfRule type="expression" dxfId="1791" priority="89">
      <formula>B$9&lt;8/24</formula>
    </cfRule>
  </conditionalFormatting>
  <conditionalFormatting sqref="B72 B67:C68">
    <cfRule type="expression" dxfId="1790" priority="85">
      <formula>B67&gt;$AG67</formula>
    </cfRule>
  </conditionalFormatting>
  <conditionalFormatting sqref="B84">
    <cfRule type="expression" dxfId="1789" priority="81">
      <formula>B$9&gt;=20/24</formula>
    </cfRule>
    <cfRule type="expression" dxfId="1788" priority="82">
      <formula>AND(B$9&gt;=14/24,B$9&lt;20/24)</formula>
    </cfRule>
    <cfRule type="expression" dxfId="1787" priority="83">
      <formula>AND(B$9&gt;=8/24,B$9&lt;14/24)</formula>
    </cfRule>
    <cfRule type="expression" dxfId="1786" priority="84">
      <formula>B$9&lt;8/24</formula>
    </cfRule>
  </conditionalFormatting>
  <conditionalFormatting sqref="B54:C54">
    <cfRule type="expression" dxfId="1785" priority="77">
      <formula>B$9&gt;=20/24</formula>
    </cfRule>
    <cfRule type="expression" dxfId="1784" priority="78">
      <formula>AND(B$9&gt;=14/24,B$9&lt;20/24)</formula>
    </cfRule>
    <cfRule type="expression" dxfId="1783" priority="79">
      <formula>AND(B$9&gt;=8/24,B$9&lt;14/24)</formula>
    </cfRule>
    <cfRule type="expression" dxfId="1782" priority="80">
      <formula>B$9&lt;8/24</formula>
    </cfRule>
  </conditionalFormatting>
  <conditionalFormatting sqref="B54:C54">
    <cfRule type="expression" dxfId="1781" priority="76">
      <formula>B54&gt;$AG54</formula>
    </cfRule>
  </conditionalFormatting>
  <conditionalFormatting sqref="B61:C66">
    <cfRule type="expression" dxfId="1780" priority="68">
      <formula>B$9&gt;=20/24</formula>
    </cfRule>
    <cfRule type="expression" dxfId="1779" priority="69">
      <formula>AND(B$9&gt;=14/24,B$9&lt;20/24)</formula>
    </cfRule>
    <cfRule type="expression" dxfId="1778" priority="70">
      <formula>AND(B$9&gt;=8/24,B$9&lt;14/24)</formula>
    </cfRule>
    <cfRule type="expression" dxfId="1777" priority="71">
      <formula>B$9&lt;8/24</formula>
    </cfRule>
  </conditionalFormatting>
  <conditionalFormatting sqref="B61:C66">
    <cfRule type="expression" dxfId="1776" priority="67">
      <formula>B61&gt;$AG61</formula>
    </cfRule>
  </conditionalFormatting>
  <conditionalFormatting sqref="B47:Z47">
    <cfRule type="expression" dxfId="1775" priority="66">
      <formula>B47&gt;$AG47</formula>
    </cfRule>
  </conditionalFormatting>
  <conditionalFormatting sqref="B13:Z13">
    <cfRule type="expression" dxfId="1774" priority="62">
      <formula>B$9&gt;=20/24</formula>
    </cfRule>
    <cfRule type="expression" dxfId="1773" priority="63">
      <formula>AND(B$9&gt;=14/24,B$9&lt;20/24)</formula>
    </cfRule>
    <cfRule type="expression" dxfId="1772" priority="64">
      <formula>AND(B$9&gt;=8/24,B$9&lt;14/24)</formula>
    </cfRule>
    <cfRule type="expression" dxfId="1771" priority="65">
      <formula>B$9&lt;8/24</formula>
    </cfRule>
  </conditionalFormatting>
  <conditionalFormatting sqref="B13:Z13">
    <cfRule type="expression" dxfId="1770" priority="61">
      <formula>B13&gt;$AG13</formula>
    </cfRule>
  </conditionalFormatting>
  <conditionalFormatting sqref="B47:Z47">
    <cfRule type="expression" dxfId="1769" priority="57">
      <formula>B$9&gt;=20/24</formula>
    </cfRule>
    <cfRule type="expression" dxfId="1768" priority="58">
      <formula>AND(B$9&gt;=14/24,B$9&lt;20/24)</formula>
    </cfRule>
    <cfRule type="expression" dxfId="1767" priority="59">
      <formula>AND(B$9&gt;=8/24,B$9&lt;14/24)</formula>
    </cfRule>
    <cfRule type="expression" dxfId="1766" priority="60">
      <formula>B$9&lt;8/24</formula>
    </cfRule>
  </conditionalFormatting>
  <conditionalFormatting sqref="B48:Z48">
    <cfRule type="expression" dxfId="1765" priority="53">
      <formula>B$9&gt;=20/24</formula>
    </cfRule>
    <cfRule type="expression" dxfId="1764" priority="54">
      <formula>AND(B$9&gt;=14/24,B$9&lt;20/24)</formula>
    </cfRule>
    <cfRule type="expression" dxfId="1763" priority="55">
      <formula>AND(B$9&gt;=8/24,B$9&lt;14/24)</formula>
    </cfRule>
    <cfRule type="expression" dxfId="1762" priority="56">
      <formula>B$9&lt;8/24</formula>
    </cfRule>
  </conditionalFormatting>
  <conditionalFormatting sqref="B48:Z48">
    <cfRule type="expression" dxfId="1761" priority="52">
      <formula>B48&gt;$AG48</formula>
    </cfRule>
  </conditionalFormatting>
  <conditionalFormatting sqref="B50:D50">
    <cfRule type="expression" dxfId="1760" priority="51">
      <formula>B50&gt;$AG50</formula>
    </cfRule>
  </conditionalFormatting>
  <conditionalFormatting sqref="B11:Z11">
    <cfRule type="expression" dxfId="1759" priority="47">
      <formula>B$9&gt;=20/24</formula>
    </cfRule>
    <cfRule type="expression" dxfId="1758" priority="48">
      <formula>AND(B$9&gt;=14/24,B$9&lt;20/24)</formula>
    </cfRule>
    <cfRule type="expression" dxfId="1757" priority="49">
      <formula>AND(B$9&gt;=8/24,B$9&lt;14/24)</formula>
    </cfRule>
    <cfRule type="expression" dxfId="1756" priority="50">
      <formula>B$9&lt;8/24</formula>
    </cfRule>
  </conditionalFormatting>
  <conditionalFormatting sqref="B11:Z11">
    <cfRule type="expression" dxfId="1755" priority="46">
      <formula>B11&gt;$AG11</formula>
    </cfRule>
  </conditionalFormatting>
  <conditionalFormatting sqref="B18:Z18">
    <cfRule type="expression" dxfId="1754" priority="42">
      <formula>B$9&gt;=20/24</formula>
    </cfRule>
    <cfRule type="expression" dxfId="1753" priority="43">
      <formula>AND(B$9&gt;=14/24,B$9&lt;20/24)</formula>
    </cfRule>
    <cfRule type="expression" dxfId="1752" priority="44">
      <formula>AND(B$9&gt;=8/24,B$9&lt;14/24)</formula>
    </cfRule>
    <cfRule type="expression" dxfId="1751" priority="45">
      <formula>B$9&lt;8/24</formula>
    </cfRule>
  </conditionalFormatting>
  <conditionalFormatting sqref="B18:Z18">
    <cfRule type="expression" dxfId="1750" priority="41">
      <formula>B18&gt;$AG18</formula>
    </cfRule>
  </conditionalFormatting>
  <conditionalFormatting sqref="B35:Z35">
    <cfRule type="expression" dxfId="1749" priority="37">
      <formula>B$9&gt;=20/24</formula>
    </cfRule>
    <cfRule type="expression" dxfId="1748" priority="38">
      <formula>AND(B$9&gt;=14/24,B$9&lt;20/24)</formula>
    </cfRule>
    <cfRule type="expression" dxfId="1747" priority="39">
      <formula>AND(B$9&gt;=8/24,B$9&lt;14/24)</formula>
    </cfRule>
    <cfRule type="expression" dxfId="1746" priority="40">
      <formula>B$9&lt;8/24</formula>
    </cfRule>
  </conditionalFormatting>
  <conditionalFormatting sqref="B35:Z35">
    <cfRule type="expression" dxfId="1745" priority="36">
      <formula>B35&gt;$AG35</formula>
    </cfRule>
  </conditionalFormatting>
  <conditionalFormatting sqref="B46:Z46">
    <cfRule type="expression" dxfId="1744" priority="35">
      <formula>B46&gt;$AG46</formula>
    </cfRule>
  </conditionalFormatting>
  <conditionalFormatting sqref="B46:Z46">
    <cfRule type="expression" dxfId="1743" priority="31">
      <formula>B$9&gt;=20/24</formula>
    </cfRule>
    <cfRule type="expression" dxfId="1742" priority="32">
      <formula>AND(B$9&gt;=14/24,B$9&lt;20/24)</formula>
    </cfRule>
    <cfRule type="expression" dxfId="1741" priority="33">
      <formula>AND(B$9&gt;=8/24,B$9&lt;14/24)</formula>
    </cfRule>
    <cfRule type="expression" dxfId="1740" priority="3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6" id="{BA99C66A-6DE7-4B9F-8EAE-02EF15940E8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7" id="{D5649725-34A1-41B5-B0D8-1DBF3EDF2E0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8" id="{48EDF1B3-7307-4D30-9080-30240C01A01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9" id="{A9807BBF-3CA5-4CF5-871F-005C5290FC9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2" id="{EAA56C4A-50D6-441F-99B3-573CE1C5B42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71E1F641-8112-42FC-BB3A-2247CCE13C6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210DAA5C-BCB9-4FC7-BDA9-46418CD94CE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DD9C3839-FF80-47E0-B133-8B6AA2C60D4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B982-2F2B-483F-80C5-6B887B676EC7}">
  <dimension ref="A1:CJ281"/>
  <sheetViews>
    <sheetView zoomScale="90" zoomScaleNormal="90" workbookViewId="0">
      <pane xSplit="1" ySplit="10" topLeftCell="C101" activePane="bottomRight" state="frozen"/>
      <selection pane="topRight" activeCell="B1" sqref="B1"/>
      <selection pane="bottomLeft" activeCell="A11" sqref="A11"/>
      <selection pane="bottomRight" activeCell="A113" sqref="A113:XFD11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7.140625" style="1" customWidth="1"/>
    <col min="11" max="12" width="6.5703125" style="1" customWidth="1"/>
    <col min="13" max="13" width="8.140625" style="1" customWidth="1"/>
    <col min="14" max="14" width="6.7109375" style="1" customWidth="1"/>
    <col min="15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2080/02/31</v>
      </c>
      <c r="C4" s="191"/>
      <c r="D4" s="191"/>
      <c r="E4" s="192" t="str">
        <f ca="1">"2079/"&amp;"12/"&amp;INT(MID(CELL("filename",G6),FIND("]",CELL("filename",G6))+1,200))</f>
        <v>2079/12/31</v>
      </c>
      <c r="F4" s="192"/>
      <c r="G4" s="192"/>
      <c r="H4" s="192" t="str">
        <f ca="1">TEXT(E4,"dddd")</f>
        <v>Sunday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74</v>
      </c>
      <c r="C5" s="30">
        <f t="shared" si="0"/>
        <v>55</v>
      </c>
      <c r="D5" s="30">
        <f t="shared" si="0"/>
        <v>45</v>
      </c>
      <c r="E5" s="30">
        <f t="shared" si="0"/>
        <v>51.1</v>
      </c>
      <c r="F5" s="30">
        <f t="shared" si="0"/>
        <v>45</v>
      </c>
      <c r="G5" s="30">
        <f t="shared" si="0"/>
        <v>45</v>
      </c>
      <c r="H5" s="30">
        <f t="shared" si="0"/>
        <v>45</v>
      </c>
      <c r="I5" s="30">
        <f t="shared" si="0"/>
        <v>45</v>
      </c>
      <c r="J5" s="30">
        <f t="shared" si="0"/>
        <v>77</v>
      </c>
      <c r="K5" s="30">
        <f t="shared" si="0"/>
        <v>78</v>
      </c>
      <c r="L5" s="30">
        <f t="shared" si="0"/>
        <v>78.3</v>
      </c>
      <c r="M5" s="30">
        <f t="shared" si="0"/>
        <v>74.900000000000006</v>
      </c>
      <c r="N5" s="30">
        <f t="shared" si="0"/>
        <v>83.8</v>
      </c>
      <c r="O5" s="30">
        <f t="shared" si="0"/>
        <v>77.099999999999994</v>
      </c>
      <c r="P5" s="30">
        <f t="shared" si="0"/>
        <v>77.099999999999994</v>
      </c>
      <c r="Q5" s="30">
        <f t="shared" si="0"/>
        <v>77.099999999999994</v>
      </c>
      <c r="R5" s="30">
        <f t="shared" si="0"/>
        <v>75</v>
      </c>
      <c r="S5" s="30">
        <f t="shared" si="0"/>
        <v>78</v>
      </c>
      <c r="T5" s="30">
        <f t="shared" si="0"/>
        <v>62.65</v>
      </c>
      <c r="U5" s="30">
        <f t="shared" si="0"/>
        <v>70</v>
      </c>
      <c r="V5" s="30">
        <f t="shared" si="0"/>
        <v>79.400000000000006</v>
      </c>
      <c r="W5" s="30">
        <f t="shared" si="0"/>
        <v>79.400000000000006</v>
      </c>
      <c r="X5" s="30">
        <f t="shared" si="0"/>
        <v>55</v>
      </c>
      <c r="Y5" s="30">
        <f t="shared" si="0"/>
        <v>79.400000000000006</v>
      </c>
      <c r="Z5" s="30">
        <f t="shared" si="0"/>
        <v>75.3</v>
      </c>
      <c r="AA5" s="30">
        <f t="shared" si="0"/>
        <v>77.400000000000006</v>
      </c>
      <c r="AB5" s="30">
        <f t="shared" si="0"/>
        <v>69.7</v>
      </c>
      <c r="AC5" s="30">
        <f t="shared" si="0"/>
        <v>65.099999999999994</v>
      </c>
      <c r="AD5" s="30">
        <f t="shared" si="0"/>
        <v>67.2</v>
      </c>
      <c r="AE5" s="30">
        <f t="shared" si="0"/>
        <v>68</v>
      </c>
      <c r="AF5" s="30">
        <f>B84</f>
        <v>74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1948MW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Load=1722</v>
      </c>
      <c r="B7" s="35">
        <f t="shared" ref="B7:AF7" si="1">B91</f>
        <v>1903.34</v>
      </c>
      <c r="C7" s="35">
        <f t="shared" si="1"/>
        <v>1860.6399999999999</v>
      </c>
      <c r="D7" s="35">
        <f t="shared" si="1"/>
        <v>1806.6399999999999</v>
      </c>
      <c r="E7" s="35">
        <f t="shared" si="1"/>
        <v>1789.44</v>
      </c>
      <c r="F7" s="35">
        <f t="shared" si="1"/>
        <v>1748.8399999999997</v>
      </c>
      <c r="G7" s="35">
        <f t="shared" si="1"/>
        <v>1742.7399999999998</v>
      </c>
      <c r="H7" s="35">
        <f t="shared" si="1"/>
        <v>1752.1399999999999</v>
      </c>
      <c r="I7" s="35">
        <f t="shared" si="1"/>
        <v>1723.4399999999998</v>
      </c>
      <c r="J7" s="35">
        <f t="shared" si="1"/>
        <v>1721.7399999999998</v>
      </c>
      <c r="K7" s="35">
        <f t="shared" si="1"/>
        <v>1799.94</v>
      </c>
      <c r="L7" s="35">
        <f t="shared" si="1"/>
        <v>1878.54</v>
      </c>
      <c r="M7" s="35">
        <f t="shared" si="1"/>
        <v>1948.0399999999997</v>
      </c>
      <c r="N7" s="35">
        <f>N91</f>
        <v>1908.7399999999998</v>
      </c>
      <c r="O7" s="35">
        <f t="shared" si="1"/>
        <v>1973.6399999999996</v>
      </c>
      <c r="P7" s="35">
        <f t="shared" si="1"/>
        <v>1966.9399999999996</v>
      </c>
      <c r="Q7" s="35">
        <f t="shared" si="1"/>
        <v>1984.8399999999997</v>
      </c>
      <c r="R7" s="35">
        <f t="shared" si="1"/>
        <v>2000.3399999999997</v>
      </c>
      <c r="S7" s="35">
        <f t="shared" si="1"/>
        <v>2071.04</v>
      </c>
      <c r="T7" s="35">
        <f t="shared" si="1"/>
        <v>2035.1399999999996</v>
      </c>
      <c r="U7" s="35">
        <f t="shared" si="1"/>
        <v>2002.4899999999998</v>
      </c>
      <c r="V7" s="35">
        <f t="shared" si="1"/>
        <v>1976.1399999999999</v>
      </c>
      <c r="W7" s="35">
        <f t="shared" si="1"/>
        <v>1983.1399999999999</v>
      </c>
      <c r="X7" s="35">
        <f t="shared" si="1"/>
        <v>1967.1399999999999</v>
      </c>
      <c r="Y7" s="35">
        <f t="shared" si="1"/>
        <v>1945.3399999999997</v>
      </c>
      <c r="Z7" s="35">
        <f t="shared" si="1"/>
        <v>1891.6399999999999</v>
      </c>
      <c r="AA7" s="35">
        <f t="shared" si="1"/>
        <v>1960.04</v>
      </c>
      <c r="AB7" s="35">
        <f t="shared" si="1"/>
        <v>1829.7399999999998</v>
      </c>
      <c r="AC7" s="35">
        <f t="shared" si="1"/>
        <v>1952.4399999999998</v>
      </c>
      <c r="AD7" s="35">
        <f t="shared" si="1"/>
        <v>2045.8399999999997</v>
      </c>
      <c r="AE7" s="35">
        <f t="shared" si="1"/>
        <v>2043.2400000000002</v>
      </c>
      <c r="AF7" s="35">
        <f t="shared" si="1"/>
        <v>1910.3400000000001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40</v>
      </c>
      <c r="C11" s="45">
        <v>40</v>
      </c>
      <c r="D11" s="45">
        <v>40</v>
      </c>
      <c r="E11" s="45">
        <v>40</v>
      </c>
      <c r="F11" s="45">
        <v>40</v>
      </c>
      <c r="G11" s="45">
        <v>40</v>
      </c>
      <c r="H11" s="45">
        <v>40</v>
      </c>
      <c r="I11" s="45">
        <v>40</v>
      </c>
      <c r="J11" s="45">
        <v>40</v>
      </c>
      <c r="K11" s="45">
        <v>40</v>
      </c>
      <c r="L11" s="45">
        <v>40</v>
      </c>
      <c r="M11" s="45">
        <v>60</v>
      </c>
      <c r="N11" s="45">
        <v>60</v>
      </c>
      <c r="O11" s="45">
        <v>60</v>
      </c>
      <c r="P11" s="45">
        <v>60</v>
      </c>
      <c r="Q11" s="45">
        <v>60</v>
      </c>
      <c r="R11" s="45">
        <v>60</v>
      </c>
      <c r="S11" s="45">
        <v>60</v>
      </c>
      <c r="T11" s="45">
        <v>60</v>
      </c>
      <c r="U11" s="45">
        <v>60</v>
      </c>
      <c r="V11" s="45">
        <v>60</v>
      </c>
      <c r="W11" s="45">
        <v>60</v>
      </c>
      <c r="X11" s="45">
        <v>60</v>
      </c>
      <c r="Y11" s="45">
        <v>60</v>
      </c>
      <c r="Z11" s="45">
        <v>60</v>
      </c>
      <c r="AA11" s="45">
        <v>60</v>
      </c>
      <c r="AB11" s="45">
        <v>60</v>
      </c>
      <c r="AC11" s="45">
        <v>60</v>
      </c>
      <c r="AD11" s="45">
        <v>60</v>
      </c>
      <c r="AE11" s="45">
        <v>60</v>
      </c>
      <c r="AF11" s="45">
        <v>60</v>
      </c>
      <c r="AG11" s="46">
        <v>86</v>
      </c>
      <c r="AH11" s="47">
        <f t="shared" ref="AH11:AH76" si="2">MAX(B11:AF11)</f>
        <v>60</v>
      </c>
      <c r="AI11" s="48">
        <f t="shared" ref="AI11:AI76" si="3">MIN(B11:AF11)</f>
        <v>40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50">
        <v>54</v>
      </c>
      <c r="AH12" s="47">
        <f t="shared" si="2"/>
        <v>0</v>
      </c>
      <c r="AI12" s="48">
        <f t="shared" si="3"/>
        <v>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47</v>
      </c>
      <c r="C13" s="45">
        <v>47</v>
      </c>
      <c r="D13" s="45">
        <v>47</v>
      </c>
      <c r="E13" s="45">
        <v>47</v>
      </c>
      <c r="F13" s="45">
        <v>54</v>
      </c>
      <c r="G13" s="45">
        <v>54</v>
      </c>
      <c r="H13" s="45">
        <v>54</v>
      </c>
      <c r="I13" s="45">
        <v>54</v>
      </c>
      <c r="J13" s="45">
        <v>54</v>
      </c>
      <c r="K13" s="45">
        <v>54</v>
      </c>
      <c r="L13" s="45">
        <v>54</v>
      </c>
      <c r="M13" s="45">
        <v>28.9</v>
      </c>
      <c r="N13" s="45">
        <v>28.9</v>
      </c>
      <c r="O13" s="45">
        <v>28.9</v>
      </c>
      <c r="P13" s="45">
        <v>28.9</v>
      </c>
      <c r="Q13" s="45">
        <v>28.9</v>
      </c>
      <c r="R13" s="45">
        <v>28.9</v>
      </c>
      <c r="S13" s="45">
        <v>28.9</v>
      </c>
      <c r="T13" s="45">
        <v>31</v>
      </c>
      <c r="U13" s="45">
        <v>31</v>
      </c>
      <c r="V13" s="45">
        <v>31</v>
      </c>
      <c r="W13" s="45">
        <v>31</v>
      </c>
      <c r="X13" s="45">
        <v>31</v>
      </c>
      <c r="Y13" s="45">
        <v>31</v>
      </c>
      <c r="Z13" s="45">
        <v>36.5</v>
      </c>
      <c r="AA13" s="45">
        <v>36.5</v>
      </c>
      <c r="AB13" s="45">
        <v>36.5</v>
      </c>
      <c r="AC13" s="45">
        <v>36.5</v>
      </c>
      <c r="AD13" s="45">
        <v>36.5</v>
      </c>
      <c r="AE13" s="45">
        <v>45.3</v>
      </c>
      <c r="AF13" s="45">
        <v>45.3</v>
      </c>
      <c r="AG13" s="46">
        <v>52.4</v>
      </c>
      <c r="AH13" s="47">
        <f t="shared" si="2"/>
        <v>54</v>
      </c>
      <c r="AI13" s="48">
        <f t="shared" si="3"/>
        <v>28.9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>
        <v>50.3</v>
      </c>
      <c r="C14" s="58">
        <v>50.3</v>
      </c>
      <c r="D14" s="58">
        <v>50.3</v>
      </c>
      <c r="E14" s="58">
        <v>50.3</v>
      </c>
      <c r="F14" s="58">
        <v>50.8</v>
      </c>
      <c r="G14" s="58">
        <v>50.8</v>
      </c>
      <c r="H14" s="58">
        <v>50.8</v>
      </c>
      <c r="I14" s="58">
        <v>50.8</v>
      </c>
      <c r="J14" s="58">
        <v>50.8</v>
      </c>
      <c r="K14" s="58">
        <v>50.8</v>
      </c>
      <c r="L14" s="58">
        <v>50.8</v>
      </c>
      <c r="M14" s="58">
        <v>50.6</v>
      </c>
      <c r="N14" s="58">
        <v>50.6</v>
      </c>
      <c r="O14" s="58">
        <v>50.6</v>
      </c>
      <c r="P14" s="58">
        <v>50.6</v>
      </c>
      <c r="Q14" s="58">
        <v>50.6</v>
      </c>
      <c r="R14" s="58">
        <v>50.6</v>
      </c>
      <c r="S14" s="58">
        <v>50.6</v>
      </c>
      <c r="T14" s="58">
        <v>50.6</v>
      </c>
      <c r="U14" s="58">
        <v>50.6</v>
      </c>
      <c r="V14" s="58">
        <v>50.6</v>
      </c>
      <c r="W14" s="58">
        <v>50.6</v>
      </c>
      <c r="X14" s="58">
        <v>50.6</v>
      </c>
      <c r="Y14" s="58">
        <v>50.6</v>
      </c>
      <c r="Z14" s="58">
        <v>50.6</v>
      </c>
      <c r="AA14" s="45">
        <v>50.6</v>
      </c>
      <c r="AB14" s="45">
        <v>50.6</v>
      </c>
      <c r="AC14" s="45">
        <v>50.6</v>
      </c>
      <c r="AD14" s="45">
        <v>50.6</v>
      </c>
      <c r="AE14" s="45">
        <v>50.5</v>
      </c>
      <c r="AF14" s="45">
        <v>50.5</v>
      </c>
      <c r="AG14" s="50">
        <v>50</v>
      </c>
      <c r="AH14" s="47">
        <f t="shared" si="2"/>
        <v>50.8</v>
      </c>
      <c r="AI14" s="48">
        <f t="shared" si="3"/>
        <v>50.3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45.7</v>
      </c>
      <c r="C15" s="45">
        <v>45.7</v>
      </c>
      <c r="D15" s="45">
        <v>45.7</v>
      </c>
      <c r="E15" s="45">
        <v>37</v>
      </c>
      <c r="F15" s="45">
        <v>42</v>
      </c>
      <c r="G15" s="45">
        <v>42</v>
      </c>
      <c r="H15" s="45">
        <v>42</v>
      </c>
      <c r="I15" s="45">
        <v>42</v>
      </c>
      <c r="J15" s="45">
        <v>42</v>
      </c>
      <c r="K15" s="45">
        <v>42</v>
      </c>
      <c r="L15" s="45">
        <v>42</v>
      </c>
      <c r="M15" s="45">
        <v>43.3</v>
      </c>
      <c r="N15" s="45">
        <v>43.3</v>
      </c>
      <c r="O15" s="45">
        <v>43.3</v>
      </c>
      <c r="P15" s="45">
        <v>43.3</v>
      </c>
      <c r="Q15" s="45">
        <v>43.3</v>
      </c>
      <c r="R15" s="45">
        <v>43.3</v>
      </c>
      <c r="S15" s="45">
        <v>43.3</v>
      </c>
      <c r="T15" s="45">
        <v>43.3</v>
      </c>
      <c r="U15" s="45">
        <v>43.3</v>
      </c>
      <c r="V15" s="45">
        <v>43.3</v>
      </c>
      <c r="W15" s="45">
        <v>43.3</v>
      </c>
      <c r="X15" s="45">
        <v>43.3</v>
      </c>
      <c r="Y15" s="45">
        <v>43.3</v>
      </c>
      <c r="Z15" s="45">
        <v>43.3</v>
      </c>
      <c r="AA15" s="45">
        <v>43.3</v>
      </c>
      <c r="AB15" s="45">
        <v>43.3</v>
      </c>
      <c r="AC15" s="45">
        <v>43.3</v>
      </c>
      <c r="AD15" s="45">
        <v>43.3</v>
      </c>
      <c r="AE15" s="45">
        <v>45.1</v>
      </c>
      <c r="AF15" s="45">
        <v>45.1</v>
      </c>
      <c r="AG15" s="50">
        <v>45</v>
      </c>
      <c r="AH15" s="47">
        <f t="shared" si="2"/>
        <v>45.7</v>
      </c>
      <c r="AI15" s="48">
        <f t="shared" si="3"/>
        <v>37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46</v>
      </c>
      <c r="C16" s="45">
        <v>46</v>
      </c>
      <c r="D16" s="45">
        <v>46</v>
      </c>
      <c r="E16" s="45">
        <v>46</v>
      </c>
      <c r="F16" s="45">
        <v>46</v>
      </c>
      <c r="G16" s="45">
        <v>46</v>
      </c>
      <c r="H16" s="45">
        <v>46</v>
      </c>
      <c r="I16" s="45">
        <v>46</v>
      </c>
      <c r="J16" s="45">
        <v>46</v>
      </c>
      <c r="K16" s="45">
        <v>46</v>
      </c>
      <c r="L16" s="45">
        <v>46</v>
      </c>
      <c r="M16" s="45">
        <v>46</v>
      </c>
      <c r="N16" s="45">
        <v>46</v>
      </c>
      <c r="O16" s="45">
        <v>46</v>
      </c>
      <c r="P16" s="45">
        <v>46</v>
      </c>
      <c r="Q16" s="45">
        <v>46</v>
      </c>
      <c r="R16" s="45">
        <v>46</v>
      </c>
      <c r="S16" s="45">
        <v>46</v>
      </c>
      <c r="T16" s="45">
        <v>46</v>
      </c>
      <c r="U16" s="45">
        <v>46</v>
      </c>
      <c r="V16" s="45">
        <v>46</v>
      </c>
      <c r="W16" s="45">
        <v>46</v>
      </c>
      <c r="X16" s="45">
        <v>46</v>
      </c>
      <c r="Y16" s="45">
        <v>46</v>
      </c>
      <c r="Z16" s="45">
        <v>46</v>
      </c>
      <c r="AA16" s="45">
        <v>46</v>
      </c>
      <c r="AB16" s="45">
        <v>46</v>
      </c>
      <c r="AC16" s="45">
        <v>46</v>
      </c>
      <c r="AD16" s="45">
        <v>46</v>
      </c>
      <c r="AE16" s="45">
        <v>44</v>
      </c>
      <c r="AF16" s="45">
        <v>44</v>
      </c>
      <c r="AG16" s="50">
        <v>44</v>
      </c>
      <c r="AH16" s="47">
        <f>MAX(B16:AG16)</f>
        <v>46</v>
      </c>
      <c r="AI16" s="48">
        <f>MIN(B16:AG16)</f>
        <v>44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42</v>
      </c>
      <c r="C17" s="45">
        <v>42</v>
      </c>
      <c r="D17" s="45">
        <v>42</v>
      </c>
      <c r="E17" s="45">
        <v>42</v>
      </c>
      <c r="F17" s="45">
        <v>35</v>
      </c>
      <c r="G17" s="45">
        <v>35</v>
      </c>
      <c r="H17" s="45">
        <v>35</v>
      </c>
      <c r="I17" s="45">
        <v>35</v>
      </c>
      <c r="J17" s="45">
        <v>35</v>
      </c>
      <c r="K17" s="45">
        <v>40</v>
      </c>
      <c r="L17" s="45">
        <v>40</v>
      </c>
      <c r="M17" s="45">
        <v>40</v>
      </c>
      <c r="N17" s="45">
        <v>40</v>
      </c>
      <c r="O17" s="45">
        <v>40</v>
      </c>
      <c r="P17" s="45">
        <v>40</v>
      </c>
      <c r="Q17" s="45">
        <v>40</v>
      </c>
      <c r="R17" s="45">
        <v>40</v>
      </c>
      <c r="S17" s="45">
        <v>40</v>
      </c>
      <c r="T17" s="45">
        <v>42</v>
      </c>
      <c r="U17" s="45">
        <v>42</v>
      </c>
      <c r="V17" s="45">
        <v>42</v>
      </c>
      <c r="W17" s="45">
        <v>42</v>
      </c>
      <c r="X17" s="45">
        <v>42</v>
      </c>
      <c r="Y17" s="45">
        <v>42</v>
      </c>
      <c r="Z17" s="45">
        <v>39</v>
      </c>
      <c r="AA17" s="45">
        <v>42</v>
      </c>
      <c r="AB17" s="45">
        <v>42</v>
      </c>
      <c r="AC17" s="45">
        <v>42</v>
      </c>
      <c r="AD17" s="45">
        <v>42</v>
      </c>
      <c r="AE17" s="45">
        <v>40.200000000000003</v>
      </c>
      <c r="AF17" s="45">
        <v>40.200000000000003</v>
      </c>
      <c r="AG17" s="50">
        <v>42</v>
      </c>
      <c r="AH17" s="47">
        <f t="shared" si="2"/>
        <v>42</v>
      </c>
      <c r="AI17" s="48">
        <f t="shared" si="3"/>
        <v>35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20</v>
      </c>
      <c r="C18" s="45">
        <v>20</v>
      </c>
      <c r="D18" s="45">
        <v>20</v>
      </c>
      <c r="E18" s="45">
        <v>20</v>
      </c>
      <c r="F18" s="45">
        <v>20</v>
      </c>
      <c r="G18" s="45">
        <v>20</v>
      </c>
      <c r="H18" s="45">
        <v>20</v>
      </c>
      <c r="I18" s="45">
        <v>20</v>
      </c>
      <c r="J18" s="45">
        <v>20</v>
      </c>
      <c r="K18" s="45">
        <v>20</v>
      </c>
      <c r="L18" s="45">
        <v>20</v>
      </c>
      <c r="M18" s="45">
        <v>20</v>
      </c>
      <c r="N18" s="45">
        <v>20</v>
      </c>
      <c r="O18" s="45">
        <v>20</v>
      </c>
      <c r="P18" s="45">
        <v>20</v>
      </c>
      <c r="Q18" s="45">
        <v>20</v>
      </c>
      <c r="R18" s="45">
        <v>20</v>
      </c>
      <c r="S18" s="45">
        <v>20</v>
      </c>
      <c r="T18" s="45">
        <v>20</v>
      </c>
      <c r="U18" s="45">
        <v>20</v>
      </c>
      <c r="V18" s="45">
        <v>20</v>
      </c>
      <c r="W18" s="45">
        <v>20</v>
      </c>
      <c r="X18" s="45">
        <v>20</v>
      </c>
      <c r="Y18" s="45">
        <v>20</v>
      </c>
      <c r="Z18" s="45">
        <v>20</v>
      </c>
      <c r="AA18" s="45">
        <v>20</v>
      </c>
      <c r="AB18" s="45">
        <v>20</v>
      </c>
      <c r="AC18" s="45">
        <v>20</v>
      </c>
      <c r="AD18" s="45">
        <v>20</v>
      </c>
      <c r="AE18" s="45">
        <v>20</v>
      </c>
      <c r="AF18" s="45">
        <v>20</v>
      </c>
      <c r="AG18" s="50">
        <v>38.46</v>
      </c>
      <c r="AH18" s="47">
        <f t="shared" si="2"/>
        <v>20</v>
      </c>
      <c r="AI18" s="48">
        <f t="shared" si="3"/>
        <v>20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50">
        <v>36</v>
      </c>
      <c r="AH19" s="47">
        <f t="shared" si="2"/>
        <v>36</v>
      </c>
      <c r="AI19" s="48">
        <f t="shared" si="3"/>
        <v>36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29.7</v>
      </c>
      <c r="C20" s="45">
        <v>29.7</v>
      </c>
      <c r="D20" s="45">
        <v>29.7</v>
      </c>
      <c r="E20" s="45">
        <v>15.8</v>
      </c>
      <c r="F20" s="45">
        <v>15.8</v>
      </c>
      <c r="G20" s="45">
        <v>15.8</v>
      </c>
      <c r="H20" s="45">
        <v>15.8</v>
      </c>
      <c r="I20" s="45">
        <v>15.8</v>
      </c>
      <c r="J20" s="45">
        <v>15.8</v>
      </c>
      <c r="K20" s="45">
        <v>15.8</v>
      </c>
      <c r="L20" s="45">
        <v>15.8</v>
      </c>
      <c r="M20" s="45">
        <v>28.5</v>
      </c>
      <c r="N20" s="45">
        <v>28.5</v>
      </c>
      <c r="O20" s="45">
        <v>28.5</v>
      </c>
      <c r="P20" s="45">
        <v>28.5</v>
      </c>
      <c r="Q20" s="45">
        <v>28.5</v>
      </c>
      <c r="R20" s="45">
        <v>28.5</v>
      </c>
      <c r="S20" s="45">
        <v>28.5</v>
      </c>
      <c r="T20" s="45">
        <v>25</v>
      </c>
      <c r="U20" s="45">
        <v>25</v>
      </c>
      <c r="V20" s="45">
        <v>25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28.9</v>
      </c>
      <c r="AF20" s="45">
        <v>28.9</v>
      </c>
      <c r="AG20" s="51">
        <v>30</v>
      </c>
      <c r="AH20" s="47">
        <f t="shared" si="2"/>
        <v>29.7</v>
      </c>
      <c r="AI20" s="48">
        <f t="shared" si="3"/>
        <v>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26.4</v>
      </c>
      <c r="C21" s="45">
        <v>26.4</v>
      </c>
      <c r="D21" s="45">
        <v>26.4</v>
      </c>
      <c r="E21" s="45">
        <v>26.4</v>
      </c>
      <c r="F21" s="45">
        <v>16.2</v>
      </c>
      <c r="G21" s="45">
        <v>16.2</v>
      </c>
      <c r="H21" s="45">
        <v>16.2</v>
      </c>
      <c r="I21" s="45">
        <v>16.2</v>
      </c>
      <c r="J21" s="45">
        <v>16.2</v>
      </c>
      <c r="K21" s="45">
        <v>16.2</v>
      </c>
      <c r="L21" s="45">
        <v>16.2</v>
      </c>
      <c r="M21" s="45">
        <v>32</v>
      </c>
      <c r="N21" s="45">
        <v>32</v>
      </c>
      <c r="O21" s="45">
        <v>32</v>
      </c>
      <c r="P21" s="45">
        <v>32</v>
      </c>
      <c r="Q21" s="45">
        <v>32</v>
      </c>
      <c r="R21" s="45">
        <v>32</v>
      </c>
      <c r="S21" s="45">
        <v>32</v>
      </c>
      <c r="T21" s="45">
        <v>9.4</v>
      </c>
      <c r="U21" s="45">
        <v>9.4</v>
      </c>
      <c r="V21" s="45">
        <v>9.4</v>
      </c>
      <c r="W21" s="45">
        <v>9.4</v>
      </c>
      <c r="X21" s="45">
        <v>9.4</v>
      </c>
      <c r="Y21" s="45">
        <v>9.4</v>
      </c>
      <c r="Z21" s="45">
        <v>26</v>
      </c>
      <c r="AA21" s="45">
        <v>26</v>
      </c>
      <c r="AB21" s="45">
        <v>26</v>
      </c>
      <c r="AC21" s="45">
        <v>26</v>
      </c>
      <c r="AD21" s="45">
        <v>26</v>
      </c>
      <c r="AE21" s="45">
        <v>18.5</v>
      </c>
      <c r="AF21" s="45">
        <v>18.5</v>
      </c>
      <c r="AG21" s="50">
        <v>24.2</v>
      </c>
      <c r="AH21" s="47">
        <f t="shared" si="2"/>
        <v>32</v>
      </c>
      <c r="AI21" s="48">
        <f t="shared" si="3"/>
        <v>9.4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28</v>
      </c>
      <c r="C22" s="45">
        <v>28</v>
      </c>
      <c r="D22" s="45">
        <v>28</v>
      </c>
      <c r="E22" s="45">
        <v>28</v>
      </c>
      <c r="F22" s="45">
        <v>28</v>
      </c>
      <c r="G22" s="45">
        <v>28</v>
      </c>
      <c r="H22" s="45">
        <v>28</v>
      </c>
      <c r="I22" s="45">
        <v>28</v>
      </c>
      <c r="J22" s="45">
        <v>28</v>
      </c>
      <c r="K22" s="45">
        <v>28</v>
      </c>
      <c r="L22" s="45">
        <v>28</v>
      </c>
      <c r="M22" s="45">
        <v>28</v>
      </c>
      <c r="N22" s="45">
        <v>28</v>
      </c>
      <c r="O22" s="45">
        <v>28</v>
      </c>
      <c r="P22" s="45">
        <v>28</v>
      </c>
      <c r="Q22" s="45">
        <v>28</v>
      </c>
      <c r="R22" s="45">
        <v>28</v>
      </c>
      <c r="S22" s="45">
        <v>28</v>
      </c>
      <c r="T22" s="45">
        <v>28</v>
      </c>
      <c r="U22" s="45">
        <v>28</v>
      </c>
      <c r="V22" s="45">
        <v>28</v>
      </c>
      <c r="W22" s="45">
        <v>28</v>
      </c>
      <c r="X22" s="45">
        <v>28</v>
      </c>
      <c r="Y22" s="45">
        <v>28</v>
      </c>
      <c r="Z22" s="45">
        <v>28</v>
      </c>
      <c r="AA22" s="45">
        <v>28</v>
      </c>
      <c r="AB22" s="45">
        <v>28</v>
      </c>
      <c r="AC22" s="45">
        <v>28</v>
      </c>
      <c r="AD22" s="45">
        <v>28</v>
      </c>
      <c r="AE22" s="45">
        <v>17</v>
      </c>
      <c r="AF22" s="45">
        <v>17</v>
      </c>
      <c r="AG22" s="50">
        <v>28</v>
      </c>
      <c r="AH22" s="47">
        <f t="shared" si="2"/>
        <v>28</v>
      </c>
      <c r="AI22" s="48">
        <f t="shared" si="3"/>
        <v>17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18</v>
      </c>
      <c r="C23" s="45">
        <v>18</v>
      </c>
      <c r="D23" s="45">
        <v>18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30</v>
      </c>
      <c r="AH23" s="47">
        <f t="shared" si="2"/>
        <v>18</v>
      </c>
      <c r="AI23" s="48">
        <f t="shared" si="3"/>
        <v>18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25.2</v>
      </c>
      <c r="C24" s="45">
        <v>25.2</v>
      </c>
      <c r="D24" s="45">
        <v>25.2</v>
      </c>
      <c r="E24" s="45">
        <v>25.2</v>
      </c>
      <c r="F24" s="45">
        <v>25.2</v>
      </c>
      <c r="G24" s="45">
        <v>25.2</v>
      </c>
      <c r="H24" s="45">
        <v>25.2</v>
      </c>
      <c r="I24" s="45">
        <v>25.2</v>
      </c>
      <c r="J24" s="45">
        <v>25.2</v>
      </c>
      <c r="K24" s="45">
        <v>25.2</v>
      </c>
      <c r="L24" s="45">
        <v>25.2</v>
      </c>
      <c r="M24" s="45">
        <v>26.2</v>
      </c>
      <c r="N24" s="45">
        <v>26.2</v>
      </c>
      <c r="O24" s="45">
        <v>26.2</v>
      </c>
      <c r="P24" s="45">
        <v>26.2</v>
      </c>
      <c r="Q24" s="45">
        <v>26.2</v>
      </c>
      <c r="R24" s="45">
        <v>26.2</v>
      </c>
      <c r="S24" s="45">
        <v>26.2</v>
      </c>
      <c r="T24" s="45">
        <v>26.2</v>
      </c>
      <c r="U24" s="45">
        <v>26.2</v>
      </c>
      <c r="V24" s="45">
        <v>26.2</v>
      </c>
      <c r="W24" s="45">
        <v>26.2</v>
      </c>
      <c r="X24" s="45">
        <v>26.2</v>
      </c>
      <c r="Y24" s="45">
        <v>26.2</v>
      </c>
      <c r="Z24" s="45">
        <v>26.2</v>
      </c>
      <c r="AA24" s="45">
        <v>26.2</v>
      </c>
      <c r="AB24" s="45">
        <v>26.2</v>
      </c>
      <c r="AC24" s="45">
        <v>26.2</v>
      </c>
      <c r="AD24" s="45">
        <v>26.2</v>
      </c>
      <c r="AE24" s="45">
        <v>22.2</v>
      </c>
      <c r="AF24" s="45">
        <v>22.2</v>
      </c>
      <c r="AG24" s="50">
        <v>25</v>
      </c>
      <c r="AH24" s="47">
        <f t="shared" si="2"/>
        <v>26.2</v>
      </c>
      <c r="AI24" s="48">
        <f t="shared" si="3"/>
        <v>22.2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14</v>
      </c>
      <c r="N25" s="45">
        <v>14</v>
      </c>
      <c r="O25" s="45">
        <v>14</v>
      </c>
      <c r="P25" s="45">
        <v>14</v>
      </c>
      <c r="Q25" s="45">
        <v>14</v>
      </c>
      <c r="R25" s="45">
        <v>14</v>
      </c>
      <c r="S25" s="45">
        <v>14</v>
      </c>
      <c r="T25" s="45">
        <v>14</v>
      </c>
      <c r="U25" s="45">
        <v>14</v>
      </c>
      <c r="V25" s="45">
        <v>14</v>
      </c>
      <c r="W25" s="45">
        <v>14</v>
      </c>
      <c r="X25" s="45">
        <v>14</v>
      </c>
      <c r="Y25" s="45">
        <v>14</v>
      </c>
      <c r="Z25" s="45">
        <v>14</v>
      </c>
      <c r="AA25" s="45">
        <v>14</v>
      </c>
      <c r="AB25" s="45">
        <v>14</v>
      </c>
      <c r="AC25" s="45">
        <v>14</v>
      </c>
      <c r="AD25" s="45">
        <v>14</v>
      </c>
      <c r="AE25" s="45">
        <v>14</v>
      </c>
      <c r="AF25" s="45">
        <v>14</v>
      </c>
      <c r="AG25" s="50">
        <v>25</v>
      </c>
      <c r="AH25" s="47">
        <f t="shared" si="2"/>
        <v>14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50">
        <v>25</v>
      </c>
      <c r="AH26" s="47">
        <f t="shared" si="2"/>
        <v>25</v>
      </c>
      <c r="AI26" s="48">
        <f t="shared" si="3"/>
        <v>25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25</v>
      </c>
      <c r="C27" s="45">
        <v>25</v>
      </c>
      <c r="D27" s="45">
        <v>25</v>
      </c>
      <c r="E27" s="45">
        <v>25</v>
      </c>
      <c r="F27" s="45">
        <v>25</v>
      </c>
      <c r="G27" s="45">
        <v>25</v>
      </c>
      <c r="H27" s="45">
        <v>25</v>
      </c>
      <c r="I27" s="45">
        <v>25</v>
      </c>
      <c r="J27" s="45">
        <v>25</v>
      </c>
      <c r="K27" s="45">
        <v>25</v>
      </c>
      <c r="L27" s="45">
        <v>25</v>
      </c>
      <c r="M27" s="45">
        <v>25</v>
      </c>
      <c r="N27" s="45">
        <v>25</v>
      </c>
      <c r="O27" s="45">
        <v>25</v>
      </c>
      <c r="P27" s="45">
        <v>25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25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50">
        <v>25</v>
      </c>
      <c r="AH27" s="47">
        <f t="shared" si="2"/>
        <v>25</v>
      </c>
      <c r="AI27" s="48">
        <f t="shared" si="3"/>
        <v>25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10.9</v>
      </c>
      <c r="C28" s="45">
        <v>10.9</v>
      </c>
      <c r="D28" s="45">
        <v>10.9</v>
      </c>
      <c r="E28" s="45">
        <v>10.9</v>
      </c>
      <c r="F28" s="45">
        <v>10.9</v>
      </c>
      <c r="G28" s="45">
        <v>10.9</v>
      </c>
      <c r="H28" s="45">
        <v>10.9</v>
      </c>
      <c r="I28" s="45">
        <v>10.9</v>
      </c>
      <c r="J28" s="45">
        <v>10.9</v>
      </c>
      <c r="K28" s="45">
        <v>10.9</v>
      </c>
      <c r="L28" s="45">
        <v>10.9</v>
      </c>
      <c r="M28" s="45">
        <v>10.9</v>
      </c>
      <c r="N28" s="45">
        <v>10.9</v>
      </c>
      <c r="O28" s="45">
        <v>10.9</v>
      </c>
      <c r="P28" s="45">
        <v>10.9</v>
      </c>
      <c r="Q28" s="45">
        <v>10.9</v>
      </c>
      <c r="R28" s="45">
        <v>10.9</v>
      </c>
      <c r="S28" s="45">
        <v>10.9</v>
      </c>
      <c r="T28" s="45">
        <v>10.9</v>
      </c>
      <c r="U28" s="45">
        <v>10.9</v>
      </c>
      <c r="V28" s="45">
        <v>10.9</v>
      </c>
      <c r="W28" s="45">
        <v>10.9</v>
      </c>
      <c r="X28" s="45">
        <v>10.9</v>
      </c>
      <c r="Y28" s="45">
        <v>10.9</v>
      </c>
      <c r="Z28" s="45">
        <v>10.9</v>
      </c>
      <c r="AA28" s="45">
        <v>10.9</v>
      </c>
      <c r="AB28" s="45">
        <v>10.9</v>
      </c>
      <c r="AC28" s="45">
        <v>10.9</v>
      </c>
      <c r="AD28" s="45">
        <v>10.9</v>
      </c>
      <c r="AE28" s="45">
        <v>19.899999999999999</v>
      </c>
      <c r="AF28" s="45">
        <v>19.899999999999999</v>
      </c>
      <c r="AG28" s="50">
        <v>23.5</v>
      </c>
      <c r="AH28" s="47">
        <f t="shared" si="2"/>
        <v>19.899999999999999</v>
      </c>
      <c r="AI28" s="48">
        <f t="shared" si="3"/>
        <v>10.9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22.2</v>
      </c>
      <c r="C29" s="45">
        <v>22.2</v>
      </c>
      <c r="D29" s="45">
        <v>22.2</v>
      </c>
      <c r="E29" s="45">
        <v>22.2</v>
      </c>
      <c r="F29" s="45">
        <v>22.2</v>
      </c>
      <c r="G29" s="45">
        <v>22.2</v>
      </c>
      <c r="H29" s="45">
        <v>22.2</v>
      </c>
      <c r="I29" s="45">
        <v>22.2</v>
      </c>
      <c r="J29" s="45">
        <v>22.2</v>
      </c>
      <c r="K29" s="45">
        <v>22.2</v>
      </c>
      <c r="L29" s="45">
        <v>22.2</v>
      </c>
      <c r="M29" s="45">
        <v>22.2</v>
      </c>
      <c r="N29" s="45">
        <v>22.2</v>
      </c>
      <c r="O29" s="45">
        <v>22.2</v>
      </c>
      <c r="P29" s="45">
        <v>22.2</v>
      </c>
      <c r="Q29" s="45">
        <v>22.2</v>
      </c>
      <c r="R29" s="45">
        <v>22.2</v>
      </c>
      <c r="S29" s="45">
        <v>22.2</v>
      </c>
      <c r="T29" s="45">
        <v>22.2</v>
      </c>
      <c r="U29" s="45">
        <v>22.2</v>
      </c>
      <c r="V29" s="45">
        <v>22.2</v>
      </c>
      <c r="W29" s="45">
        <v>22.2</v>
      </c>
      <c r="X29" s="45">
        <v>22.2</v>
      </c>
      <c r="Y29" s="45">
        <v>22.2</v>
      </c>
      <c r="Z29" s="45">
        <v>22.2</v>
      </c>
      <c r="AA29" s="45">
        <v>22.2</v>
      </c>
      <c r="AB29" s="45">
        <v>22.2</v>
      </c>
      <c r="AC29" s="45">
        <v>22.2</v>
      </c>
      <c r="AD29" s="45">
        <v>22.2</v>
      </c>
      <c r="AE29" s="45">
        <v>22.2</v>
      </c>
      <c r="AF29" s="45">
        <v>22.2</v>
      </c>
      <c r="AG29" s="50">
        <v>22.2</v>
      </c>
      <c r="AH29" s="47">
        <f t="shared" si="2"/>
        <v>22.2</v>
      </c>
      <c r="AI29" s="48">
        <f t="shared" si="3"/>
        <v>22.2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14.5</v>
      </c>
      <c r="C30" s="45">
        <v>14.5</v>
      </c>
      <c r="D30" s="45">
        <v>14.5</v>
      </c>
      <c r="E30" s="45">
        <v>14.5</v>
      </c>
      <c r="F30" s="45">
        <v>14.5</v>
      </c>
      <c r="G30" s="45">
        <v>14.5</v>
      </c>
      <c r="H30" s="45">
        <v>14.5</v>
      </c>
      <c r="I30" s="45">
        <v>14.5</v>
      </c>
      <c r="J30" s="45">
        <v>14.5</v>
      </c>
      <c r="K30" s="45">
        <v>14.5</v>
      </c>
      <c r="L30" s="45">
        <v>14.5</v>
      </c>
      <c r="M30" s="45">
        <v>14.5</v>
      </c>
      <c r="N30" s="45">
        <v>14.5</v>
      </c>
      <c r="O30" s="45">
        <v>14.5</v>
      </c>
      <c r="P30" s="45">
        <v>14.5</v>
      </c>
      <c r="Q30" s="45">
        <v>14.5</v>
      </c>
      <c r="R30" s="45">
        <v>14.5</v>
      </c>
      <c r="S30" s="45">
        <v>14.5</v>
      </c>
      <c r="T30" s="45">
        <v>14.5</v>
      </c>
      <c r="U30" s="45">
        <v>14.5</v>
      </c>
      <c r="V30" s="45">
        <v>14.5</v>
      </c>
      <c r="W30" s="45">
        <v>14.5</v>
      </c>
      <c r="X30" s="45">
        <v>14.5</v>
      </c>
      <c r="Y30" s="45">
        <v>14.5</v>
      </c>
      <c r="Z30" s="45">
        <v>14.5</v>
      </c>
      <c r="AA30" s="45">
        <v>14.5</v>
      </c>
      <c r="AB30" s="45">
        <v>14.5</v>
      </c>
      <c r="AC30" s="45">
        <v>14.5</v>
      </c>
      <c r="AD30" s="45">
        <v>14.5</v>
      </c>
      <c r="AE30" s="45">
        <v>14.5</v>
      </c>
      <c r="AF30" s="45">
        <v>14.5</v>
      </c>
      <c r="AG30" s="50">
        <v>22.1</v>
      </c>
      <c r="AH30" s="47">
        <f t="shared" si="2"/>
        <v>14.5</v>
      </c>
      <c r="AI30" s="48">
        <f t="shared" si="3"/>
        <v>14.5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15.5</v>
      </c>
      <c r="C31" s="45">
        <v>15.5</v>
      </c>
      <c r="D31" s="45">
        <v>15.5</v>
      </c>
      <c r="E31" s="45">
        <v>15.5</v>
      </c>
      <c r="F31" s="45">
        <v>15.5</v>
      </c>
      <c r="G31" s="45">
        <v>15.5</v>
      </c>
      <c r="H31" s="45">
        <v>15.5</v>
      </c>
      <c r="I31" s="45">
        <v>15.5</v>
      </c>
      <c r="J31" s="45">
        <v>15.5</v>
      </c>
      <c r="K31" s="45">
        <v>15.5</v>
      </c>
      <c r="L31" s="45">
        <v>15.5</v>
      </c>
      <c r="M31" s="45">
        <v>15.5</v>
      </c>
      <c r="N31" s="45">
        <v>15.5</v>
      </c>
      <c r="O31" s="45">
        <v>15.5</v>
      </c>
      <c r="P31" s="45">
        <v>15.5</v>
      </c>
      <c r="Q31" s="45">
        <v>15.5</v>
      </c>
      <c r="R31" s="45">
        <v>15.5</v>
      </c>
      <c r="S31" s="45">
        <v>15.5</v>
      </c>
      <c r="T31" s="45">
        <v>15.5</v>
      </c>
      <c r="U31" s="45">
        <v>15.5</v>
      </c>
      <c r="V31" s="45">
        <v>15.5</v>
      </c>
      <c r="W31" s="45">
        <v>15.5</v>
      </c>
      <c r="X31" s="45">
        <v>15.5</v>
      </c>
      <c r="Y31" s="45">
        <v>15.5</v>
      </c>
      <c r="Z31" s="45">
        <v>15.5</v>
      </c>
      <c r="AA31" s="45">
        <v>15.5</v>
      </c>
      <c r="AB31" s="45">
        <v>15.5</v>
      </c>
      <c r="AC31" s="45">
        <v>15.5</v>
      </c>
      <c r="AD31" s="45">
        <v>15.5</v>
      </c>
      <c r="AE31" s="45">
        <v>15.5</v>
      </c>
      <c r="AF31" s="45">
        <v>15.5</v>
      </c>
      <c r="AG31" s="50">
        <v>22</v>
      </c>
      <c r="AH31" s="47">
        <f t="shared" si="2"/>
        <v>15.5</v>
      </c>
      <c r="AI31" s="48">
        <f t="shared" si="3"/>
        <v>15.5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22</v>
      </c>
      <c r="C32" s="45">
        <v>22</v>
      </c>
      <c r="D32" s="45">
        <v>22</v>
      </c>
      <c r="E32" s="45">
        <v>22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20</v>
      </c>
      <c r="O32" s="45">
        <v>20</v>
      </c>
      <c r="P32" s="45">
        <v>20</v>
      </c>
      <c r="Q32" s="45">
        <v>20</v>
      </c>
      <c r="R32" s="45">
        <v>20</v>
      </c>
      <c r="S32" s="45">
        <v>20</v>
      </c>
      <c r="T32" s="45">
        <v>20</v>
      </c>
      <c r="U32" s="45">
        <v>20</v>
      </c>
      <c r="V32" s="45">
        <v>20</v>
      </c>
      <c r="W32" s="45">
        <v>20</v>
      </c>
      <c r="X32" s="45">
        <v>20</v>
      </c>
      <c r="Y32" s="45">
        <v>20</v>
      </c>
      <c r="Z32" s="45">
        <v>24.8</v>
      </c>
      <c r="AA32" s="45">
        <v>24.8</v>
      </c>
      <c r="AB32" s="45">
        <v>24.8</v>
      </c>
      <c r="AC32" s="45">
        <v>24.8</v>
      </c>
      <c r="AD32" s="45">
        <v>24.8</v>
      </c>
      <c r="AE32" s="45">
        <v>20.7</v>
      </c>
      <c r="AF32" s="45">
        <v>20.7</v>
      </c>
      <c r="AG32" s="50">
        <v>22</v>
      </c>
      <c r="AH32" s="47">
        <f t="shared" si="2"/>
        <v>24.8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12</v>
      </c>
      <c r="C33" s="45">
        <v>12</v>
      </c>
      <c r="D33" s="45">
        <v>12</v>
      </c>
      <c r="E33" s="45">
        <v>12</v>
      </c>
      <c r="F33" s="45">
        <v>12</v>
      </c>
      <c r="G33" s="45">
        <v>12</v>
      </c>
      <c r="H33" s="45">
        <v>12</v>
      </c>
      <c r="I33" s="45">
        <v>12</v>
      </c>
      <c r="J33" s="45">
        <v>12</v>
      </c>
      <c r="K33" s="45">
        <v>12</v>
      </c>
      <c r="L33" s="45">
        <v>12</v>
      </c>
      <c r="M33" s="45">
        <v>5</v>
      </c>
      <c r="N33" s="45">
        <v>12</v>
      </c>
      <c r="O33" s="45">
        <v>12</v>
      </c>
      <c r="P33" s="45">
        <v>12</v>
      </c>
      <c r="Q33" s="45">
        <v>12</v>
      </c>
      <c r="R33" s="45">
        <v>12</v>
      </c>
      <c r="S33" s="45">
        <v>12</v>
      </c>
      <c r="T33" s="45">
        <v>12</v>
      </c>
      <c r="U33" s="45">
        <v>12</v>
      </c>
      <c r="V33" s="45">
        <v>12</v>
      </c>
      <c r="W33" s="45">
        <v>12</v>
      </c>
      <c r="X33" s="45">
        <v>12</v>
      </c>
      <c r="Y33" s="45">
        <v>12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10</v>
      </c>
      <c r="AG33" s="50">
        <v>20</v>
      </c>
      <c r="AH33" s="47">
        <f t="shared" si="2"/>
        <v>12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50">
        <v>18</v>
      </c>
      <c r="AH34" s="47">
        <f t="shared" si="2"/>
        <v>10</v>
      </c>
      <c r="AI34" s="48">
        <f t="shared" si="3"/>
        <v>10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7.5</v>
      </c>
      <c r="AC35" s="45">
        <v>7.5</v>
      </c>
      <c r="AD35" s="45">
        <v>7.5</v>
      </c>
      <c r="AE35" s="45">
        <v>7.5</v>
      </c>
      <c r="AF35" s="45">
        <v>7.5</v>
      </c>
      <c r="AG35" s="50">
        <v>14.9</v>
      </c>
      <c r="AH35" s="47">
        <f t="shared" si="2"/>
        <v>7.5</v>
      </c>
      <c r="AI35" s="48">
        <f t="shared" si="3"/>
        <v>7.5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50">
        <v>14.9</v>
      </c>
      <c r="AH36" s="47">
        <f t="shared" si="2"/>
        <v>3.8</v>
      </c>
      <c r="AI36" s="48">
        <f t="shared" si="3"/>
        <v>3.8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50">
        <v>13.6</v>
      </c>
      <c r="AH37" s="47">
        <f t="shared" si="2"/>
        <v>4</v>
      </c>
      <c r="AI37" s="48">
        <f t="shared" si="3"/>
        <v>4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50">
        <v>13</v>
      </c>
      <c r="AH38" s="47">
        <f t="shared" si="2"/>
        <v>6</v>
      </c>
      <c r="AI38" s="48">
        <f t="shared" si="3"/>
        <v>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6.5</v>
      </c>
      <c r="C39" s="45">
        <v>6.5</v>
      </c>
      <c r="D39" s="45">
        <v>6.5</v>
      </c>
      <c r="E39" s="45">
        <v>6.5</v>
      </c>
      <c r="F39" s="45">
        <v>6.5</v>
      </c>
      <c r="G39" s="45">
        <v>6.5</v>
      </c>
      <c r="H39" s="45">
        <v>6.5</v>
      </c>
      <c r="I39" s="45">
        <v>6.5</v>
      </c>
      <c r="J39" s="45">
        <v>6.5</v>
      </c>
      <c r="K39" s="45">
        <v>6.5</v>
      </c>
      <c r="L39" s="45">
        <v>6.5</v>
      </c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6</v>
      </c>
      <c r="AG39" s="50">
        <v>12</v>
      </c>
      <c r="AH39" s="47">
        <f t="shared" si="2"/>
        <v>6.5</v>
      </c>
      <c r="AI39" s="48">
        <f t="shared" si="3"/>
        <v>6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50">
        <v>12</v>
      </c>
      <c r="AH40" s="47">
        <f t="shared" si="2"/>
        <v>2.5</v>
      </c>
      <c r="AI40" s="48">
        <f t="shared" si="3"/>
        <v>2.5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50">
        <v>12</v>
      </c>
      <c r="AH41" s="47">
        <f t="shared" si="2"/>
        <v>8</v>
      </c>
      <c r="AI41" s="48">
        <f t="shared" si="3"/>
        <v>8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9.6</v>
      </c>
      <c r="C45" s="45">
        <v>9.6</v>
      </c>
      <c r="D45" s="45">
        <v>9.6</v>
      </c>
      <c r="E45" s="45">
        <v>9.6</v>
      </c>
      <c r="F45" s="45">
        <v>9.6</v>
      </c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>
        <v>9.6</v>
      </c>
      <c r="R45" s="45">
        <v>9.6</v>
      </c>
      <c r="S45" s="45">
        <v>9.6</v>
      </c>
      <c r="T45" s="45">
        <v>9.6</v>
      </c>
      <c r="U45" s="45">
        <v>9.6</v>
      </c>
      <c r="V45" s="45">
        <v>9.6</v>
      </c>
      <c r="W45" s="45">
        <v>9.6</v>
      </c>
      <c r="X45" s="45">
        <v>9.6</v>
      </c>
      <c r="Y45" s="45">
        <v>9.6</v>
      </c>
      <c r="Z45" s="45">
        <v>9.6</v>
      </c>
      <c r="AA45" s="45">
        <v>9.6</v>
      </c>
      <c r="AB45" s="45">
        <v>9.6</v>
      </c>
      <c r="AC45" s="45">
        <v>9.6</v>
      </c>
      <c r="AD45" s="45">
        <v>9.6</v>
      </c>
      <c r="AE45" s="45">
        <v>9.6</v>
      </c>
      <c r="AF45" s="45">
        <v>9.6</v>
      </c>
      <c r="AG45" s="54">
        <v>10</v>
      </c>
      <c r="AH45" s="47">
        <f t="shared" si="2"/>
        <v>9.6</v>
      </c>
      <c r="AI45" s="48">
        <f t="shared" si="3"/>
        <v>9.6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7</v>
      </c>
      <c r="C46" s="45">
        <v>7</v>
      </c>
      <c r="D46" s="45">
        <v>7</v>
      </c>
      <c r="E46" s="45">
        <v>7</v>
      </c>
      <c r="F46" s="45">
        <v>7</v>
      </c>
      <c r="G46" s="45">
        <v>7</v>
      </c>
      <c r="H46" s="45">
        <v>7</v>
      </c>
      <c r="I46" s="45">
        <v>7</v>
      </c>
      <c r="J46" s="45">
        <v>7</v>
      </c>
      <c r="K46" s="45">
        <v>7</v>
      </c>
      <c r="L46" s="45">
        <v>7</v>
      </c>
      <c r="M46" s="45">
        <v>7</v>
      </c>
      <c r="N46" s="45">
        <v>7</v>
      </c>
      <c r="O46" s="45">
        <v>7</v>
      </c>
      <c r="P46" s="45">
        <v>7</v>
      </c>
      <c r="Q46" s="45">
        <v>7</v>
      </c>
      <c r="R46" s="45">
        <v>7</v>
      </c>
      <c r="S46" s="45">
        <v>7</v>
      </c>
      <c r="T46" s="45">
        <v>7</v>
      </c>
      <c r="U46" s="45">
        <v>7</v>
      </c>
      <c r="V46" s="45">
        <v>7</v>
      </c>
      <c r="W46" s="45">
        <v>7</v>
      </c>
      <c r="X46" s="45">
        <v>7</v>
      </c>
      <c r="Y46" s="45">
        <v>7</v>
      </c>
      <c r="Z46" s="45">
        <v>7</v>
      </c>
      <c r="AA46" s="45">
        <v>7</v>
      </c>
      <c r="AB46" s="45">
        <v>7</v>
      </c>
      <c r="AC46" s="45">
        <v>7</v>
      </c>
      <c r="AD46" s="45">
        <v>7</v>
      </c>
      <c r="AE46" s="45">
        <v>7</v>
      </c>
      <c r="AF46" s="45">
        <v>7</v>
      </c>
      <c r="AG46" s="54">
        <v>10</v>
      </c>
      <c r="AH46" s="47">
        <f t="shared" si="2"/>
        <v>7</v>
      </c>
      <c r="AI46" s="48">
        <f t="shared" si="3"/>
        <v>7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6.8</v>
      </c>
      <c r="C47" s="45">
        <v>6.8</v>
      </c>
      <c r="D47" s="45">
        <v>6.8</v>
      </c>
      <c r="E47" s="45">
        <v>6.8</v>
      </c>
      <c r="F47" s="45">
        <v>6.8</v>
      </c>
      <c r="G47" s="45">
        <v>6.8</v>
      </c>
      <c r="H47" s="45">
        <v>6.8</v>
      </c>
      <c r="I47" s="45">
        <v>6.8</v>
      </c>
      <c r="J47" s="45">
        <v>6.8</v>
      </c>
      <c r="K47" s="45">
        <v>6.8</v>
      </c>
      <c r="L47" s="45">
        <v>6.8</v>
      </c>
      <c r="M47" s="45">
        <v>6.8</v>
      </c>
      <c r="N47" s="45">
        <v>6.8</v>
      </c>
      <c r="O47" s="45">
        <v>6.8</v>
      </c>
      <c r="P47" s="45">
        <v>6.8</v>
      </c>
      <c r="Q47" s="45">
        <v>6.8</v>
      </c>
      <c r="R47" s="45">
        <v>6.8</v>
      </c>
      <c r="S47" s="45">
        <v>6.8</v>
      </c>
      <c r="T47" s="45">
        <v>6.8</v>
      </c>
      <c r="U47" s="45">
        <v>6.8</v>
      </c>
      <c r="V47" s="45">
        <v>6.8</v>
      </c>
      <c r="W47" s="45">
        <v>6.8</v>
      </c>
      <c r="X47" s="45">
        <v>6.8</v>
      </c>
      <c r="Y47" s="45">
        <v>6.8</v>
      </c>
      <c r="Z47" s="45">
        <v>6.8</v>
      </c>
      <c r="AA47" s="45">
        <v>6.8</v>
      </c>
      <c r="AB47" s="45">
        <v>6.8</v>
      </c>
      <c r="AC47" s="45">
        <v>6.8</v>
      </c>
      <c r="AD47" s="45">
        <v>6.8</v>
      </c>
      <c r="AE47" s="45">
        <v>6.8</v>
      </c>
      <c r="AF47" s="45">
        <v>6.8</v>
      </c>
      <c r="AG47" s="54">
        <v>10</v>
      </c>
      <c r="AH47" s="47">
        <f t="shared" si="2"/>
        <v>6.8</v>
      </c>
      <c r="AI47" s="48">
        <f t="shared" si="3"/>
        <v>6.8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49"/>
    </row>
    <row r="49" spans="1:41" ht="15.75" thickBot="1" x14ac:dyDescent="0.3">
      <c r="A49" s="57" t="s">
        <v>55</v>
      </c>
      <c r="B49" s="56">
        <v>108</v>
      </c>
      <c r="C49" s="56">
        <v>108</v>
      </c>
      <c r="D49" s="56">
        <v>108</v>
      </c>
      <c r="E49" s="56">
        <v>108</v>
      </c>
      <c r="F49" s="56">
        <v>108</v>
      </c>
      <c r="G49" s="56">
        <v>108</v>
      </c>
      <c r="H49" s="56">
        <v>108</v>
      </c>
      <c r="I49" s="56">
        <v>108</v>
      </c>
      <c r="J49" s="56">
        <v>108</v>
      </c>
      <c r="K49" s="56">
        <v>108</v>
      </c>
      <c r="L49" s="56">
        <v>108</v>
      </c>
      <c r="M49" s="58">
        <f>88+55</f>
        <v>143</v>
      </c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143</v>
      </c>
      <c r="AI49" s="48">
        <f t="shared" si="3"/>
        <v>108</v>
      </c>
      <c r="AK49" s="49"/>
    </row>
    <row r="50" spans="1:41" ht="15.75" thickBot="1" x14ac:dyDescent="0.3">
      <c r="A50" s="59" t="s">
        <v>56</v>
      </c>
      <c r="B50" s="60">
        <v>894.5999999999998</v>
      </c>
      <c r="C50" s="60">
        <v>894.5999999999998</v>
      </c>
      <c r="D50" s="60">
        <f t="shared" ref="D50:AE50" si="4">SUM(D11:D48)</f>
        <v>941.59999999999991</v>
      </c>
      <c r="E50" s="60">
        <f t="shared" si="4"/>
        <v>918.99999999999989</v>
      </c>
      <c r="F50" s="60">
        <f t="shared" si="4"/>
        <v>892.29999999999984</v>
      </c>
      <c r="G50" s="60">
        <f t="shared" si="4"/>
        <v>892.29999999999984</v>
      </c>
      <c r="H50" s="60">
        <f t="shared" si="4"/>
        <v>892.29999999999984</v>
      </c>
      <c r="I50" s="60">
        <f t="shared" si="4"/>
        <v>892.29999999999984</v>
      </c>
      <c r="J50" s="60">
        <f t="shared" si="4"/>
        <v>892.29999999999984</v>
      </c>
      <c r="K50" s="60">
        <f t="shared" si="4"/>
        <v>897.3</v>
      </c>
      <c r="L50" s="60">
        <f t="shared" si="4"/>
        <v>897.3</v>
      </c>
      <c r="M50" s="60">
        <f t="shared" si="4"/>
        <v>929.3</v>
      </c>
      <c r="N50" s="60">
        <f t="shared" si="4"/>
        <v>956.3</v>
      </c>
      <c r="O50" s="60">
        <f t="shared" si="4"/>
        <v>956.3</v>
      </c>
      <c r="P50" s="60">
        <f t="shared" si="4"/>
        <v>956.3</v>
      </c>
      <c r="Q50" s="60">
        <f t="shared" si="4"/>
        <v>956.3</v>
      </c>
      <c r="R50" s="60">
        <f t="shared" si="4"/>
        <v>956.3</v>
      </c>
      <c r="S50" s="60">
        <f t="shared" si="4"/>
        <v>956.3</v>
      </c>
      <c r="T50" s="60">
        <f t="shared" si="4"/>
        <v>934.29999999999984</v>
      </c>
      <c r="U50" s="60">
        <f t="shared" si="4"/>
        <v>934.29999999999984</v>
      </c>
      <c r="V50" s="60">
        <f t="shared" si="4"/>
        <v>934.29999999999984</v>
      </c>
      <c r="W50" s="60">
        <f t="shared" si="4"/>
        <v>909.29999999999984</v>
      </c>
      <c r="X50" s="60">
        <f t="shared" si="4"/>
        <v>909.29999999999984</v>
      </c>
      <c r="Y50" s="60">
        <f t="shared" si="4"/>
        <v>909.29999999999984</v>
      </c>
      <c r="Z50" s="60">
        <f t="shared" si="4"/>
        <v>931.19999999999982</v>
      </c>
      <c r="AA50" s="60">
        <f t="shared" si="4"/>
        <v>934.19999999999982</v>
      </c>
      <c r="AB50" s="60">
        <f t="shared" si="4"/>
        <v>934.19999999999982</v>
      </c>
      <c r="AC50" s="60">
        <f t="shared" si="4"/>
        <v>934.19999999999982</v>
      </c>
      <c r="AD50" s="60">
        <f t="shared" si="4"/>
        <v>934.19999999999982</v>
      </c>
      <c r="AE50" s="60">
        <f t="shared" si="4"/>
        <v>952.2</v>
      </c>
      <c r="AF50" s="60">
        <f t="shared" ref="AF50" si="5">SUM(AF11:AF48)</f>
        <v>952.2</v>
      </c>
      <c r="AG50" s="61">
        <f>SUM(AG13:AG48)</f>
        <v>922.14</v>
      </c>
      <c r="AH50" s="47">
        <f t="shared" si="2"/>
        <v>956.3</v>
      </c>
      <c r="AI50" s="48">
        <f t="shared" si="3"/>
        <v>892.29999999999984</v>
      </c>
      <c r="AK50" s="49"/>
    </row>
    <row r="51" spans="1:41" x14ac:dyDescent="0.25">
      <c r="A51" s="62" t="s">
        <v>57</v>
      </c>
      <c r="B51" s="45">
        <v>456</v>
      </c>
      <c r="C51" s="45">
        <v>456</v>
      </c>
      <c r="D51" s="45">
        <v>370</v>
      </c>
      <c r="E51" s="45">
        <v>380</v>
      </c>
      <c r="F51" s="45">
        <v>360</v>
      </c>
      <c r="G51" s="45">
        <v>360</v>
      </c>
      <c r="H51" s="45">
        <v>370</v>
      </c>
      <c r="I51" s="45">
        <v>340</v>
      </c>
      <c r="J51" s="45">
        <v>340</v>
      </c>
      <c r="K51" s="45">
        <v>380</v>
      </c>
      <c r="L51" s="45">
        <v>456</v>
      </c>
      <c r="M51" s="45">
        <v>456</v>
      </c>
      <c r="N51" s="63">
        <v>400</v>
      </c>
      <c r="O51" s="63">
        <v>456</v>
      </c>
      <c r="P51" s="63">
        <v>456</v>
      </c>
      <c r="Q51" s="63">
        <v>456</v>
      </c>
      <c r="R51" s="63">
        <v>456</v>
      </c>
      <c r="S51" s="63">
        <v>456</v>
      </c>
      <c r="T51" s="63">
        <v>456</v>
      </c>
      <c r="U51" s="45">
        <v>456</v>
      </c>
      <c r="V51" s="45">
        <v>456</v>
      </c>
      <c r="W51" s="45">
        <v>456</v>
      </c>
      <c r="X51" s="45">
        <v>350</v>
      </c>
      <c r="Y51" s="45">
        <v>400</v>
      </c>
      <c r="Z51" s="45">
        <v>300</v>
      </c>
      <c r="AA51" s="45">
        <v>330</v>
      </c>
      <c r="AB51" s="45">
        <v>230</v>
      </c>
      <c r="AC51" s="45">
        <v>360</v>
      </c>
      <c r="AD51" s="45">
        <v>456</v>
      </c>
      <c r="AE51" s="45">
        <v>456</v>
      </c>
      <c r="AF51" s="45">
        <v>340</v>
      </c>
      <c r="AG51" s="51">
        <v>456</v>
      </c>
      <c r="AH51" s="47">
        <f t="shared" si="2"/>
        <v>456</v>
      </c>
      <c r="AI51" s="48">
        <f t="shared" si="3"/>
        <v>230</v>
      </c>
      <c r="AK51" s="49"/>
    </row>
    <row r="52" spans="1:41" x14ac:dyDescent="0.25">
      <c r="A52" s="64" t="s">
        <v>58</v>
      </c>
      <c r="B52" s="65">
        <v>60</v>
      </c>
      <c r="C52" s="65">
        <v>60</v>
      </c>
      <c r="D52" s="65">
        <v>60</v>
      </c>
      <c r="E52" s="65">
        <v>60</v>
      </c>
      <c r="F52" s="65">
        <v>60</v>
      </c>
      <c r="G52" s="65">
        <v>60</v>
      </c>
      <c r="H52" s="65">
        <v>60</v>
      </c>
      <c r="I52" s="65">
        <v>60</v>
      </c>
      <c r="J52" s="65">
        <v>60</v>
      </c>
      <c r="K52" s="65">
        <v>60</v>
      </c>
      <c r="L52" s="65">
        <v>60</v>
      </c>
      <c r="M52" s="65">
        <v>60</v>
      </c>
      <c r="N52" s="65">
        <v>60</v>
      </c>
      <c r="O52" s="65">
        <v>60</v>
      </c>
      <c r="P52" s="65">
        <v>60</v>
      </c>
      <c r="Q52" s="65">
        <v>60</v>
      </c>
      <c r="R52" s="65">
        <v>60</v>
      </c>
      <c r="S52" s="65">
        <v>60</v>
      </c>
      <c r="T52" s="65">
        <v>60</v>
      </c>
      <c r="U52" s="65">
        <v>60</v>
      </c>
      <c r="V52" s="65">
        <v>60</v>
      </c>
      <c r="W52" s="65">
        <v>60</v>
      </c>
      <c r="X52" s="65">
        <v>60</v>
      </c>
      <c r="Y52" s="65">
        <v>60</v>
      </c>
      <c r="Z52" s="65">
        <v>60</v>
      </c>
      <c r="AA52" s="65">
        <v>60</v>
      </c>
      <c r="AB52" s="65">
        <v>60</v>
      </c>
      <c r="AC52" s="65">
        <v>60</v>
      </c>
      <c r="AD52" s="65">
        <v>60</v>
      </c>
      <c r="AE52" s="65">
        <v>60</v>
      </c>
      <c r="AF52" s="65">
        <v>60</v>
      </c>
      <c r="AG52" s="54">
        <v>60</v>
      </c>
      <c r="AH52" s="47">
        <f t="shared" si="2"/>
        <v>60</v>
      </c>
      <c r="AI52" s="48">
        <f t="shared" si="3"/>
        <v>60</v>
      </c>
      <c r="AK52" s="49"/>
    </row>
    <row r="53" spans="1:41" ht="15.75" thickBot="1" x14ac:dyDescent="0.3">
      <c r="A53" s="66" t="s">
        <v>59</v>
      </c>
      <c r="B53" s="67">
        <v>22.5</v>
      </c>
      <c r="C53" s="67">
        <v>22.5</v>
      </c>
      <c r="D53" s="67">
        <v>22.5</v>
      </c>
      <c r="E53" s="67">
        <v>22.5</v>
      </c>
      <c r="F53" s="67">
        <v>22.5</v>
      </c>
      <c r="G53" s="67">
        <v>22.5</v>
      </c>
      <c r="H53" s="67">
        <v>22.5</v>
      </c>
      <c r="I53" s="67">
        <v>22.5</v>
      </c>
      <c r="J53" s="67">
        <v>22.5</v>
      </c>
      <c r="K53" s="67">
        <v>22.5</v>
      </c>
      <c r="L53" s="67">
        <v>22.5</v>
      </c>
      <c r="M53" s="67">
        <v>22.4</v>
      </c>
      <c r="N53" s="67">
        <v>22.4</v>
      </c>
      <c r="O53" s="67">
        <v>22.4</v>
      </c>
      <c r="P53" s="67">
        <v>22.4</v>
      </c>
      <c r="Q53" s="67">
        <v>22.4</v>
      </c>
      <c r="R53" s="67">
        <v>22.4</v>
      </c>
      <c r="S53" s="67">
        <v>22.4</v>
      </c>
      <c r="T53" s="67">
        <v>22.4</v>
      </c>
      <c r="U53" s="67">
        <v>22.4</v>
      </c>
      <c r="V53" s="67">
        <v>22.4</v>
      </c>
      <c r="W53" s="67">
        <v>22.4</v>
      </c>
      <c r="X53" s="67">
        <v>22.4</v>
      </c>
      <c r="Y53" s="67">
        <v>22.4</v>
      </c>
      <c r="Z53" s="67">
        <v>22.4</v>
      </c>
      <c r="AA53" s="67">
        <v>22.4</v>
      </c>
      <c r="AB53" s="67">
        <v>22.4</v>
      </c>
      <c r="AC53" s="67">
        <v>22.4</v>
      </c>
      <c r="AD53" s="67">
        <v>22.4</v>
      </c>
      <c r="AE53" s="67">
        <v>22.5</v>
      </c>
      <c r="AF53" s="67">
        <v>22.5</v>
      </c>
      <c r="AG53" s="68">
        <v>22.1</v>
      </c>
      <c r="AH53" s="47">
        <f t="shared" si="2"/>
        <v>22.5</v>
      </c>
      <c r="AI53" s="48">
        <f t="shared" si="3"/>
        <v>22.4</v>
      </c>
      <c r="AK53" s="49"/>
    </row>
    <row r="54" spans="1:41" ht="15.75" thickBot="1" x14ac:dyDescent="0.3">
      <c r="A54" s="69" t="s">
        <v>60</v>
      </c>
      <c r="B54" s="60">
        <v>538.5</v>
      </c>
      <c r="C54" s="60">
        <v>538.5</v>
      </c>
      <c r="D54" s="60">
        <f t="shared" ref="D54:AG54" si="6">SUM(D51:D53)</f>
        <v>452.5</v>
      </c>
      <c r="E54" s="60">
        <f t="shared" si="6"/>
        <v>462.5</v>
      </c>
      <c r="F54" s="60">
        <f t="shared" si="6"/>
        <v>442.5</v>
      </c>
      <c r="G54" s="60">
        <f t="shared" si="6"/>
        <v>442.5</v>
      </c>
      <c r="H54" s="60">
        <f t="shared" si="6"/>
        <v>452.5</v>
      </c>
      <c r="I54" s="60">
        <f t="shared" si="6"/>
        <v>422.5</v>
      </c>
      <c r="J54" s="60">
        <f t="shared" si="6"/>
        <v>422.5</v>
      </c>
      <c r="K54" s="60">
        <f t="shared" si="6"/>
        <v>462.5</v>
      </c>
      <c r="L54" s="60">
        <f t="shared" si="6"/>
        <v>538.5</v>
      </c>
      <c r="M54" s="60">
        <f t="shared" si="6"/>
        <v>538.4</v>
      </c>
      <c r="N54" s="60">
        <f t="shared" si="6"/>
        <v>482.4</v>
      </c>
      <c r="O54" s="60">
        <f t="shared" si="6"/>
        <v>538.4</v>
      </c>
      <c r="P54" s="60">
        <f t="shared" si="6"/>
        <v>538.4</v>
      </c>
      <c r="Q54" s="60">
        <f t="shared" si="6"/>
        <v>538.4</v>
      </c>
      <c r="R54" s="60">
        <f t="shared" si="6"/>
        <v>538.4</v>
      </c>
      <c r="S54" s="60">
        <f t="shared" si="6"/>
        <v>538.4</v>
      </c>
      <c r="T54" s="60">
        <f t="shared" si="6"/>
        <v>538.4</v>
      </c>
      <c r="U54" s="60">
        <f t="shared" si="6"/>
        <v>538.4</v>
      </c>
      <c r="V54" s="60">
        <f t="shared" si="6"/>
        <v>538.4</v>
      </c>
      <c r="W54" s="60">
        <f t="shared" si="6"/>
        <v>538.4</v>
      </c>
      <c r="X54" s="60">
        <f t="shared" si="6"/>
        <v>432.4</v>
      </c>
      <c r="Y54" s="60">
        <f t="shared" si="6"/>
        <v>482.4</v>
      </c>
      <c r="Z54" s="60">
        <f t="shared" si="6"/>
        <v>382.4</v>
      </c>
      <c r="AA54" s="60">
        <f t="shared" si="6"/>
        <v>412.4</v>
      </c>
      <c r="AB54" s="60">
        <f t="shared" si="6"/>
        <v>312.39999999999998</v>
      </c>
      <c r="AC54" s="60">
        <f t="shared" si="6"/>
        <v>442.4</v>
      </c>
      <c r="AD54" s="60">
        <f t="shared" si="6"/>
        <v>538.4</v>
      </c>
      <c r="AE54" s="60">
        <f t="shared" si="6"/>
        <v>538.5</v>
      </c>
      <c r="AF54" s="60">
        <f t="shared" si="6"/>
        <v>422.5</v>
      </c>
      <c r="AG54" s="61">
        <f t="shared" si="6"/>
        <v>538.1</v>
      </c>
      <c r="AH54" s="47">
        <f t="shared" si="2"/>
        <v>538.5</v>
      </c>
      <c r="AI54" s="48">
        <f t="shared" si="3"/>
        <v>312.39999999999998</v>
      </c>
      <c r="AK54" s="49"/>
    </row>
    <row r="55" spans="1:41" x14ac:dyDescent="0.25">
      <c r="A55" s="44" t="s">
        <v>61</v>
      </c>
      <c r="B55" s="45">
        <v>97.2</v>
      </c>
      <c r="C55" s="45">
        <v>97.2</v>
      </c>
      <c r="D55" s="45">
        <v>97.2</v>
      </c>
      <c r="E55" s="45">
        <v>97.1</v>
      </c>
      <c r="F55" s="45">
        <v>97.2</v>
      </c>
      <c r="G55" s="45">
        <v>97</v>
      </c>
      <c r="H55" s="45">
        <v>97</v>
      </c>
      <c r="I55" s="45">
        <v>97</v>
      </c>
      <c r="J55" s="45">
        <v>97</v>
      </c>
      <c r="K55" s="45">
        <v>97</v>
      </c>
      <c r="L55" s="45">
        <v>97</v>
      </c>
      <c r="M55" s="45">
        <v>97.1</v>
      </c>
      <c r="N55" s="45">
        <v>97.1</v>
      </c>
      <c r="O55" s="45">
        <v>97.1</v>
      </c>
      <c r="P55" s="45">
        <v>97.1</v>
      </c>
      <c r="Q55" s="45">
        <v>97.1</v>
      </c>
      <c r="R55" s="45">
        <v>97.1</v>
      </c>
      <c r="S55" s="45">
        <v>97.1</v>
      </c>
      <c r="T55" s="45">
        <v>97.1</v>
      </c>
      <c r="U55" s="45">
        <v>96.9</v>
      </c>
      <c r="V55" s="45">
        <v>96.9</v>
      </c>
      <c r="W55" s="45">
        <v>96.9</v>
      </c>
      <c r="X55" s="45">
        <v>96.9</v>
      </c>
      <c r="Y55" s="45">
        <v>96.9</v>
      </c>
      <c r="Z55" s="45">
        <v>96.9</v>
      </c>
      <c r="AA55" s="45">
        <v>97</v>
      </c>
      <c r="AB55" s="45">
        <v>97</v>
      </c>
      <c r="AC55" s="45">
        <v>96</v>
      </c>
      <c r="AD55" s="45">
        <v>94.9</v>
      </c>
      <c r="AE55" s="45">
        <v>97.2</v>
      </c>
      <c r="AF55" s="45">
        <v>97.2</v>
      </c>
      <c r="AG55" s="51">
        <v>144</v>
      </c>
      <c r="AH55" s="47">
        <f t="shared" si="2"/>
        <v>97.2</v>
      </c>
      <c r="AI55" s="48">
        <f t="shared" si="3"/>
        <v>94.9</v>
      </c>
      <c r="AK55" s="49"/>
    </row>
    <row r="56" spans="1:41" x14ac:dyDescent="0.25">
      <c r="A56" s="53" t="s">
        <v>62</v>
      </c>
      <c r="B56" s="65">
        <v>69.599999999999994</v>
      </c>
      <c r="C56" s="65">
        <v>69.599999999999994</v>
      </c>
      <c r="D56" s="65">
        <v>65.3</v>
      </c>
      <c r="E56" s="65">
        <v>70.3</v>
      </c>
      <c r="F56" s="65">
        <v>69.8</v>
      </c>
      <c r="G56" s="65">
        <v>70.400000000000006</v>
      </c>
      <c r="H56" s="65">
        <v>70.400000000000006</v>
      </c>
      <c r="I56" s="65">
        <v>70.400000000000006</v>
      </c>
      <c r="J56" s="65">
        <v>70.400000000000006</v>
      </c>
      <c r="K56" s="65">
        <v>70.400000000000006</v>
      </c>
      <c r="L56" s="65">
        <v>70.400000000000006</v>
      </c>
      <c r="M56" s="65">
        <v>69.900000000000006</v>
      </c>
      <c r="N56" s="65">
        <v>69.900000000000006</v>
      </c>
      <c r="O56" s="65">
        <v>69.900000000000006</v>
      </c>
      <c r="P56" s="65">
        <v>69.900000000000006</v>
      </c>
      <c r="Q56" s="65">
        <v>69.900000000000006</v>
      </c>
      <c r="R56" s="65">
        <v>69.900000000000006</v>
      </c>
      <c r="S56" s="65">
        <v>69.900000000000006</v>
      </c>
      <c r="T56" s="65">
        <v>69.900000000000006</v>
      </c>
      <c r="U56" s="45">
        <v>70.599999999999994</v>
      </c>
      <c r="V56" s="45">
        <v>70.599999999999994</v>
      </c>
      <c r="W56" s="45">
        <v>70.599999999999994</v>
      </c>
      <c r="X56" s="45">
        <v>70.599999999999994</v>
      </c>
      <c r="Y56" s="45">
        <v>70.599999999999994</v>
      </c>
      <c r="Z56" s="45">
        <v>70.599999999999994</v>
      </c>
      <c r="AA56" s="45">
        <v>70.599999999999994</v>
      </c>
      <c r="AB56" s="45">
        <v>70.2</v>
      </c>
      <c r="AC56" s="45">
        <v>70.599999999999994</v>
      </c>
      <c r="AD56" s="45">
        <v>70.599999999999994</v>
      </c>
      <c r="AE56" s="45">
        <v>70.7</v>
      </c>
      <c r="AF56" s="45">
        <v>70.7</v>
      </c>
      <c r="AG56" s="54">
        <v>70</v>
      </c>
      <c r="AH56" s="47">
        <f t="shared" si="2"/>
        <v>70.7</v>
      </c>
      <c r="AI56" s="48">
        <f t="shared" si="3"/>
        <v>65.3</v>
      </c>
      <c r="AK56" s="49"/>
    </row>
    <row r="57" spans="1:41" x14ac:dyDescent="0.25">
      <c r="A57" s="53" t="s">
        <v>63</v>
      </c>
      <c r="B57" s="65">
        <v>60.2</v>
      </c>
      <c r="C57" s="65">
        <v>60.2</v>
      </c>
      <c r="D57" s="65">
        <v>69</v>
      </c>
      <c r="E57" s="65">
        <v>68.5</v>
      </c>
      <c r="F57" s="65">
        <v>67.7</v>
      </c>
      <c r="G57" s="65">
        <v>68</v>
      </c>
      <c r="H57" s="65">
        <v>68</v>
      </c>
      <c r="I57" s="65">
        <v>68</v>
      </c>
      <c r="J57" s="65">
        <v>68</v>
      </c>
      <c r="K57" s="65">
        <v>69.2</v>
      </c>
      <c r="L57" s="65">
        <v>69.2</v>
      </c>
      <c r="M57" s="65">
        <v>69.2</v>
      </c>
      <c r="N57" s="65">
        <v>69.2</v>
      </c>
      <c r="O57" s="65">
        <v>69.2</v>
      </c>
      <c r="P57" s="65">
        <v>69.2</v>
      </c>
      <c r="Q57" s="65">
        <v>69.2</v>
      </c>
      <c r="R57" s="65">
        <v>69.2</v>
      </c>
      <c r="S57" s="65">
        <v>69.2</v>
      </c>
      <c r="T57" s="65">
        <v>69.2</v>
      </c>
      <c r="U57" s="45">
        <v>69.2</v>
      </c>
      <c r="V57" s="45">
        <v>69.2</v>
      </c>
      <c r="W57" s="45">
        <v>69.2</v>
      </c>
      <c r="X57" s="45">
        <v>69.2</v>
      </c>
      <c r="Y57" s="45">
        <v>69.2</v>
      </c>
      <c r="Z57" s="45">
        <v>69.2</v>
      </c>
      <c r="AA57" s="45">
        <v>69.2</v>
      </c>
      <c r="AB57" s="45">
        <v>69.2</v>
      </c>
      <c r="AC57" s="45">
        <v>70.2</v>
      </c>
      <c r="AD57" s="45">
        <v>70.2</v>
      </c>
      <c r="AE57" s="45">
        <v>69</v>
      </c>
      <c r="AF57" s="45">
        <v>69</v>
      </c>
      <c r="AG57" s="54">
        <v>69</v>
      </c>
      <c r="AH57" s="47">
        <f t="shared" si="2"/>
        <v>70.2</v>
      </c>
      <c r="AI57" s="48">
        <f t="shared" si="3"/>
        <v>60.2</v>
      </c>
      <c r="AK57" s="49"/>
    </row>
    <row r="58" spans="1:41" x14ac:dyDescent="0.25">
      <c r="A58" s="53" t="s">
        <v>64</v>
      </c>
      <c r="B58" s="65">
        <v>60</v>
      </c>
      <c r="C58" s="65">
        <v>60</v>
      </c>
      <c r="D58" s="65">
        <v>60</v>
      </c>
      <c r="E58" s="56">
        <v>61</v>
      </c>
      <c r="F58" s="56">
        <v>61.7</v>
      </c>
      <c r="G58" s="56">
        <v>61</v>
      </c>
      <c r="H58" s="56">
        <v>60.4</v>
      </c>
      <c r="I58" s="56">
        <v>60.4</v>
      </c>
      <c r="J58" s="56">
        <v>60.4</v>
      </c>
      <c r="K58" s="56">
        <v>60.4</v>
      </c>
      <c r="L58" s="56">
        <v>60.4</v>
      </c>
      <c r="M58" s="56">
        <v>60.4</v>
      </c>
      <c r="N58" s="56">
        <v>60.4</v>
      </c>
      <c r="O58" s="56">
        <v>60.4</v>
      </c>
      <c r="P58" s="56">
        <v>60.4</v>
      </c>
      <c r="Q58" s="56">
        <v>60.4</v>
      </c>
      <c r="R58" s="56">
        <v>60.4</v>
      </c>
      <c r="S58" s="56">
        <v>60.4</v>
      </c>
      <c r="T58" s="56">
        <v>60.4</v>
      </c>
      <c r="U58" s="45">
        <v>60.2</v>
      </c>
      <c r="V58" s="45">
        <v>60.2</v>
      </c>
      <c r="W58" s="45">
        <v>60.2</v>
      </c>
      <c r="X58" s="45">
        <v>60.2</v>
      </c>
      <c r="Y58" s="45">
        <v>60.2</v>
      </c>
      <c r="Z58" s="45">
        <v>60.2</v>
      </c>
      <c r="AA58" s="45">
        <v>60.2</v>
      </c>
      <c r="AB58" s="45">
        <v>60.2</v>
      </c>
      <c r="AC58" s="45">
        <v>60.4</v>
      </c>
      <c r="AD58" s="45">
        <v>60.4</v>
      </c>
      <c r="AE58" s="45">
        <v>60.4</v>
      </c>
      <c r="AF58" s="45">
        <v>60.4</v>
      </c>
      <c r="AG58" s="54">
        <v>60</v>
      </c>
      <c r="AH58" s="47">
        <f t="shared" si="2"/>
        <v>61.7</v>
      </c>
      <c r="AI58" s="48">
        <f t="shared" si="3"/>
        <v>60</v>
      </c>
      <c r="AK58" s="49"/>
    </row>
    <row r="59" spans="1:41" x14ac:dyDescent="0.25">
      <c r="A59" s="53" t="s">
        <v>65</v>
      </c>
      <c r="B59" s="65">
        <v>22</v>
      </c>
      <c r="C59" s="65">
        <v>22</v>
      </c>
      <c r="D59" s="65">
        <v>22</v>
      </c>
      <c r="E59" s="65">
        <v>22</v>
      </c>
      <c r="F59" s="65">
        <v>22</v>
      </c>
      <c r="G59" s="56">
        <v>22</v>
      </c>
      <c r="H59" s="56">
        <v>22</v>
      </c>
      <c r="I59" s="56">
        <v>22</v>
      </c>
      <c r="J59" s="56">
        <v>22</v>
      </c>
      <c r="K59" s="56">
        <v>22</v>
      </c>
      <c r="L59" s="56">
        <v>22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56">
        <v>30</v>
      </c>
      <c r="T59" s="56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25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22</v>
      </c>
      <c r="AK59" s="49"/>
    </row>
    <row r="60" spans="1:41" x14ac:dyDescent="0.25">
      <c r="A60" s="53" t="s">
        <v>66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7.2</v>
      </c>
      <c r="N60" s="65">
        <v>7.2</v>
      </c>
      <c r="O60" s="65">
        <v>7.2</v>
      </c>
      <c r="P60" s="65">
        <v>7.2</v>
      </c>
      <c r="Q60" s="65">
        <v>7.2</v>
      </c>
      <c r="R60" s="65">
        <v>7.2</v>
      </c>
      <c r="S60" s="65">
        <v>14.2</v>
      </c>
      <c r="T60" s="65">
        <v>12.4</v>
      </c>
      <c r="U60" s="45">
        <v>8.4</v>
      </c>
      <c r="V60" s="45">
        <v>0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14.2</v>
      </c>
      <c r="AI60" s="48">
        <f t="shared" si="3"/>
        <v>0</v>
      </c>
      <c r="AK60" s="49"/>
    </row>
    <row r="61" spans="1:41" x14ac:dyDescent="0.25">
      <c r="A61" s="53" t="s">
        <v>67</v>
      </c>
      <c r="B61" s="65">
        <v>12</v>
      </c>
      <c r="C61" s="65">
        <v>12</v>
      </c>
      <c r="D61" s="65">
        <v>12</v>
      </c>
      <c r="E61" s="65">
        <v>12</v>
      </c>
      <c r="F61" s="65">
        <v>12</v>
      </c>
      <c r="G61" s="65">
        <v>12</v>
      </c>
      <c r="H61" s="65">
        <v>12</v>
      </c>
      <c r="I61" s="65">
        <v>12</v>
      </c>
      <c r="J61" s="65">
        <v>12</v>
      </c>
      <c r="K61" s="65">
        <v>12</v>
      </c>
      <c r="L61" s="65">
        <v>12</v>
      </c>
      <c r="M61" s="65">
        <v>12</v>
      </c>
      <c r="N61" s="65">
        <v>12</v>
      </c>
      <c r="O61" s="65">
        <v>12</v>
      </c>
      <c r="P61" s="65">
        <v>12</v>
      </c>
      <c r="Q61" s="65">
        <v>12</v>
      </c>
      <c r="R61" s="65">
        <v>12</v>
      </c>
      <c r="S61" s="65">
        <v>12</v>
      </c>
      <c r="T61" s="65">
        <v>12</v>
      </c>
      <c r="U61" s="65">
        <v>12</v>
      </c>
      <c r="V61" s="65">
        <v>12</v>
      </c>
      <c r="W61" s="65">
        <v>12</v>
      </c>
      <c r="X61" s="65">
        <v>12</v>
      </c>
      <c r="Y61" s="65">
        <v>12</v>
      </c>
      <c r="Z61" s="65">
        <v>12</v>
      </c>
      <c r="AA61" s="65">
        <v>12</v>
      </c>
      <c r="AB61" s="65">
        <v>12</v>
      </c>
      <c r="AC61" s="65">
        <v>12</v>
      </c>
      <c r="AD61" s="65">
        <v>12</v>
      </c>
      <c r="AE61" s="65">
        <v>15</v>
      </c>
      <c r="AF61" s="65">
        <v>15</v>
      </c>
      <c r="AG61" s="54">
        <v>24</v>
      </c>
      <c r="AH61" s="47">
        <f t="shared" si="2"/>
        <v>15</v>
      </c>
      <c r="AI61" s="48">
        <f t="shared" si="3"/>
        <v>12</v>
      </c>
      <c r="AK61" s="49"/>
    </row>
    <row r="62" spans="1:41" x14ac:dyDescent="0.25">
      <c r="A62" s="53" t="s">
        <v>68</v>
      </c>
      <c r="B62" s="65">
        <v>1.4</v>
      </c>
      <c r="C62" s="65">
        <v>1.4</v>
      </c>
      <c r="D62" s="65">
        <v>1.4</v>
      </c>
      <c r="E62" s="65">
        <v>1.4</v>
      </c>
      <c r="F62" s="65">
        <v>1.4</v>
      </c>
      <c r="G62" s="65">
        <v>1.4</v>
      </c>
      <c r="H62" s="65">
        <v>1.4</v>
      </c>
      <c r="I62" s="65">
        <v>1.4</v>
      </c>
      <c r="J62" s="65">
        <v>1.4</v>
      </c>
      <c r="K62" s="65">
        <v>1.4</v>
      </c>
      <c r="L62" s="65">
        <v>1.4</v>
      </c>
      <c r="M62" s="65">
        <v>1.4</v>
      </c>
      <c r="N62" s="65">
        <v>1.4</v>
      </c>
      <c r="O62" s="65">
        <v>1.4</v>
      </c>
      <c r="P62" s="65">
        <v>1.4</v>
      </c>
      <c r="Q62" s="65">
        <v>1.4</v>
      </c>
      <c r="R62" s="65">
        <v>1.4</v>
      </c>
      <c r="S62" s="65">
        <v>1.4</v>
      </c>
      <c r="T62" s="65">
        <v>1.4</v>
      </c>
      <c r="U62" s="65">
        <v>1.4</v>
      </c>
      <c r="V62" s="65">
        <v>1.4</v>
      </c>
      <c r="W62" s="65">
        <v>1.4</v>
      </c>
      <c r="X62" s="65">
        <v>1.4</v>
      </c>
      <c r="Y62" s="65">
        <v>1.4</v>
      </c>
      <c r="Z62" s="65">
        <v>1.4</v>
      </c>
      <c r="AA62" s="65">
        <v>1.4</v>
      </c>
      <c r="AB62" s="65">
        <v>1.4</v>
      </c>
      <c r="AC62" s="65">
        <v>1.4</v>
      </c>
      <c r="AD62" s="65">
        <v>1.4</v>
      </c>
      <c r="AE62" s="65">
        <v>1.4</v>
      </c>
      <c r="AF62" s="65">
        <v>1.4</v>
      </c>
      <c r="AG62" s="54">
        <v>15</v>
      </c>
      <c r="AH62" s="47">
        <f t="shared" si="2"/>
        <v>1.4</v>
      </c>
      <c r="AI62" s="48">
        <f t="shared" si="3"/>
        <v>1.4</v>
      </c>
      <c r="AK62" s="49"/>
      <c r="AL62" s="70"/>
      <c r="AO62" s="70"/>
    </row>
    <row r="63" spans="1:41" s="70" customFormat="1" x14ac:dyDescent="0.25">
      <c r="A63" s="53" t="s">
        <v>69</v>
      </c>
      <c r="B63" s="65">
        <v>4</v>
      </c>
      <c r="C63" s="65">
        <v>4</v>
      </c>
      <c r="D63" s="65">
        <v>4</v>
      </c>
      <c r="E63" s="65">
        <v>4</v>
      </c>
      <c r="F63" s="65">
        <v>4</v>
      </c>
      <c r="G63" s="65">
        <v>4</v>
      </c>
      <c r="H63" s="65">
        <v>4</v>
      </c>
      <c r="I63" s="65">
        <v>4</v>
      </c>
      <c r="J63" s="65">
        <v>4</v>
      </c>
      <c r="K63" s="65">
        <v>4</v>
      </c>
      <c r="L63" s="65">
        <v>4</v>
      </c>
      <c r="M63" s="65">
        <v>4</v>
      </c>
      <c r="N63" s="65">
        <v>4</v>
      </c>
      <c r="O63" s="65">
        <v>4</v>
      </c>
      <c r="P63" s="65">
        <v>4</v>
      </c>
      <c r="Q63" s="65">
        <v>4</v>
      </c>
      <c r="R63" s="65">
        <v>4</v>
      </c>
      <c r="S63" s="65">
        <v>11.9</v>
      </c>
      <c r="T63" s="65">
        <v>11.9</v>
      </c>
      <c r="U63" s="65">
        <v>11.5</v>
      </c>
      <c r="V63" s="65">
        <v>11.5</v>
      </c>
      <c r="W63" s="65">
        <v>11.5</v>
      </c>
      <c r="X63" s="65">
        <v>11.5</v>
      </c>
      <c r="Y63" s="65">
        <v>11.5</v>
      </c>
      <c r="Z63" s="65">
        <v>11.5</v>
      </c>
      <c r="AA63" s="65">
        <v>11.5</v>
      </c>
      <c r="AB63" s="65">
        <v>13.4</v>
      </c>
      <c r="AC63" s="65">
        <v>13.4</v>
      </c>
      <c r="AD63" s="65">
        <v>13.4</v>
      </c>
      <c r="AE63" s="65">
        <v>13.6</v>
      </c>
      <c r="AF63" s="65">
        <v>13.6</v>
      </c>
      <c r="AG63" s="54">
        <v>14.1</v>
      </c>
      <c r="AH63" s="47">
        <f t="shared" si="2"/>
        <v>13.6</v>
      </c>
      <c r="AI63" s="48">
        <f t="shared" si="3"/>
        <v>4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>
        <v>14.1</v>
      </c>
      <c r="C64" s="65">
        <v>14.1</v>
      </c>
      <c r="D64" s="65">
        <v>14.1</v>
      </c>
      <c r="E64" s="65">
        <v>14.1</v>
      </c>
      <c r="F64" s="65">
        <v>14.1</v>
      </c>
      <c r="G64" s="65">
        <v>14.1</v>
      </c>
      <c r="H64" s="65">
        <v>14.1</v>
      </c>
      <c r="I64" s="65">
        <v>14.1</v>
      </c>
      <c r="J64" s="65">
        <v>14.1</v>
      </c>
      <c r="K64" s="65">
        <v>14.1</v>
      </c>
      <c r="L64" s="65">
        <v>14.1</v>
      </c>
      <c r="M64" s="65">
        <v>14.1</v>
      </c>
      <c r="N64" s="65">
        <v>14.1</v>
      </c>
      <c r="O64" s="65">
        <v>14.1</v>
      </c>
      <c r="P64" s="65">
        <v>14.1</v>
      </c>
      <c r="Q64" s="65">
        <v>14.1</v>
      </c>
      <c r="R64" s="65">
        <v>14.1</v>
      </c>
      <c r="S64" s="65">
        <v>14.1</v>
      </c>
      <c r="T64" s="65">
        <v>14.1</v>
      </c>
      <c r="U64" s="65">
        <v>14.1</v>
      </c>
      <c r="V64" s="65">
        <v>14.1</v>
      </c>
      <c r="W64" s="65">
        <v>14.1</v>
      </c>
      <c r="X64" s="65">
        <v>14.1</v>
      </c>
      <c r="Y64" s="65">
        <v>14.1</v>
      </c>
      <c r="Z64" s="65">
        <v>14.1</v>
      </c>
      <c r="AA64" s="65">
        <v>14.1</v>
      </c>
      <c r="AB64" s="65">
        <v>14.3</v>
      </c>
      <c r="AC64" s="65">
        <v>14.3</v>
      </c>
      <c r="AD64" s="65">
        <v>14.3</v>
      </c>
      <c r="AE64" s="65">
        <v>14.4</v>
      </c>
      <c r="AF64" s="65">
        <v>14.4</v>
      </c>
      <c r="AG64" s="54">
        <v>14</v>
      </c>
      <c r="AH64" s="47">
        <f t="shared" si="2"/>
        <v>14.4</v>
      </c>
      <c r="AI64" s="48">
        <f t="shared" si="3"/>
        <v>14.1</v>
      </c>
      <c r="AK64" s="49"/>
    </row>
    <row r="65" spans="1:40" x14ac:dyDescent="0.25">
      <c r="A65" s="53" t="s">
        <v>71</v>
      </c>
      <c r="B65" s="65">
        <v>7.3</v>
      </c>
      <c r="C65" s="65">
        <v>7.3</v>
      </c>
      <c r="D65" s="65">
        <v>6.8</v>
      </c>
      <c r="E65" s="65">
        <v>6.8</v>
      </c>
      <c r="F65" s="65">
        <v>7.3</v>
      </c>
      <c r="G65" s="65">
        <v>7.3</v>
      </c>
      <c r="H65" s="65">
        <v>7.3</v>
      </c>
      <c r="I65" s="65">
        <v>8.6</v>
      </c>
      <c r="J65" s="65">
        <v>6.9</v>
      </c>
      <c r="K65" s="65">
        <v>6.9</v>
      </c>
      <c r="L65" s="65">
        <v>8.5</v>
      </c>
      <c r="M65" s="65">
        <v>7</v>
      </c>
      <c r="N65" s="65">
        <v>7</v>
      </c>
      <c r="O65" s="65">
        <v>7</v>
      </c>
      <c r="P65" s="65">
        <v>7</v>
      </c>
      <c r="Q65" s="65">
        <v>7</v>
      </c>
      <c r="R65" s="65">
        <v>7</v>
      </c>
      <c r="S65" s="65">
        <v>7</v>
      </c>
      <c r="T65" s="65">
        <v>7</v>
      </c>
      <c r="U65" s="65">
        <v>7</v>
      </c>
      <c r="V65" s="65">
        <v>7</v>
      </c>
      <c r="W65" s="65">
        <v>7</v>
      </c>
      <c r="X65" s="65">
        <v>7</v>
      </c>
      <c r="Y65" s="65">
        <v>7</v>
      </c>
      <c r="Z65" s="65">
        <v>7</v>
      </c>
      <c r="AA65" s="65">
        <v>7</v>
      </c>
      <c r="AB65" s="65">
        <v>7</v>
      </c>
      <c r="AC65" s="65">
        <v>7</v>
      </c>
      <c r="AD65" s="65">
        <v>7</v>
      </c>
      <c r="AE65" s="65">
        <v>7</v>
      </c>
      <c r="AF65" s="65">
        <v>7</v>
      </c>
      <c r="AG65" s="54">
        <v>10.050000000000001</v>
      </c>
      <c r="AH65" s="47">
        <f t="shared" si="2"/>
        <v>8.6</v>
      </c>
      <c r="AI65" s="48">
        <f t="shared" si="3"/>
        <v>6.8</v>
      </c>
      <c r="AK65" s="49"/>
    </row>
    <row r="66" spans="1:40" x14ac:dyDescent="0.25">
      <c r="A66" s="53" t="s">
        <v>72</v>
      </c>
      <c r="B66" s="65">
        <v>2.2000000000000002</v>
      </c>
      <c r="C66" s="65">
        <v>2.2000000000000002</v>
      </c>
      <c r="D66" s="65">
        <v>2.2000000000000002</v>
      </c>
      <c r="E66" s="65">
        <v>2.2000000000000002</v>
      </c>
      <c r="F66" s="65">
        <v>2.2000000000000002</v>
      </c>
      <c r="G66" s="65">
        <v>2.2000000000000002</v>
      </c>
      <c r="H66" s="65">
        <v>2.2000000000000002</v>
      </c>
      <c r="I66" s="65">
        <v>2.2000000000000002</v>
      </c>
      <c r="J66" s="65">
        <v>2.2000000000000002</v>
      </c>
      <c r="K66" s="65">
        <v>2.2000000000000002</v>
      </c>
      <c r="L66" s="65">
        <v>2.2000000000000002</v>
      </c>
      <c r="M66" s="65">
        <v>2.2000000000000002</v>
      </c>
      <c r="N66" s="65">
        <v>2.2000000000000002</v>
      </c>
      <c r="O66" s="65">
        <v>2.2000000000000002</v>
      </c>
      <c r="P66" s="65">
        <v>2.2000000000000002</v>
      </c>
      <c r="Q66" s="65">
        <v>2.2000000000000002</v>
      </c>
      <c r="R66" s="65">
        <v>2.2000000000000002</v>
      </c>
      <c r="S66" s="65">
        <v>2.2000000000000002</v>
      </c>
      <c r="T66" s="65">
        <v>2.2000000000000002</v>
      </c>
      <c r="U66" s="65">
        <v>2.2000000000000002</v>
      </c>
      <c r="V66" s="65">
        <v>2.2000000000000002</v>
      </c>
      <c r="W66" s="65">
        <v>2.2000000000000002</v>
      </c>
      <c r="X66" s="65">
        <v>2.2000000000000002</v>
      </c>
      <c r="Y66" s="65">
        <v>2.2000000000000002</v>
      </c>
      <c r="Z66" s="65">
        <v>2.2000000000000002</v>
      </c>
      <c r="AA66" s="65">
        <v>2.2000000000000002</v>
      </c>
      <c r="AB66" s="65">
        <v>2.2000000000000002</v>
      </c>
      <c r="AC66" s="65">
        <v>2.2000000000000002</v>
      </c>
      <c r="AD66" s="65">
        <v>2.2000000000000002</v>
      </c>
      <c r="AE66" s="65">
        <v>2.2000000000000002</v>
      </c>
      <c r="AF66" s="65">
        <v>2.2000000000000002</v>
      </c>
      <c r="AG66" s="54">
        <v>6.2</v>
      </c>
      <c r="AH66" s="47">
        <f t="shared" si="2"/>
        <v>2.2000000000000002</v>
      </c>
      <c r="AI66" s="48">
        <f t="shared" si="3"/>
        <v>2.2000000000000002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v>346.24</v>
      </c>
      <c r="C68" s="60">
        <f t="shared" ref="C68:AG68" si="7">SUM(C55:C67)</f>
        <v>353.54</v>
      </c>
      <c r="D68" s="60">
        <f t="shared" si="7"/>
        <v>357.54</v>
      </c>
      <c r="E68" s="60">
        <f t="shared" si="7"/>
        <v>362.94</v>
      </c>
      <c r="F68" s="60">
        <f t="shared" si="7"/>
        <v>362.94</v>
      </c>
      <c r="G68" s="60">
        <f t="shared" si="7"/>
        <v>362.94</v>
      </c>
      <c r="H68" s="60">
        <f t="shared" si="7"/>
        <v>362.34000000000003</v>
      </c>
      <c r="I68" s="60">
        <f t="shared" si="7"/>
        <v>363.64000000000004</v>
      </c>
      <c r="J68" s="60">
        <f t="shared" si="7"/>
        <v>361.94</v>
      </c>
      <c r="K68" s="60">
        <f t="shared" si="7"/>
        <v>363.14</v>
      </c>
      <c r="L68" s="60">
        <f t="shared" si="7"/>
        <v>364.74</v>
      </c>
      <c r="M68" s="60">
        <f t="shared" si="7"/>
        <v>378.03999999999996</v>
      </c>
      <c r="N68" s="60">
        <f t="shared" si="7"/>
        <v>378.03999999999996</v>
      </c>
      <c r="O68" s="60">
        <f t="shared" si="7"/>
        <v>378.03999999999996</v>
      </c>
      <c r="P68" s="60">
        <f t="shared" si="7"/>
        <v>378.03999999999996</v>
      </c>
      <c r="Q68" s="60">
        <f t="shared" si="7"/>
        <v>378.03999999999996</v>
      </c>
      <c r="R68" s="60">
        <f t="shared" si="7"/>
        <v>378.03999999999996</v>
      </c>
      <c r="S68" s="60">
        <f t="shared" si="7"/>
        <v>392.93999999999994</v>
      </c>
      <c r="T68" s="60">
        <f t="shared" si="7"/>
        <v>391.13999999999993</v>
      </c>
      <c r="U68" s="60">
        <f t="shared" si="7"/>
        <v>387.03999999999996</v>
      </c>
      <c r="V68" s="60">
        <f t="shared" si="7"/>
        <v>378.64</v>
      </c>
      <c r="W68" s="60">
        <f t="shared" si="7"/>
        <v>378.64</v>
      </c>
      <c r="X68" s="60">
        <f t="shared" si="7"/>
        <v>378.64</v>
      </c>
      <c r="Y68" s="60">
        <f t="shared" si="7"/>
        <v>378.64</v>
      </c>
      <c r="Z68" s="60">
        <f t="shared" si="7"/>
        <v>378.64</v>
      </c>
      <c r="AA68" s="60">
        <f t="shared" si="7"/>
        <v>373.74</v>
      </c>
      <c r="AB68" s="60">
        <f t="shared" si="7"/>
        <v>380.43999999999994</v>
      </c>
      <c r="AC68" s="60">
        <f t="shared" si="7"/>
        <v>381.03999999999996</v>
      </c>
      <c r="AD68" s="60">
        <f t="shared" si="7"/>
        <v>379.93999999999994</v>
      </c>
      <c r="AE68" s="60">
        <f t="shared" si="7"/>
        <v>384.44</v>
      </c>
      <c r="AF68" s="60">
        <f t="shared" si="7"/>
        <v>384.44</v>
      </c>
      <c r="AG68" s="61">
        <f t="shared" si="7"/>
        <v>489.91</v>
      </c>
      <c r="AH68" s="47">
        <f t="shared" si="2"/>
        <v>392.93999999999994</v>
      </c>
      <c r="AI68" s="48">
        <f t="shared" si="3"/>
        <v>346.24</v>
      </c>
      <c r="AK68" s="49"/>
    </row>
    <row r="69" spans="1:40" x14ac:dyDescent="0.25">
      <c r="A69" s="44" t="s">
        <v>75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14</v>
      </c>
      <c r="N69" s="45">
        <v>10.3</v>
      </c>
      <c r="O69" s="45">
        <v>10.3</v>
      </c>
      <c r="P69" s="45">
        <v>10.3</v>
      </c>
      <c r="Q69" s="45">
        <v>20</v>
      </c>
      <c r="R69" s="45">
        <v>30</v>
      </c>
      <c r="S69" s="45">
        <v>44.6</v>
      </c>
      <c r="T69" s="45">
        <v>40.200000000000003</v>
      </c>
      <c r="U69" s="45">
        <v>29.2</v>
      </c>
      <c r="V69" s="45">
        <v>10.5</v>
      </c>
      <c r="W69" s="45">
        <v>25.3</v>
      </c>
      <c r="X69" s="45">
        <v>25.3</v>
      </c>
      <c r="Y69" s="45">
        <v>0</v>
      </c>
      <c r="Z69" s="45">
        <v>0</v>
      </c>
      <c r="AA69" s="45">
        <v>14.4</v>
      </c>
      <c r="AB69" s="45">
        <v>14.5</v>
      </c>
      <c r="AC69" s="45">
        <v>14.3</v>
      </c>
      <c r="AD69" s="45">
        <v>14.3</v>
      </c>
      <c r="AE69" s="45">
        <v>30</v>
      </c>
      <c r="AF69" s="45">
        <v>20</v>
      </c>
      <c r="AG69" s="51">
        <v>60</v>
      </c>
      <c r="AH69" s="47">
        <f t="shared" si="2"/>
        <v>44.6</v>
      </c>
      <c r="AI69" s="48">
        <f t="shared" si="3"/>
        <v>0</v>
      </c>
      <c r="AK69" s="49"/>
    </row>
    <row r="70" spans="1:40" x14ac:dyDescent="0.25">
      <c r="A70" s="53" t="s">
        <v>76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65">
        <v>0</v>
      </c>
      <c r="L70" s="65">
        <v>0</v>
      </c>
      <c r="M70" s="65">
        <v>7</v>
      </c>
      <c r="N70" s="65">
        <v>5</v>
      </c>
      <c r="O70" s="65">
        <v>5</v>
      </c>
      <c r="P70" s="65">
        <v>5</v>
      </c>
      <c r="Q70" s="65">
        <v>10</v>
      </c>
      <c r="R70" s="65">
        <v>14.5</v>
      </c>
      <c r="S70" s="65">
        <v>24.8</v>
      </c>
      <c r="T70" s="65">
        <v>16.899999999999999</v>
      </c>
      <c r="U70" s="65">
        <v>15.3</v>
      </c>
      <c r="V70" s="65">
        <v>10.5</v>
      </c>
      <c r="W70" s="65">
        <v>16.2</v>
      </c>
      <c r="X70" s="65">
        <v>16.2</v>
      </c>
      <c r="Y70" s="45">
        <v>0</v>
      </c>
      <c r="Z70" s="45">
        <v>0</v>
      </c>
      <c r="AA70" s="65">
        <v>0</v>
      </c>
      <c r="AB70" s="65">
        <v>7.9</v>
      </c>
      <c r="AC70" s="65">
        <v>7.9</v>
      </c>
      <c r="AD70" s="65">
        <v>10.199999999999999</v>
      </c>
      <c r="AE70" s="65">
        <v>15.3</v>
      </c>
      <c r="AF70" s="65">
        <v>9.6999999999999993</v>
      </c>
      <c r="AG70" s="54">
        <v>32</v>
      </c>
      <c r="AH70" s="47">
        <f t="shared" si="2"/>
        <v>24.8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67">
        <v>0</v>
      </c>
      <c r="L71" s="67">
        <v>0</v>
      </c>
      <c r="M71" s="67">
        <v>3</v>
      </c>
      <c r="N71" s="67">
        <v>1.8</v>
      </c>
      <c r="O71" s="67">
        <v>1.8</v>
      </c>
      <c r="P71" s="67">
        <v>1.8</v>
      </c>
      <c r="Q71" s="67">
        <v>5</v>
      </c>
      <c r="R71" s="67">
        <v>6</v>
      </c>
      <c r="S71" s="67">
        <v>9</v>
      </c>
      <c r="T71" s="67">
        <v>6.2</v>
      </c>
      <c r="U71" s="67">
        <v>5.6</v>
      </c>
      <c r="V71" s="67">
        <v>3.8</v>
      </c>
      <c r="W71" s="67">
        <v>5.9</v>
      </c>
      <c r="X71" s="67">
        <v>5.9</v>
      </c>
      <c r="Y71" s="45">
        <v>0</v>
      </c>
      <c r="Z71" s="45">
        <v>0</v>
      </c>
      <c r="AA71" s="67">
        <v>0</v>
      </c>
      <c r="AB71" s="67">
        <v>2.9</v>
      </c>
      <c r="AC71" s="67">
        <v>2.9</v>
      </c>
      <c r="AD71" s="67">
        <v>3.7</v>
      </c>
      <c r="AE71" s="67">
        <v>5.6</v>
      </c>
      <c r="AF71" s="67">
        <v>3.5</v>
      </c>
      <c r="AG71" s="68">
        <v>14</v>
      </c>
      <c r="AH71" s="47">
        <f t="shared" si="2"/>
        <v>9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8">M69+M70+M71</f>
        <v>24</v>
      </c>
      <c r="N72" s="60">
        <f t="shared" si="8"/>
        <v>17.100000000000001</v>
      </c>
      <c r="O72" s="60">
        <f t="shared" si="8"/>
        <v>17.100000000000001</v>
      </c>
      <c r="P72" s="60">
        <f t="shared" si="8"/>
        <v>17.100000000000001</v>
      </c>
      <c r="Q72" s="60">
        <f t="shared" si="8"/>
        <v>35</v>
      </c>
      <c r="R72" s="60">
        <f t="shared" si="8"/>
        <v>50.5</v>
      </c>
      <c r="S72" s="60">
        <f t="shared" si="8"/>
        <v>78.400000000000006</v>
      </c>
      <c r="T72" s="60">
        <f t="shared" si="8"/>
        <v>63.300000000000004</v>
      </c>
      <c r="U72" s="60">
        <f t="shared" si="8"/>
        <v>50.1</v>
      </c>
      <c r="V72" s="60">
        <f t="shared" si="8"/>
        <v>24.8</v>
      </c>
      <c r="W72" s="60">
        <f t="shared" si="8"/>
        <v>47.4</v>
      </c>
      <c r="X72" s="60">
        <f t="shared" si="8"/>
        <v>47.4</v>
      </c>
      <c r="Y72" s="60">
        <f t="shared" si="8"/>
        <v>0</v>
      </c>
      <c r="Z72" s="60">
        <f t="shared" si="8"/>
        <v>0</v>
      </c>
      <c r="AA72" s="60">
        <f t="shared" si="8"/>
        <v>14.4</v>
      </c>
      <c r="AB72" s="60">
        <f t="shared" si="8"/>
        <v>25.299999999999997</v>
      </c>
      <c r="AC72" s="60">
        <f t="shared" si="8"/>
        <v>25.1</v>
      </c>
      <c r="AD72" s="60">
        <f t="shared" si="8"/>
        <v>28.2</v>
      </c>
      <c r="AE72" s="60">
        <f t="shared" si="8"/>
        <v>50.9</v>
      </c>
      <c r="AF72" s="60">
        <f t="shared" si="8"/>
        <v>33.200000000000003</v>
      </c>
      <c r="AG72" s="61">
        <f>SUM(AG69:AG71)</f>
        <v>106</v>
      </c>
      <c r="AH72" s="47">
        <f t="shared" si="2"/>
        <v>78.400000000000006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59</v>
      </c>
      <c r="C73" s="45">
        <v>59</v>
      </c>
      <c r="D73" s="45">
        <v>40</v>
      </c>
      <c r="E73" s="45">
        <v>30</v>
      </c>
      <c r="F73" s="45">
        <v>36.1</v>
      </c>
      <c r="G73" s="45">
        <v>30</v>
      </c>
      <c r="H73" s="45">
        <v>30</v>
      </c>
      <c r="I73" s="45">
        <v>30</v>
      </c>
      <c r="J73" s="45">
        <v>30</v>
      </c>
      <c r="K73" s="45">
        <v>62</v>
      </c>
      <c r="L73" s="45">
        <v>63</v>
      </c>
      <c r="M73" s="45">
        <v>63.3</v>
      </c>
      <c r="N73" s="45">
        <v>59.9</v>
      </c>
      <c r="O73" s="45">
        <v>68.8</v>
      </c>
      <c r="P73" s="45">
        <v>62.1</v>
      </c>
      <c r="Q73" s="45">
        <v>62.1</v>
      </c>
      <c r="R73" s="45">
        <v>62.1</v>
      </c>
      <c r="S73" s="45">
        <v>60</v>
      </c>
      <c r="T73" s="45">
        <v>63</v>
      </c>
      <c r="U73" s="45">
        <v>47.65</v>
      </c>
      <c r="V73" s="45">
        <v>55</v>
      </c>
      <c r="W73" s="45">
        <v>64.400000000000006</v>
      </c>
      <c r="X73" s="45">
        <v>64.400000000000006</v>
      </c>
      <c r="Y73" s="45">
        <v>40</v>
      </c>
      <c r="Z73" s="45">
        <v>64.400000000000006</v>
      </c>
      <c r="AA73" s="45">
        <v>60.3</v>
      </c>
      <c r="AB73" s="45">
        <v>62.4</v>
      </c>
      <c r="AC73" s="45">
        <v>54.7</v>
      </c>
      <c r="AD73" s="45">
        <v>50.1</v>
      </c>
      <c r="AE73" s="45">
        <v>52.2</v>
      </c>
      <c r="AF73" s="45">
        <v>53</v>
      </c>
      <c r="AG73" s="51"/>
      <c r="AH73" s="47">
        <f t="shared" si="2"/>
        <v>68.8</v>
      </c>
      <c r="AI73" s="48">
        <f t="shared" si="3"/>
        <v>30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-280</v>
      </c>
      <c r="C75" s="65">
        <v>-340</v>
      </c>
      <c r="D75" s="65">
        <v>-340</v>
      </c>
      <c r="E75" s="65">
        <v>-360</v>
      </c>
      <c r="F75" s="65">
        <v>-360</v>
      </c>
      <c r="G75" s="65">
        <v>-360</v>
      </c>
      <c r="H75" s="65">
        <v>-370</v>
      </c>
      <c r="I75" s="65">
        <v>-310</v>
      </c>
      <c r="J75" s="65">
        <v>-310</v>
      </c>
      <c r="K75" s="65">
        <v>-371</v>
      </c>
      <c r="L75" s="65">
        <v>-360</v>
      </c>
      <c r="M75" s="65">
        <v>-355</v>
      </c>
      <c r="N75" s="65">
        <v>-360</v>
      </c>
      <c r="O75" s="65">
        <v>-370</v>
      </c>
      <c r="P75" s="65">
        <v>-343.1</v>
      </c>
      <c r="Q75" s="65">
        <v>-356</v>
      </c>
      <c r="R75" s="65">
        <v>-342</v>
      </c>
      <c r="S75" s="65">
        <v>-320</v>
      </c>
      <c r="T75" s="65">
        <v>-317</v>
      </c>
      <c r="U75" s="65">
        <v>-324.3</v>
      </c>
      <c r="V75" s="65">
        <v>-227</v>
      </c>
      <c r="W75" s="65">
        <v>-350</v>
      </c>
      <c r="X75" s="65">
        <v>-325</v>
      </c>
      <c r="Y75" s="65">
        <v>-226</v>
      </c>
      <c r="Z75" s="65">
        <v>-227</v>
      </c>
      <c r="AA75" s="65">
        <v>-153</v>
      </c>
      <c r="AB75" s="65">
        <v>-126</v>
      </c>
      <c r="AC75" s="65">
        <v>-300.7</v>
      </c>
      <c r="AD75" s="65">
        <v>-317.89999999999998</v>
      </c>
      <c r="AE75" s="65">
        <v>-313</v>
      </c>
      <c r="AF75" s="65">
        <v>-354</v>
      </c>
      <c r="AG75" s="75"/>
      <c r="AH75" s="47">
        <f t="shared" si="2"/>
        <v>-126</v>
      </c>
      <c r="AI75" s="48">
        <f t="shared" si="3"/>
        <v>-371</v>
      </c>
      <c r="AK75" s="49"/>
    </row>
    <row r="76" spans="1:40" x14ac:dyDescent="0.25">
      <c r="A76" s="53" t="s">
        <v>82</v>
      </c>
      <c r="B76" s="65">
        <v>10</v>
      </c>
      <c r="C76" s="65">
        <v>10</v>
      </c>
      <c r="D76" s="65">
        <v>10</v>
      </c>
      <c r="E76" s="65">
        <v>10</v>
      </c>
      <c r="F76" s="65">
        <v>10</v>
      </c>
      <c r="G76" s="65">
        <v>10</v>
      </c>
      <c r="H76" s="65">
        <v>10</v>
      </c>
      <c r="I76" s="65">
        <v>10</v>
      </c>
      <c r="J76" s="65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10</v>
      </c>
      <c r="AB76" s="76">
        <v>10</v>
      </c>
      <c r="AC76" s="76">
        <v>10</v>
      </c>
      <c r="AD76" s="65">
        <v>10</v>
      </c>
      <c r="AE76" s="76">
        <v>10</v>
      </c>
      <c r="AF76" s="76">
        <v>10</v>
      </c>
      <c r="AG76" s="75"/>
      <c r="AH76" s="47">
        <f t="shared" si="2"/>
        <v>10</v>
      </c>
      <c r="AI76" s="48">
        <f t="shared" si="3"/>
        <v>10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9">MAX(B77:AF77)</f>
        <v>0</v>
      </c>
      <c r="AI77" s="48">
        <f t="shared" ref="AI77:AI120" si="10">MIN(B77:AF77)</f>
        <v>0</v>
      </c>
      <c r="AK77" s="49"/>
    </row>
    <row r="78" spans="1:40" x14ac:dyDescent="0.25">
      <c r="A78" s="53" t="s">
        <v>84</v>
      </c>
      <c r="B78" s="45">
        <v>5</v>
      </c>
      <c r="C78" s="45">
        <v>5</v>
      </c>
      <c r="D78" s="45">
        <v>5</v>
      </c>
      <c r="E78" s="45">
        <v>5</v>
      </c>
      <c r="F78" s="45">
        <v>5</v>
      </c>
      <c r="G78" s="45">
        <v>5</v>
      </c>
      <c r="H78" s="45">
        <v>5</v>
      </c>
      <c r="I78" s="45">
        <v>5</v>
      </c>
      <c r="J78" s="45">
        <v>5</v>
      </c>
      <c r="K78" s="45">
        <v>5</v>
      </c>
      <c r="L78" s="45">
        <v>5</v>
      </c>
      <c r="M78" s="45">
        <v>5</v>
      </c>
      <c r="N78" s="45">
        <v>5</v>
      </c>
      <c r="O78" s="45">
        <v>5</v>
      </c>
      <c r="P78" s="45">
        <v>5</v>
      </c>
      <c r="Q78" s="45">
        <v>5</v>
      </c>
      <c r="R78" s="45">
        <v>5</v>
      </c>
      <c r="S78" s="45">
        <v>5</v>
      </c>
      <c r="T78" s="45">
        <v>5</v>
      </c>
      <c r="U78" s="45">
        <v>5</v>
      </c>
      <c r="V78" s="45">
        <v>5</v>
      </c>
      <c r="W78" s="45">
        <v>5</v>
      </c>
      <c r="X78" s="45">
        <v>5</v>
      </c>
      <c r="Y78" s="45">
        <v>5</v>
      </c>
      <c r="Z78" s="45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9"/>
        <v>5</v>
      </c>
      <c r="AI78" s="48">
        <f t="shared" si="10"/>
        <v>5</v>
      </c>
      <c r="AK78" s="49"/>
    </row>
    <row r="79" spans="1:40" ht="15.75" thickBot="1" x14ac:dyDescent="0.3">
      <c r="A79" s="53" t="s">
        <v>85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0</v>
      </c>
      <c r="U79" s="45">
        <v>0</v>
      </c>
      <c r="V79" s="45">
        <v>0</v>
      </c>
      <c r="W79" s="45">
        <v>0</v>
      </c>
      <c r="X79" s="45">
        <v>0</v>
      </c>
      <c r="Y79" s="45">
        <v>0</v>
      </c>
      <c r="Z79" s="45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9"/>
        <v>0</v>
      </c>
      <c r="AI79" s="48">
        <f t="shared" si="10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45">
        <v>0</v>
      </c>
      <c r="S80" s="45">
        <v>0</v>
      </c>
      <c r="T80" s="45">
        <v>0</v>
      </c>
      <c r="U80" s="45">
        <v>0</v>
      </c>
      <c r="V80" s="45">
        <v>0</v>
      </c>
      <c r="W80" s="45">
        <v>0</v>
      </c>
      <c r="X80" s="45">
        <v>0</v>
      </c>
      <c r="Y80" s="45">
        <v>0</v>
      </c>
      <c r="Z80" s="45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9"/>
        <v>0</v>
      </c>
      <c r="AI80" s="48">
        <f t="shared" si="10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45">
        <v>0</v>
      </c>
      <c r="R81" s="45">
        <v>0</v>
      </c>
      <c r="S81" s="45">
        <v>0</v>
      </c>
      <c r="T81" s="45">
        <v>0</v>
      </c>
      <c r="U81" s="45">
        <v>0</v>
      </c>
      <c r="V81" s="45">
        <v>0</v>
      </c>
      <c r="W81" s="45">
        <v>0</v>
      </c>
      <c r="X81" s="45">
        <v>0</v>
      </c>
      <c r="Y81" s="45">
        <v>0</v>
      </c>
      <c r="Z81" s="45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9"/>
        <v>0</v>
      </c>
      <c r="AI81" s="48">
        <f t="shared" si="10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9"/>
        <v>0</v>
      </c>
      <c r="AI82" s="48">
        <f t="shared" si="10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9"/>
        <v>0</v>
      </c>
      <c r="AI83" s="48">
        <f t="shared" si="10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v>74</v>
      </c>
      <c r="C84" s="60">
        <f t="shared" ref="C84:AF84" si="11">SUMIF(C73:C83,"&gt;0")</f>
        <v>74</v>
      </c>
      <c r="D84" s="60">
        <f t="shared" si="11"/>
        <v>55</v>
      </c>
      <c r="E84" s="60">
        <f t="shared" si="11"/>
        <v>45</v>
      </c>
      <c r="F84" s="60">
        <f t="shared" si="11"/>
        <v>51.1</v>
      </c>
      <c r="G84" s="60">
        <f t="shared" si="11"/>
        <v>45</v>
      </c>
      <c r="H84" s="60">
        <f t="shared" si="11"/>
        <v>45</v>
      </c>
      <c r="I84" s="60">
        <f t="shared" si="11"/>
        <v>45</v>
      </c>
      <c r="J84" s="60">
        <f t="shared" si="11"/>
        <v>45</v>
      </c>
      <c r="K84" s="60">
        <f t="shared" si="11"/>
        <v>77</v>
      </c>
      <c r="L84" s="60">
        <f t="shared" si="11"/>
        <v>78</v>
      </c>
      <c r="M84" s="60">
        <f t="shared" si="11"/>
        <v>78.3</v>
      </c>
      <c r="N84" s="60">
        <f t="shared" si="11"/>
        <v>74.900000000000006</v>
      </c>
      <c r="O84" s="60">
        <f t="shared" si="11"/>
        <v>83.8</v>
      </c>
      <c r="P84" s="60">
        <f t="shared" si="11"/>
        <v>77.099999999999994</v>
      </c>
      <c r="Q84" s="60">
        <f t="shared" si="11"/>
        <v>77.099999999999994</v>
      </c>
      <c r="R84" s="60">
        <f t="shared" si="11"/>
        <v>77.099999999999994</v>
      </c>
      <c r="S84" s="60">
        <f t="shared" si="11"/>
        <v>75</v>
      </c>
      <c r="T84" s="60">
        <f t="shared" si="11"/>
        <v>78</v>
      </c>
      <c r="U84" s="60">
        <f t="shared" si="11"/>
        <v>62.65</v>
      </c>
      <c r="V84" s="60">
        <f t="shared" si="11"/>
        <v>70</v>
      </c>
      <c r="W84" s="60">
        <f t="shared" si="11"/>
        <v>79.400000000000006</v>
      </c>
      <c r="X84" s="60">
        <f t="shared" si="11"/>
        <v>79.400000000000006</v>
      </c>
      <c r="Y84" s="60">
        <f t="shared" si="11"/>
        <v>55</v>
      </c>
      <c r="Z84" s="60">
        <f t="shared" si="11"/>
        <v>79.400000000000006</v>
      </c>
      <c r="AA84" s="60">
        <f t="shared" si="11"/>
        <v>75.3</v>
      </c>
      <c r="AB84" s="60">
        <f t="shared" si="11"/>
        <v>77.400000000000006</v>
      </c>
      <c r="AC84" s="60">
        <f t="shared" si="11"/>
        <v>69.7</v>
      </c>
      <c r="AD84" s="60">
        <f t="shared" si="11"/>
        <v>65.099999999999994</v>
      </c>
      <c r="AE84" s="60">
        <f t="shared" si="11"/>
        <v>67.2</v>
      </c>
      <c r="AF84" s="60">
        <f t="shared" si="11"/>
        <v>68</v>
      </c>
      <c r="AG84" s="88">
        <f>SUM(AG73:AG83)</f>
        <v>0</v>
      </c>
      <c r="AH84" s="47">
        <f t="shared" si="9"/>
        <v>83.8</v>
      </c>
      <c r="AI84" s="48">
        <f t="shared" si="10"/>
        <v>45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9"/>
        <v>0</v>
      </c>
      <c r="AI85" s="48">
        <f t="shared" si="10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9"/>
        <v>0</v>
      </c>
      <c r="AI86" s="48">
        <f t="shared" si="10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9"/>
        <v>0</v>
      </c>
      <c r="AI87" s="48">
        <f t="shared" si="10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9"/>
        <v>0</v>
      </c>
      <c r="AI88" s="48">
        <f t="shared" si="10"/>
        <v>0</v>
      </c>
    </row>
    <row r="89" spans="1:40" ht="15.75" thickBot="1" x14ac:dyDescent="0.3">
      <c r="A89" s="74" t="s">
        <v>98</v>
      </c>
      <c r="B89" s="95">
        <v>1853.34</v>
      </c>
      <c r="C89" s="95">
        <f t="shared" ref="C89:AG89" si="12">C50+C54+C72+C68+C84+C88</f>
        <v>1860.6399999999999</v>
      </c>
      <c r="D89" s="95">
        <f t="shared" si="12"/>
        <v>1806.6399999999999</v>
      </c>
      <c r="E89" s="95">
        <f t="shared" si="12"/>
        <v>1789.44</v>
      </c>
      <c r="F89" s="95">
        <f t="shared" si="12"/>
        <v>1748.8399999999997</v>
      </c>
      <c r="G89" s="95">
        <f t="shared" si="12"/>
        <v>1742.7399999999998</v>
      </c>
      <c r="H89" s="95">
        <f t="shared" si="12"/>
        <v>1752.1399999999999</v>
      </c>
      <c r="I89" s="95">
        <f t="shared" si="12"/>
        <v>1723.4399999999998</v>
      </c>
      <c r="J89" s="95">
        <f t="shared" si="12"/>
        <v>1721.7399999999998</v>
      </c>
      <c r="K89" s="95">
        <f t="shared" si="12"/>
        <v>1799.94</v>
      </c>
      <c r="L89" s="95">
        <f t="shared" si="12"/>
        <v>1878.54</v>
      </c>
      <c r="M89" s="95">
        <f t="shared" si="12"/>
        <v>1948.0399999999997</v>
      </c>
      <c r="N89" s="95">
        <f t="shared" si="12"/>
        <v>1908.7399999999998</v>
      </c>
      <c r="O89" s="95">
        <f t="shared" si="12"/>
        <v>1973.6399999999996</v>
      </c>
      <c r="P89" s="95">
        <f t="shared" si="12"/>
        <v>1966.9399999999996</v>
      </c>
      <c r="Q89" s="95">
        <f t="shared" si="12"/>
        <v>1984.8399999999997</v>
      </c>
      <c r="R89" s="95">
        <f t="shared" si="12"/>
        <v>2000.3399999999997</v>
      </c>
      <c r="S89" s="95">
        <f t="shared" si="12"/>
        <v>2041.04</v>
      </c>
      <c r="T89" s="95">
        <f t="shared" si="12"/>
        <v>2005.1399999999996</v>
      </c>
      <c r="U89" s="95">
        <f t="shared" si="12"/>
        <v>1972.4899999999998</v>
      </c>
      <c r="V89" s="95">
        <f t="shared" si="12"/>
        <v>1946.1399999999999</v>
      </c>
      <c r="W89" s="95">
        <f t="shared" si="12"/>
        <v>1953.1399999999999</v>
      </c>
      <c r="X89" s="95">
        <f t="shared" si="12"/>
        <v>1847.1399999999999</v>
      </c>
      <c r="Y89" s="95">
        <f t="shared" si="12"/>
        <v>1825.3399999999997</v>
      </c>
      <c r="Z89" s="95">
        <f t="shared" si="12"/>
        <v>1771.6399999999999</v>
      </c>
      <c r="AA89" s="95">
        <f t="shared" si="12"/>
        <v>1810.04</v>
      </c>
      <c r="AB89" s="95">
        <f t="shared" si="12"/>
        <v>1729.7399999999998</v>
      </c>
      <c r="AC89" s="95">
        <f t="shared" si="12"/>
        <v>1852.4399999999998</v>
      </c>
      <c r="AD89" s="95">
        <f t="shared" si="12"/>
        <v>1945.8399999999997</v>
      </c>
      <c r="AE89" s="95">
        <f t="shared" si="12"/>
        <v>1993.2400000000002</v>
      </c>
      <c r="AF89" s="95">
        <f t="shared" si="12"/>
        <v>1860.3400000000001</v>
      </c>
      <c r="AG89" s="61">
        <f t="shared" si="12"/>
        <v>2111.5500000000002</v>
      </c>
      <c r="AH89" s="47">
        <f t="shared" si="9"/>
        <v>2041.04</v>
      </c>
      <c r="AI89" s="48">
        <f t="shared" si="10"/>
        <v>1721.7399999999998</v>
      </c>
    </row>
    <row r="90" spans="1:40" ht="15.75" thickBot="1" x14ac:dyDescent="0.3">
      <c r="A90" s="96" t="s">
        <v>99</v>
      </c>
      <c r="B90" s="97">
        <v>50</v>
      </c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>
        <v>30</v>
      </c>
      <c r="T90" s="97">
        <v>30</v>
      </c>
      <c r="U90" s="97">
        <v>30</v>
      </c>
      <c r="V90" s="97">
        <v>30</v>
      </c>
      <c r="W90" s="97">
        <v>30</v>
      </c>
      <c r="X90" s="97">
        <v>120</v>
      </c>
      <c r="Y90" s="97">
        <v>120</v>
      </c>
      <c r="Z90" s="97">
        <v>120</v>
      </c>
      <c r="AA90" s="97">
        <v>150</v>
      </c>
      <c r="AB90" s="97">
        <v>100</v>
      </c>
      <c r="AC90" s="97">
        <v>100</v>
      </c>
      <c r="AD90" s="97">
        <v>100</v>
      </c>
      <c r="AE90" s="97">
        <v>50</v>
      </c>
      <c r="AF90" s="97">
        <v>50</v>
      </c>
      <c r="AG90" s="88"/>
      <c r="AH90" s="47">
        <f t="shared" si="9"/>
        <v>150</v>
      </c>
      <c r="AI90" s="48">
        <f t="shared" si="10"/>
        <v>30</v>
      </c>
    </row>
    <row r="91" spans="1:40" ht="15.75" thickBot="1" x14ac:dyDescent="0.3">
      <c r="A91" s="74" t="s">
        <v>100</v>
      </c>
      <c r="B91" s="95">
        <v>1903.34</v>
      </c>
      <c r="C91" s="95">
        <f t="shared" ref="C91:AF91" si="13">C89+C90</f>
        <v>1860.6399999999999</v>
      </c>
      <c r="D91" s="95">
        <f t="shared" si="13"/>
        <v>1806.6399999999999</v>
      </c>
      <c r="E91" s="95">
        <f t="shared" si="13"/>
        <v>1789.44</v>
      </c>
      <c r="F91" s="95">
        <f t="shared" si="13"/>
        <v>1748.8399999999997</v>
      </c>
      <c r="G91" s="95">
        <f t="shared" si="13"/>
        <v>1742.7399999999998</v>
      </c>
      <c r="H91" s="95">
        <f t="shared" si="13"/>
        <v>1752.1399999999999</v>
      </c>
      <c r="I91" s="95">
        <f t="shared" si="13"/>
        <v>1723.4399999999998</v>
      </c>
      <c r="J91" s="95">
        <f t="shared" si="13"/>
        <v>1721.7399999999998</v>
      </c>
      <c r="K91" s="95">
        <f t="shared" si="13"/>
        <v>1799.94</v>
      </c>
      <c r="L91" s="95">
        <f t="shared" si="13"/>
        <v>1878.54</v>
      </c>
      <c r="M91" s="95">
        <f t="shared" si="13"/>
        <v>1948.0399999999997</v>
      </c>
      <c r="N91" s="95">
        <f t="shared" si="13"/>
        <v>1908.7399999999998</v>
      </c>
      <c r="O91" s="95">
        <f t="shared" si="13"/>
        <v>1973.6399999999996</v>
      </c>
      <c r="P91" s="95">
        <f t="shared" si="13"/>
        <v>1966.9399999999996</v>
      </c>
      <c r="Q91" s="95">
        <f t="shared" si="13"/>
        <v>1984.8399999999997</v>
      </c>
      <c r="R91" s="95">
        <f t="shared" si="13"/>
        <v>2000.3399999999997</v>
      </c>
      <c r="S91" s="95">
        <f t="shared" si="13"/>
        <v>2071.04</v>
      </c>
      <c r="T91" s="95">
        <f t="shared" si="13"/>
        <v>2035.1399999999996</v>
      </c>
      <c r="U91" s="95">
        <f t="shared" si="13"/>
        <v>2002.4899999999998</v>
      </c>
      <c r="V91" s="95">
        <f t="shared" si="13"/>
        <v>1976.1399999999999</v>
      </c>
      <c r="W91" s="95">
        <f t="shared" si="13"/>
        <v>1983.1399999999999</v>
      </c>
      <c r="X91" s="95">
        <f t="shared" si="13"/>
        <v>1967.1399999999999</v>
      </c>
      <c r="Y91" s="95">
        <f t="shared" si="13"/>
        <v>1945.3399999999997</v>
      </c>
      <c r="Z91" s="95">
        <f t="shared" si="13"/>
        <v>1891.6399999999999</v>
      </c>
      <c r="AA91" s="95">
        <f t="shared" si="13"/>
        <v>1960.04</v>
      </c>
      <c r="AB91" s="95">
        <f t="shared" si="13"/>
        <v>1829.7399999999998</v>
      </c>
      <c r="AC91" s="95">
        <f t="shared" si="13"/>
        <v>1952.4399999999998</v>
      </c>
      <c r="AD91" s="95">
        <f t="shared" si="13"/>
        <v>2045.8399999999997</v>
      </c>
      <c r="AE91" s="95">
        <f t="shared" si="13"/>
        <v>2043.2400000000002</v>
      </c>
      <c r="AF91" s="95">
        <f t="shared" si="13"/>
        <v>1910.3400000000001</v>
      </c>
      <c r="AG91" s="88">
        <f>AG88+AG84+AG72+AG68+AG50+AG90</f>
        <v>1573.45</v>
      </c>
      <c r="AH91" s="47">
        <f t="shared" si="9"/>
        <v>2071.04</v>
      </c>
      <c r="AI91" s="48">
        <f t="shared" si="10"/>
        <v>1721.7399999999998</v>
      </c>
    </row>
    <row r="92" spans="1:40" ht="15.75" thickBot="1" x14ac:dyDescent="0.3">
      <c r="A92" s="74" t="s">
        <v>101</v>
      </c>
      <c r="B92" s="95">
        <v>1903.34</v>
      </c>
      <c r="C92" s="95">
        <f t="shared" ref="C92:AF92" si="14">C91-C99</f>
        <v>1860.6399999999999</v>
      </c>
      <c r="D92" s="95">
        <f t="shared" si="14"/>
        <v>1806.6399999999999</v>
      </c>
      <c r="E92" s="95">
        <f t="shared" si="14"/>
        <v>1789.44</v>
      </c>
      <c r="F92" s="95">
        <f t="shared" si="14"/>
        <v>1748.8399999999997</v>
      </c>
      <c r="G92" s="95">
        <f t="shared" si="14"/>
        <v>1742.7399999999998</v>
      </c>
      <c r="H92" s="95">
        <f t="shared" si="14"/>
        <v>1752.1399999999999</v>
      </c>
      <c r="I92" s="95">
        <f t="shared" si="14"/>
        <v>1723.4399999999998</v>
      </c>
      <c r="J92" s="95">
        <f t="shared" si="14"/>
        <v>1721.7399999999998</v>
      </c>
      <c r="K92" s="95">
        <f t="shared" si="14"/>
        <v>1799.94</v>
      </c>
      <c r="L92" s="95">
        <f t="shared" si="14"/>
        <v>1878.54</v>
      </c>
      <c r="M92" s="95">
        <f t="shared" si="14"/>
        <v>1948.0399999999997</v>
      </c>
      <c r="N92" s="95">
        <f t="shared" si="14"/>
        <v>1908.7399999999998</v>
      </c>
      <c r="O92" s="95">
        <f t="shared" si="14"/>
        <v>1973.6399999999996</v>
      </c>
      <c r="P92" s="95">
        <f t="shared" si="14"/>
        <v>1966.9399999999996</v>
      </c>
      <c r="Q92" s="95">
        <f t="shared" si="14"/>
        <v>1984.8399999999997</v>
      </c>
      <c r="R92" s="95">
        <f t="shared" si="14"/>
        <v>2000.3399999999997</v>
      </c>
      <c r="S92" s="95">
        <f t="shared" si="14"/>
        <v>2071.04</v>
      </c>
      <c r="T92" s="95">
        <f t="shared" si="14"/>
        <v>2035.1399999999996</v>
      </c>
      <c r="U92" s="95">
        <f t="shared" si="14"/>
        <v>2002.4899999999998</v>
      </c>
      <c r="V92" s="95">
        <f t="shared" si="14"/>
        <v>1976.1399999999999</v>
      </c>
      <c r="W92" s="95">
        <f t="shared" si="14"/>
        <v>1983.1399999999999</v>
      </c>
      <c r="X92" s="95">
        <f t="shared" si="14"/>
        <v>1967.1399999999999</v>
      </c>
      <c r="Y92" s="95">
        <f t="shared" si="14"/>
        <v>1945.3399999999997</v>
      </c>
      <c r="Z92" s="95">
        <f t="shared" si="14"/>
        <v>1891.6399999999999</v>
      </c>
      <c r="AA92" s="95">
        <f t="shared" si="14"/>
        <v>1960.04</v>
      </c>
      <c r="AB92" s="95">
        <f t="shared" si="14"/>
        <v>1829.7399999999998</v>
      </c>
      <c r="AC92" s="95">
        <f t="shared" si="14"/>
        <v>1952.4399999999998</v>
      </c>
      <c r="AD92" s="95">
        <f t="shared" si="14"/>
        <v>2045.8399999999997</v>
      </c>
      <c r="AE92" s="95">
        <f t="shared" si="14"/>
        <v>2043.2400000000002</v>
      </c>
      <c r="AF92" s="95">
        <f t="shared" si="14"/>
        <v>1910.3400000000001</v>
      </c>
      <c r="AG92" s="88"/>
      <c r="AH92" s="47">
        <f t="shared" si="9"/>
        <v>2071.04</v>
      </c>
      <c r="AI92" s="48">
        <f t="shared" si="10"/>
        <v>1721.7399999999998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9"/>
        <v>0</v>
      </c>
      <c r="AI93" s="48">
        <f t="shared" si="10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9"/>
        <v>0</v>
      </c>
      <c r="AI94" s="48">
        <f t="shared" si="10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9"/>
        <v>0</v>
      </c>
      <c r="AI95" s="48">
        <f t="shared" si="10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9"/>
        <v>0</v>
      </c>
      <c r="AI96" s="48">
        <f t="shared" si="10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9"/>
        <v>0</v>
      </c>
      <c r="AI97" s="48">
        <f t="shared" si="10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9"/>
        <v>0</v>
      </c>
      <c r="AI98" s="48">
        <f t="shared" si="10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9"/>
        <v>0</v>
      </c>
      <c r="AI99" s="48">
        <f t="shared" si="10"/>
        <v>0</v>
      </c>
      <c r="AK99" s="49"/>
    </row>
    <row r="100" spans="1:37" ht="15.75" thickBot="1" x14ac:dyDescent="0.3">
      <c r="A100" s="74" t="s">
        <v>106</v>
      </c>
      <c r="B100" s="60">
        <v>74</v>
      </c>
      <c r="C100" s="60">
        <f t="shared" ref="C100:AF100" si="15">C84-C99</f>
        <v>74</v>
      </c>
      <c r="D100" s="60">
        <f t="shared" si="15"/>
        <v>55</v>
      </c>
      <c r="E100" s="60">
        <f t="shared" si="15"/>
        <v>45</v>
      </c>
      <c r="F100" s="60">
        <f t="shared" si="15"/>
        <v>51.1</v>
      </c>
      <c r="G100" s="60">
        <f t="shared" si="15"/>
        <v>45</v>
      </c>
      <c r="H100" s="60">
        <f t="shared" si="15"/>
        <v>45</v>
      </c>
      <c r="I100" s="60">
        <f t="shared" si="15"/>
        <v>45</v>
      </c>
      <c r="J100" s="60">
        <f t="shared" si="15"/>
        <v>45</v>
      </c>
      <c r="K100" s="60">
        <f t="shared" si="15"/>
        <v>77</v>
      </c>
      <c r="L100" s="60">
        <f t="shared" si="15"/>
        <v>78</v>
      </c>
      <c r="M100" s="60">
        <f t="shared" si="15"/>
        <v>78.3</v>
      </c>
      <c r="N100" s="60">
        <f t="shared" si="15"/>
        <v>74.900000000000006</v>
      </c>
      <c r="O100" s="60">
        <f t="shared" si="15"/>
        <v>83.8</v>
      </c>
      <c r="P100" s="60">
        <f t="shared" si="15"/>
        <v>77.099999999999994</v>
      </c>
      <c r="Q100" s="60">
        <f t="shared" si="15"/>
        <v>77.099999999999994</v>
      </c>
      <c r="R100" s="60">
        <f t="shared" si="15"/>
        <v>77.099999999999994</v>
      </c>
      <c r="S100" s="60">
        <f t="shared" si="15"/>
        <v>75</v>
      </c>
      <c r="T100" s="60">
        <f t="shared" si="15"/>
        <v>78</v>
      </c>
      <c r="U100" s="60">
        <f t="shared" si="15"/>
        <v>62.65</v>
      </c>
      <c r="V100" s="60">
        <f t="shared" si="15"/>
        <v>70</v>
      </c>
      <c r="W100" s="60">
        <f t="shared" si="15"/>
        <v>79.400000000000006</v>
      </c>
      <c r="X100" s="60">
        <f t="shared" si="15"/>
        <v>79.400000000000006</v>
      </c>
      <c r="Y100" s="60">
        <f t="shared" si="15"/>
        <v>55</v>
      </c>
      <c r="Z100" s="60">
        <f t="shared" si="15"/>
        <v>79.400000000000006</v>
      </c>
      <c r="AA100" s="60">
        <f t="shared" si="15"/>
        <v>75.3</v>
      </c>
      <c r="AB100" s="60">
        <f t="shared" si="15"/>
        <v>77.400000000000006</v>
      </c>
      <c r="AC100" s="60">
        <f t="shared" si="15"/>
        <v>69.7</v>
      </c>
      <c r="AD100" s="60">
        <f t="shared" si="15"/>
        <v>65.099999999999994</v>
      </c>
      <c r="AE100" s="60">
        <f t="shared" si="15"/>
        <v>67.2</v>
      </c>
      <c r="AF100" s="60">
        <f t="shared" si="15"/>
        <v>68</v>
      </c>
      <c r="AG100" s="88"/>
      <c r="AH100" s="47">
        <f t="shared" si="9"/>
        <v>83.8</v>
      </c>
      <c r="AI100" s="48">
        <f t="shared" si="10"/>
        <v>45</v>
      </c>
    </row>
    <row r="101" spans="1:37" x14ac:dyDescent="0.25">
      <c r="A101" s="100" t="s">
        <v>107</v>
      </c>
      <c r="B101" s="101">
        <v>49.99</v>
      </c>
      <c r="C101" s="101">
        <v>49.99</v>
      </c>
      <c r="D101" s="101">
        <v>50.06</v>
      </c>
      <c r="E101" s="101">
        <v>50.02</v>
      </c>
      <c r="F101" s="101">
        <v>50.05</v>
      </c>
      <c r="G101" s="101">
        <v>50.05</v>
      </c>
      <c r="H101" s="101">
        <v>49.96</v>
      </c>
      <c r="I101" s="101">
        <v>49.98</v>
      </c>
      <c r="J101" s="101">
        <v>50.05</v>
      </c>
      <c r="K101" s="101">
        <v>50.06</v>
      </c>
      <c r="L101" s="101">
        <v>50.1</v>
      </c>
      <c r="M101" s="101">
        <v>50.182000000000002</v>
      </c>
      <c r="N101" s="101">
        <v>49.938000000000002</v>
      </c>
      <c r="O101" s="101">
        <v>49.987000000000002</v>
      </c>
      <c r="P101" s="101">
        <v>50.072000000000003</v>
      </c>
      <c r="Q101" s="101">
        <v>49.994999999999997</v>
      </c>
      <c r="R101" s="101">
        <v>49.978000000000002</v>
      </c>
      <c r="S101" s="101">
        <v>49.997999999999998</v>
      </c>
      <c r="T101" s="101">
        <v>49.887</v>
      </c>
      <c r="U101" s="101">
        <v>49.99</v>
      </c>
      <c r="V101" s="101">
        <v>50.003</v>
      </c>
      <c r="W101" s="101">
        <v>50.048000000000002</v>
      </c>
      <c r="X101" s="101">
        <v>50.048000000000002</v>
      </c>
      <c r="Y101" s="101">
        <v>50.048000000000002</v>
      </c>
      <c r="Z101" s="101">
        <v>50.048000000000002</v>
      </c>
      <c r="AA101" s="101">
        <v>49.892000000000003</v>
      </c>
      <c r="AB101" s="101">
        <v>50.023000000000003</v>
      </c>
      <c r="AC101" s="101">
        <v>49.997999999999998</v>
      </c>
      <c r="AD101" s="101">
        <v>49.938000000000002</v>
      </c>
      <c r="AE101" s="101">
        <v>49.94</v>
      </c>
      <c r="AF101" s="101">
        <v>49.9</v>
      </c>
      <c r="AG101" s="102"/>
      <c r="AH101" s="47">
        <f t="shared" si="9"/>
        <v>50.182000000000002</v>
      </c>
      <c r="AI101" s="48">
        <f t="shared" si="10"/>
        <v>49.887</v>
      </c>
    </row>
    <row r="102" spans="1:37" x14ac:dyDescent="0.25">
      <c r="A102" s="103" t="s">
        <v>108</v>
      </c>
      <c r="B102" s="65">
        <v>119</v>
      </c>
      <c r="C102" s="65">
        <v>119</v>
      </c>
      <c r="D102" s="65">
        <v>122.3</v>
      </c>
      <c r="E102" s="65">
        <v>122.3</v>
      </c>
      <c r="F102" s="65">
        <v>119.3</v>
      </c>
      <c r="G102" s="65">
        <v>119.3</v>
      </c>
      <c r="H102" s="65">
        <v>121</v>
      </c>
      <c r="I102" s="65">
        <v>121</v>
      </c>
      <c r="J102" s="65">
        <v>121.1</v>
      </c>
      <c r="K102" s="65">
        <v>121.2</v>
      </c>
      <c r="L102" s="65">
        <v>122.9</v>
      </c>
      <c r="M102" s="65">
        <v>122.9</v>
      </c>
      <c r="N102" s="65">
        <v>120.8</v>
      </c>
      <c r="O102" s="65">
        <v>120.8</v>
      </c>
      <c r="P102" s="65">
        <v>120.8</v>
      </c>
      <c r="Q102" s="65">
        <v>120.8</v>
      </c>
      <c r="R102" s="65">
        <v>120.8</v>
      </c>
      <c r="S102" s="65">
        <v>121.3</v>
      </c>
      <c r="T102" s="65">
        <v>120.7</v>
      </c>
      <c r="U102" s="65">
        <v>118.7</v>
      </c>
      <c r="V102" s="65">
        <v>124.2</v>
      </c>
      <c r="W102" s="65">
        <v>120.1</v>
      </c>
      <c r="X102" s="65">
        <v>120.1</v>
      </c>
      <c r="Y102" s="65">
        <v>120.1</v>
      </c>
      <c r="Z102" s="65">
        <v>120.1</v>
      </c>
      <c r="AA102" s="65">
        <v>123.3</v>
      </c>
      <c r="AB102" s="65">
        <v>125</v>
      </c>
      <c r="AC102" s="65">
        <v>122.9</v>
      </c>
      <c r="AD102" s="65">
        <v>124.5</v>
      </c>
      <c r="AE102" s="65">
        <v>122.5</v>
      </c>
      <c r="AF102" s="65">
        <v>121.5</v>
      </c>
      <c r="AG102" s="104"/>
      <c r="AH102" s="47">
        <f t="shared" si="9"/>
        <v>125</v>
      </c>
      <c r="AI102" s="48">
        <f t="shared" si="10"/>
        <v>118.7</v>
      </c>
    </row>
    <row r="103" spans="1:37" x14ac:dyDescent="0.25">
      <c r="A103" s="103" t="s">
        <v>109</v>
      </c>
      <c r="B103" s="65">
        <v>125.6</v>
      </c>
      <c r="C103" s="65">
        <v>125.6</v>
      </c>
      <c r="D103" s="65">
        <v>128.5</v>
      </c>
      <c r="E103" s="65">
        <v>128.5</v>
      </c>
      <c r="F103" s="65">
        <v>126.5</v>
      </c>
      <c r="G103" s="65">
        <v>126.5</v>
      </c>
      <c r="H103" s="65">
        <v>127</v>
      </c>
      <c r="I103" s="65">
        <v>127</v>
      </c>
      <c r="J103" s="65">
        <v>125.8</v>
      </c>
      <c r="K103" s="65">
        <v>125.4</v>
      </c>
      <c r="L103" s="65">
        <v>126.8</v>
      </c>
      <c r="M103" s="65">
        <v>126.8</v>
      </c>
      <c r="N103" s="65">
        <v>125.2</v>
      </c>
      <c r="O103" s="65">
        <v>125.2</v>
      </c>
      <c r="P103" s="65">
        <v>125.2</v>
      </c>
      <c r="Q103" s="65">
        <v>125.2</v>
      </c>
      <c r="R103" s="65">
        <v>125.2</v>
      </c>
      <c r="S103" s="65">
        <v>125.6</v>
      </c>
      <c r="T103" s="65">
        <v>125.1</v>
      </c>
      <c r="U103" s="65">
        <v>124.1</v>
      </c>
      <c r="V103" s="65">
        <v>127.3</v>
      </c>
      <c r="W103" s="65">
        <v>125.4</v>
      </c>
      <c r="X103" s="65">
        <v>125.4</v>
      </c>
      <c r="Y103" s="65">
        <v>125.4</v>
      </c>
      <c r="Z103" s="65">
        <v>125.4</v>
      </c>
      <c r="AA103" s="65">
        <v>127.1</v>
      </c>
      <c r="AB103" s="65">
        <v>128.9</v>
      </c>
      <c r="AC103" s="65">
        <v>127.4</v>
      </c>
      <c r="AD103" s="65">
        <v>128.5</v>
      </c>
      <c r="AE103" s="65">
        <v>128.30000000000001</v>
      </c>
      <c r="AF103" s="65">
        <v>128.1</v>
      </c>
      <c r="AG103" s="104"/>
      <c r="AH103" s="47">
        <f t="shared" si="9"/>
        <v>128.9</v>
      </c>
      <c r="AI103" s="48">
        <f t="shared" si="10"/>
        <v>124.1</v>
      </c>
    </row>
    <row r="104" spans="1:37" x14ac:dyDescent="0.25">
      <c r="A104" s="103" t="s">
        <v>110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>
        <v>128.4</v>
      </c>
      <c r="O104" s="65">
        <v>128.4</v>
      </c>
      <c r="P104" s="65">
        <v>128.4</v>
      </c>
      <c r="Q104" s="65">
        <v>128.4</v>
      </c>
      <c r="R104" s="65">
        <v>128.4</v>
      </c>
      <c r="S104" s="65">
        <v>127.9</v>
      </c>
      <c r="T104" s="65">
        <v>127.3</v>
      </c>
      <c r="U104" s="65">
        <v>128</v>
      </c>
      <c r="V104" s="65">
        <v>127.7</v>
      </c>
      <c r="W104" s="65">
        <v>127.3</v>
      </c>
      <c r="X104" s="65">
        <v>127.3</v>
      </c>
      <c r="Y104" s="65">
        <v>127.3</v>
      </c>
      <c r="Z104" s="65">
        <v>127.3</v>
      </c>
      <c r="AA104" s="65">
        <v>127.5</v>
      </c>
      <c r="AB104" s="65">
        <v>129</v>
      </c>
      <c r="AC104" s="65">
        <v>127.5</v>
      </c>
      <c r="AD104" s="65">
        <v>125.9</v>
      </c>
      <c r="AE104" s="65">
        <v>134</v>
      </c>
      <c r="AF104" s="65">
        <v>128</v>
      </c>
      <c r="AG104" s="104"/>
      <c r="AH104" s="47">
        <f t="shared" si="9"/>
        <v>134</v>
      </c>
      <c r="AI104" s="48">
        <f t="shared" si="10"/>
        <v>125.9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9"/>
        <v>0</v>
      </c>
      <c r="AI105" s="48">
        <f t="shared" si="10"/>
        <v>0</v>
      </c>
    </row>
    <row r="106" spans="1:37" x14ac:dyDescent="0.25">
      <c r="A106" s="105" t="s">
        <v>112</v>
      </c>
      <c r="B106" s="106">
        <v>130</v>
      </c>
      <c r="C106" s="106">
        <v>130</v>
      </c>
      <c r="D106" s="106">
        <v>128.6</v>
      </c>
      <c r="E106" s="106">
        <v>128.6</v>
      </c>
      <c r="F106" s="106">
        <v>130.4</v>
      </c>
      <c r="G106" s="106">
        <v>130.4</v>
      </c>
      <c r="H106" s="106">
        <v>134</v>
      </c>
      <c r="I106" s="106">
        <v>134</v>
      </c>
      <c r="J106" s="106">
        <v>129.69999999999999</v>
      </c>
      <c r="K106" s="106">
        <v>127.1</v>
      </c>
      <c r="L106" s="106">
        <v>127.8</v>
      </c>
      <c r="M106" s="106">
        <v>127.8</v>
      </c>
      <c r="N106" s="106">
        <v>126.7</v>
      </c>
      <c r="O106" s="106">
        <v>126.7</v>
      </c>
      <c r="P106" s="106">
        <v>126.7</v>
      </c>
      <c r="Q106" s="106">
        <v>126.7</v>
      </c>
      <c r="R106" s="106">
        <v>126.7</v>
      </c>
      <c r="S106" s="106">
        <v>131.19999999999999</v>
      </c>
      <c r="T106" s="106">
        <v>129</v>
      </c>
      <c r="U106" s="106">
        <v>135.5</v>
      </c>
      <c r="V106" s="106">
        <v>134.9</v>
      </c>
      <c r="W106" s="106">
        <v>132</v>
      </c>
      <c r="X106" s="106">
        <v>132</v>
      </c>
      <c r="Y106" s="106">
        <v>132</v>
      </c>
      <c r="Z106" s="106">
        <v>132</v>
      </c>
      <c r="AA106" s="106">
        <v>128.9</v>
      </c>
      <c r="AB106" s="106">
        <v>132.1</v>
      </c>
      <c r="AC106" s="106">
        <v>125.3</v>
      </c>
      <c r="AD106" s="106">
        <v>129.4</v>
      </c>
      <c r="AE106" s="106">
        <v>126.2</v>
      </c>
      <c r="AF106" s="106">
        <v>128</v>
      </c>
      <c r="AG106" s="107"/>
      <c r="AH106" s="47">
        <f t="shared" si="9"/>
        <v>135.5</v>
      </c>
      <c r="AI106" s="48">
        <f t="shared" si="10"/>
        <v>125.3</v>
      </c>
    </row>
    <row r="107" spans="1:37" x14ac:dyDescent="0.25">
      <c r="A107" s="103" t="s">
        <v>113</v>
      </c>
      <c r="B107" s="65">
        <v>131</v>
      </c>
      <c r="C107" s="65">
        <v>131</v>
      </c>
      <c r="D107" s="65">
        <v>127.7</v>
      </c>
      <c r="E107" s="65">
        <v>127.7</v>
      </c>
      <c r="F107" s="65">
        <v>121</v>
      </c>
      <c r="G107" s="65">
        <v>121</v>
      </c>
      <c r="H107" s="65">
        <v>129.4</v>
      </c>
      <c r="I107" s="65">
        <v>129.4</v>
      </c>
      <c r="J107" s="65">
        <v>127.1</v>
      </c>
      <c r="K107" s="65">
        <v>126.7</v>
      </c>
      <c r="L107" s="65">
        <v>130.80000000000001</v>
      </c>
      <c r="M107" s="65">
        <v>130.80000000000001</v>
      </c>
      <c r="N107" s="65">
        <v>124.8</v>
      </c>
      <c r="O107" s="65">
        <v>124.8</v>
      </c>
      <c r="P107" s="65">
        <v>124.8</v>
      </c>
      <c r="Q107" s="65">
        <v>124.8</v>
      </c>
      <c r="R107" s="65">
        <v>124.8</v>
      </c>
      <c r="S107" s="65">
        <v>139.1</v>
      </c>
      <c r="T107" s="65">
        <v>135.30000000000001</v>
      </c>
      <c r="U107" s="65">
        <v>147.30000000000001</v>
      </c>
      <c r="V107" s="65">
        <v>143.1</v>
      </c>
      <c r="W107" s="65">
        <v>138.5</v>
      </c>
      <c r="X107" s="65">
        <v>138.5</v>
      </c>
      <c r="Y107" s="65">
        <v>138.5</v>
      </c>
      <c r="Z107" s="65">
        <v>138.5</v>
      </c>
      <c r="AA107" s="65">
        <v>126.5</v>
      </c>
      <c r="AB107" s="65">
        <v>124.8</v>
      </c>
      <c r="AC107" s="65">
        <v>121.6</v>
      </c>
      <c r="AD107" s="65">
        <v>129.4</v>
      </c>
      <c r="AE107" s="65">
        <v>122.6</v>
      </c>
      <c r="AF107" s="65">
        <v>125.3</v>
      </c>
      <c r="AG107" s="104"/>
      <c r="AH107" s="47">
        <f t="shared" si="9"/>
        <v>147.30000000000001</v>
      </c>
      <c r="AI107" s="48">
        <f t="shared" si="10"/>
        <v>121</v>
      </c>
    </row>
    <row r="108" spans="1:37" ht="15.75" thickBot="1" x14ac:dyDescent="0.3">
      <c r="A108" s="103" t="s">
        <v>114</v>
      </c>
      <c r="B108" s="92">
        <v>63.4</v>
      </c>
      <c r="C108" s="92">
        <v>63.4</v>
      </c>
      <c r="D108" s="92">
        <v>64.8</v>
      </c>
      <c r="E108" s="92">
        <v>64.8</v>
      </c>
      <c r="F108" s="92">
        <v>63.6</v>
      </c>
      <c r="G108" s="92">
        <v>63.6</v>
      </c>
      <c r="H108" s="92">
        <v>63.8</v>
      </c>
      <c r="I108" s="92">
        <v>63.8</v>
      </c>
      <c r="J108" s="92">
        <v>63.2</v>
      </c>
      <c r="K108" s="92">
        <v>63.1</v>
      </c>
      <c r="L108" s="92">
        <v>63.4</v>
      </c>
      <c r="M108" s="92">
        <v>63.4</v>
      </c>
      <c r="N108" s="92">
        <v>62.8</v>
      </c>
      <c r="O108" s="92">
        <v>62.8</v>
      </c>
      <c r="P108" s="92">
        <v>62.8</v>
      </c>
      <c r="Q108" s="92">
        <v>62.8</v>
      </c>
      <c r="R108" s="92">
        <v>62.8</v>
      </c>
      <c r="S108" s="92">
        <v>62.9</v>
      </c>
      <c r="T108" s="92">
        <v>62.5</v>
      </c>
      <c r="U108" s="92">
        <v>62</v>
      </c>
      <c r="V108" s="92">
        <v>63.2</v>
      </c>
      <c r="W108" s="92">
        <v>63.3</v>
      </c>
      <c r="X108" s="92">
        <v>63.3</v>
      </c>
      <c r="Y108" s="92">
        <v>63.3</v>
      </c>
      <c r="Z108" s="92">
        <v>63.3</v>
      </c>
      <c r="AA108" s="92">
        <v>64</v>
      </c>
      <c r="AB108" s="92">
        <v>65.2</v>
      </c>
      <c r="AC108" s="92">
        <v>64.8</v>
      </c>
      <c r="AD108" s="92">
        <v>65</v>
      </c>
      <c r="AE108" s="92">
        <v>64.7</v>
      </c>
      <c r="AF108" s="92">
        <v>64.900000000000006</v>
      </c>
      <c r="AG108" s="108"/>
      <c r="AH108" s="47">
        <f t="shared" si="9"/>
        <v>65.2</v>
      </c>
      <c r="AI108" s="48">
        <f t="shared" si="10"/>
        <v>62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9"/>
        <v>0</v>
      </c>
      <c r="AI109" s="48">
        <f t="shared" si="10"/>
        <v>0</v>
      </c>
    </row>
    <row r="110" spans="1:37" ht="15.75" thickBot="1" x14ac:dyDescent="0.3">
      <c r="A110" s="110" t="s">
        <v>116</v>
      </c>
      <c r="B110" s="111">
        <v>95.399999999999977</v>
      </c>
      <c r="C110" s="111">
        <f t="shared" ref="C110:O110" si="16">SUM(C20,C26,C29:C30,C58,C60:C61,C63,C65,C111:C115,C138,C144,C150,C159,C161,C173,C180,C183:C184,C191,C193,C195,C199:C201,C203:C205,C210,C216:C217,C219:C221,C229,C234)</f>
        <v>108.64000000000004</v>
      </c>
      <c r="D110" s="111">
        <f t="shared" si="16"/>
        <v>135.34000000000003</v>
      </c>
      <c r="E110" s="111">
        <f t="shared" si="16"/>
        <v>58.340000000000011</v>
      </c>
      <c r="F110" s="111">
        <f t="shared" si="16"/>
        <v>48.140000000000008</v>
      </c>
      <c r="G110" s="111">
        <f t="shared" si="16"/>
        <v>47.439999999999991</v>
      </c>
      <c r="H110" s="111">
        <f t="shared" si="16"/>
        <v>83.740000000000023</v>
      </c>
      <c r="I110" s="111">
        <f t="shared" si="16"/>
        <v>85.039999999999978</v>
      </c>
      <c r="J110" s="111">
        <f t="shared" si="16"/>
        <v>83.340000000000046</v>
      </c>
      <c r="K110" s="111">
        <f t="shared" si="16"/>
        <v>132.64000000000004</v>
      </c>
      <c r="L110" s="111">
        <f t="shared" si="16"/>
        <v>143.93999999999997</v>
      </c>
      <c r="M110" s="111">
        <f t="shared" si="16"/>
        <v>225.43999999999994</v>
      </c>
      <c r="N110" s="111">
        <f t="shared" si="16"/>
        <v>219.94</v>
      </c>
      <c r="O110" s="111">
        <f t="shared" si="16"/>
        <v>221.83999999999997</v>
      </c>
      <c r="P110" s="111">
        <v>42</v>
      </c>
      <c r="Q110" s="111">
        <f t="shared" ref="Q110:AF110" si="17">SUM(Q20,Q26,Q29:Q30,Q58,Q60:Q61,Q63,Q65,Q111:Q115,Q138,Q144,Q150,Q159,Q161,Q173,Q180,Q183:Q184,Q191,Q193,Q195,Q199:Q201,Q203:Q205,Q210,Q216:Q217,Q219:Q221,Q229,Q234)</f>
        <v>222.69999999999996</v>
      </c>
      <c r="R110" s="111">
        <f t="shared" si="17"/>
        <v>222.69999999999996</v>
      </c>
      <c r="S110" s="111">
        <f t="shared" si="17"/>
        <v>241.7</v>
      </c>
      <c r="T110" s="111">
        <f t="shared" si="17"/>
        <v>229.09999999999997</v>
      </c>
      <c r="U110" s="111">
        <f t="shared" si="17"/>
        <v>262.89999999999998</v>
      </c>
      <c r="V110" s="111">
        <f t="shared" si="17"/>
        <v>226.29999999999998</v>
      </c>
      <c r="W110" s="111">
        <f t="shared" si="17"/>
        <v>206.60000000000002</v>
      </c>
      <c r="X110" s="111">
        <f t="shared" si="17"/>
        <v>206.60000000000002</v>
      </c>
      <c r="Y110" s="111">
        <f t="shared" si="17"/>
        <v>206.60000000000002</v>
      </c>
      <c r="Z110" s="111">
        <f t="shared" si="17"/>
        <v>206.60000000000002</v>
      </c>
      <c r="AA110" s="111">
        <f t="shared" si="17"/>
        <v>230.2</v>
      </c>
      <c r="AB110" s="111">
        <f t="shared" si="17"/>
        <v>193.39999999999998</v>
      </c>
      <c r="AC110" s="111">
        <f t="shared" si="17"/>
        <v>155.19999999999999</v>
      </c>
      <c r="AD110" s="111"/>
      <c r="AE110" s="111">
        <f t="shared" si="17"/>
        <v>105.29999999999998</v>
      </c>
      <c r="AF110" s="111">
        <f t="shared" si="17"/>
        <v>88.300000000000026</v>
      </c>
      <c r="AG110" s="112"/>
      <c r="AH110" s="47">
        <f t="shared" si="9"/>
        <v>262.89999999999998</v>
      </c>
      <c r="AI110" s="48">
        <f t="shared" si="10"/>
        <v>42</v>
      </c>
    </row>
    <row r="111" spans="1:37" x14ac:dyDescent="0.25">
      <c r="A111" s="100" t="s">
        <v>117</v>
      </c>
      <c r="B111" s="113">
        <v>59</v>
      </c>
      <c r="C111" s="113">
        <v>59</v>
      </c>
      <c r="D111" s="113">
        <v>49.6</v>
      </c>
      <c r="E111" s="113">
        <v>35</v>
      </c>
      <c r="F111" s="113">
        <v>35.299999999999997</v>
      </c>
      <c r="G111" s="113">
        <v>35.299999999999997</v>
      </c>
      <c r="H111" s="113">
        <v>42</v>
      </c>
      <c r="I111" s="113">
        <v>42</v>
      </c>
      <c r="J111" s="113">
        <v>42</v>
      </c>
      <c r="K111" s="113">
        <v>47</v>
      </c>
      <c r="L111" s="113">
        <v>39.5</v>
      </c>
      <c r="M111" s="113">
        <v>50</v>
      </c>
      <c r="N111" s="113">
        <v>52.7</v>
      </c>
      <c r="O111" s="113">
        <v>44</v>
      </c>
      <c r="P111" s="113">
        <v>38.799999999999997</v>
      </c>
      <c r="Q111" s="113">
        <v>38.799999999999997</v>
      </c>
      <c r="R111" s="113">
        <v>38.799999999999997</v>
      </c>
      <c r="S111" s="113">
        <v>20</v>
      </c>
      <c r="T111" s="113">
        <v>43.5</v>
      </c>
      <c r="U111" s="113">
        <v>47</v>
      </c>
      <c r="V111" s="113">
        <v>39</v>
      </c>
      <c r="W111" s="113">
        <v>58.1</v>
      </c>
      <c r="X111" s="113">
        <v>58.1</v>
      </c>
      <c r="Y111" s="113">
        <v>58.1</v>
      </c>
      <c r="Z111" s="113">
        <v>58.1</v>
      </c>
      <c r="AA111" s="113">
        <v>34.799999999999997</v>
      </c>
      <c r="AB111" s="113">
        <v>42.8</v>
      </c>
      <c r="AC111" s="113">
        <v>38.4</v>
      </c>
      <c r="AD111" s="113">
        <v>32.700000000000003</v>
      </c>
      <c r="AE111" s="113">
        <v>29.4</v>
      </c>
      <c r="AF111" s="113">
        <v>26.6</v>
      </c>
      <c r="AG111" s="114">
        <v>75</v>
      </c>
      <c r="AH111" s="47">
        <f t="shared" si="9"/>
        <v>59</v>
      </c>
      <c r="AI111" s="48">
        <f t="shared" si="10"/>
        <v>20</v>
      </c>
    </row>
    <row r="112" spans="1:37" x14ac:dyDescent="0.25">
      <c r="A112" s="103" t="s">
        <v>118</v>
      </c>
      <c r="B112" s="115">
        <v>32</v>
      </c>
      <c r="C112" s="115">
        <v>32</v>
      </c>
      <c r="D112" s="115">
        <v>49.6</v>
      </c>
      <c r="E112" s="115">
        <v>50</v>
      </c>
      <c r="F112" s="115">
        <v>58.6</v>
      </c>
      <c r="G112" s="115">
        <v>58.6</v>
      </c>
      <c r="H112" s="115">
        <v>69.400000000000006</v>
      </c>
      <c r="I112" s="115">
        <v>69.400000000000006</v>
      </c>
      <c r="J112" s="115">
        <v>69.400000000000006</v>
      </c>
      <c r="K112" s="115">
        <v>75</v>
      </c>
      <c r="L112" s="115">
        <v>63.5</v>
      </c>
      <c r="M112" s="115">
        <v>78</v>
      </c>
      <c r="N112" s="115">
        <v>83</v>
      </c>
      <c r="O112" s="115">
        <v>68.8</v>
      </c>
      <c r="P112" s="115">
        <v>61.7</v>
      </c>
      <c r="Q112" s="115">
        <v>61.7</v>
      </c>
      <c r="R112" s="115">
        <v>61.7</v>
      </c>
      <c r="S112" s="115">
        <v>38</v>
      </c>
      <c r="T112" s="115">
        <v>64</v>
      </c>
      <c r="U112" s="115">
        <v>76</v>
      </c>
      <c r="V112" s="115">
        <v>61.8</v>
      </c>
      <c r="W112" s="115">
        <v>89.1</v>
      </c>
      <c r="X112" s="115">
        <v>89.1</v>
      </c>
      <c r="Y112" s="115">
        <v>89.1</v>
      </c>
      <c r="Z112" s="115">
        <v>89.1</v>
      </c>
      <c r="AA112" s="115">
        <v>58</v>
      </c>
      <c r="AB112" s="115">
        <v>67.900000000000006</v>
      </c>
      <c r="AC112" s="115">
        <v>66.3</v>
      </c>
      <c r="AD112" s="115">
        <v>56.8</v>
      </c>
      <c r="AE112" s="115">
        <v>55.4</v>
      </c>
      <c r="AF112" s="115">
        <v>53.6</v>
      </c>
      <c r="AG112" s="114">
        <v>240</v>
      </c>
      <c r="AH112" s="47">
        <f t="shared" si="9"/>
        <v>89.1</v>
      </c>
      <c r="AI112" s="48">
        <f t="shared" si="10"/>
        <v>32</v>
      </c>
    </row>
    <row r="113" spans="1:37" x14ac:dyDescent="0.25">
      <c r="A113" s="103" t="s">
        <v>119</v>
      </c>
      <c r="B113" s="115">
        <v>-180</v>
      </c>
      <c r="C113" s="115">
        <v>-180</v>
      </c>
      <c r="D113" s="115">
        <f>-74.4-79.9</f>
        <v>-154.30000000000001</v>
      </c>
      <c r="E113" s="115">
        <f>-86-90</f>
        <v>-176</v>
      </c>
      <c r="F113" s="115">
        <f>-89.4-95.2</f>
        <v>-184.60000000000002</v>
      </c>
      <c r="G113" s="115">
        <f t="shared" ref="G113" si="18">-89.4-95.2</f>
        <v>-184.60000000000002</v>
      </c>
      <c r="H113" s="115">
        <f>-80.5-86.1</f>
        <v>-166.6</v>
      </c>
      <c r="I113" s="115">
        <f t="shared" ref="I113:J113" si="19">-80.5-86.1</f>
        <v>-166.6</v>
      </c>
      <c r="J113" s="115">
        <f t="shared" si="19"/>
        <v>-166.6</v>
      </c>
      <c r="K113" s="115">
        <f>-79.8-73.1</f>
        <v>-152.89999999999998</v>
      </c>
      <c r="L113" s="115">
        <f>-66.4-58.9</f>
        <v>-125.30000000000001</v>
      </c>
      <c r="M113" s="115">
        <v>-126</v>
      </c>
      <c r="N113" s="115">
        <v>-140</v>
      </c>
      <c r="O113" s="115">
        <v>-131</v>
      </c>
      <c r="P113" s="115">
        <v>-128</v>
      </c>
      <c r="Q113" s="115">
        <v>-128</v>
      </c>
      <c r="R113" s="115">
        <v>-128</v>
      </c>
      <c r="S113" s="115">
        <v>-108</v>
      </c>
      <c r="T113" s="115">
        <v>-128</v>
      </c>
      <c r="U113" s="115">
        <v>-105</v>
      </c>
      <c r="V113" s="115">
        <v>-115</v>
      </c>
      <c r="W113" s="115">
        <v>-150</v>
      </c>
      <c r="X113" s="115">
        <v>-150</v>
      </c>
      <c r="Y113" s="115">
        <v>-150</v>
      </c>
      <c r="Z113" s="115">
        <v>-150</v>
      </c>
      <c r="AA113" s="115">
        <v>-120</v>
      </c>
      <c r="AB113" s="115">
        <v>-124</v>
      </c>
      <c r="AC113" s="115">
        <v>-158</v>
      </c>
      <c r="AD113" s="115">
        <v>-168.1</v>
      </c>
      <c r="AE113" s="115">
        <v>-188</v>
      </c>
      <c r="AF113" s="115">
        <f>-96-103.2</f>
        <v>-199.2</v>
      </c>
      <c r="AG113" s="114">
        <v>240</v>
      </c>
      <c r="AH113" s="47">
        <f t="shared" si="9"/>
        <v>-105</v>
      </c>
      <c r="AI113" s="48">
        <f t="shared" si="10"/>
        <v>-199.2</v>
      </c>
    </row>
    <row r="114" spans="1:37" x14ac:dyDescent="0.25">
      <c r="A114" s="103" t="s">
        <v>120</v>
      </c>
      <c r="B114" s="115">
        <v>-18</v>
      </c>
      <c r="C114" s="115">
        <v>-18</v>
      </c>
      <c r="D114" s="115">
        <v>-12.5</v>
      </c>
      <c r="E114" s="115">
        <v>-26.9</v>
      </c>
      <c r="F114" s="115">
        <v>-24.6</v>
      </c>
      <c r="G114" s="115">
        <v>-24.6</v>
      </c>
      <c r="H114" s="115">
        <v>-23.2</v>
      </c>
      <c r="I114" s="115">
        <v>-23.2</v>
      </c>
      <c r="J114" s="115">
        <v>-23.2</v>
      </c>
      <c r="K114" s="115">
        <v>1.8</v>
      </c>
      <c r="L114" s="115">
        <v>2.9</v>
      </c>
      <c r="M114" s="115">
        <v>3.9</v>
      </c>
      <c r="N114" s="115">
        <v>3.4</v>
      </c>
      <c r="O114" s="115">
        <v>7.1</v>
      </c>
      <c r="P114" s="115">
        <v>8.5</v>
      </c>
      <c r="Q114" s="115">
        <v>8.5</v>
      </c>
      <c r="R114" s="115">
        <v>8.5</v>
      </c>
      <c r="S114" s="115">
        <v>29</v>
      </c>
      <c r="T114" s="115">
        <v>18</v>
      </c>
      <c r="U114" s="115">
        <v>9.1</v>
      </c>
      <c r="V114" s="115">
        <v>9.5</v>
      </c>
      <c r="W114" s="115">
        <v>15</v>
      </c>
      <c r="X114" s="115">
        <v>15</v>
      </c>
      <c r="Y114" s="115">
        <v>15</v>
      </c>
      <c r="Z114" s="115">
        <v>15</v>
      </c>
      <c r="AA114" s="115">
        <v>38</v>
      </c>
      <c r="AB114" s="115">
        <v>12.7</v>
      </c>
      <c r="AC114" s="115">
        <v>9.9</v>
      </c>
      <c r="AD114" s="115">
        <v>12.4</v>
      </c>
      <c r="AE114" s="115">
        <v>-5.5</v>
      </c>
      <c r="AF114" s="115">
        <v>-16.399999999999999</v>
      </c>
      <c r="AG114" s="114">
        <v>60</v>
      </c>
      <c r="AH114" s="47">
        <f t="shared" si="9"/>
        <v>38</v>
      </c>
      <c r="AI114" s="48">
        <f t="shared" si="10"/>
        <v>-26.9</v>
      </c>
    </row>
    <row r="115" spans="1:37" x14ac:dyDescent="0.25">
      <c r="A115" s="116" t="s">
        <v>121</v>
      </c>
      <c r="B115" s="117">
        <v>40</v>
      </c>
      <c r="C115" s="117">
        <v>40</v>
      </c>
      <c r="D115" s="117">
        <v>27.8</v>
      </c>
      <c r="E115" s="117">
        <v>14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37.799999999999997</v>
      </c>
      <c r="N115" s="117">
        <v>39.1</v>
      </c>
      <c r="O115" s="117">
        <v>51.2</v>
      </c>
      <c r="P115" s="117">
        <v>60.9</v>
      </c>
      <c r="Q115" s="117">
        <v>60.9</v>
      </c>
      <c r="R115" s="117">
        <v>60.9</v>
      </c>
      <c r="S115" s="117">
        <v>67</v>
      </c>
      <c r="T115" s="117">
        <v>41.2</v>
      </c>
      <c r="U115" s="117">
        <v>50</v>
      </c>
      <c r="V115" s="117">
        <v>53.6</v>
      </c>
      <c r="W115" s="117">
        <v>42</v>
      </c>
      <c r="X115" s="117">
        <v>42</v>
      </c>
      <c r="Y115" s="117">
        <v>42</v>
      </c>
      <c r="Z115" s="117">
        <v>42</v>
      </c>
      <c r="AA115" s="117">
        <v>67</v>
      </c>
      <c r="AB115" s="117">
        <v>39.700000000000003</v>
      </c>
      <c r="AC115" s="117">
        <v>44.1</v>
      </c>
      <c r="AD115" s="117">
        <v>29.3</v>
      </c>
      <c r="AE115" s="117">
        <v>27.4</v>
      </c>
      <c r="AF115" s="117">
        <v>37.1</v>
      </c>
      <c r="AG115" s="118">
        <v>120</v>
      </c>
      <c r="AH115" s="47">
        <f t="shared" si="9"/>
        <v>67</v>
      </c>
      <c r="AI115" s="48">
        <f t="shared" si="10"/>
        <v>0</v>
      </c>
    </row>
    <row r="116" spans="1:37" x14ac:dyDescent="0.25">
      <c r="A116" s="116" t="s">
        <v>122</v>
      </c>
      <c r="B116" s="117">
        <v>42</v>
      </c>
      <c r="C116" s="117">
        <v>42</v>
      </c>
      <c r="D116" s="117">
        <v>70.099999999999994</v>
      </c>
      <c r="E116" s="117">
        <v>52</v>
      </c>
      <c r="F116" s="117">
        <v>55.4</v>
      </c>
      <c r="G116" s="117">
        <v>55.4</v>
      </c>
      <c r="H116" s="117">
        <v>67</v>
      </c>
      <c r="I116" s="117">
        <v>67</v>
      </c>
      <c r="J116" s="117">
        <v>67</v>
      </c>
      <c r="K116" s="117">
        <v>101</v>
      </c>
      <c r="L116" s="117">
        <v>63.1</v>
      </c>
      <c r="M116" s="117">
        <v>55.8</v>
      </c>
      <c r="N116" s="117">
        <v>51.3</v>
      </c>
      <c r="O116" s="117">
        <v>65</v>
      </c>
      <c r="P116" s="117">
        <v>71.400000000000006</v>
      </c>
      <c r="Q116" s="117">
        <v>71.400000000000006</v>
      </c>
      <c r="R116" s="117">
        <v>71.400000000000006</v>
      </c>
      <c r="S116" s="117">
        <v>72</v>
      </c>
      <c r="T116" s="117">
        <v>62.4</v>
      </c>
      <c r="U116" s="117">
        <v>102.1</v>
      </c>
      <c r="V116" s="117">
        <v>46</v>
      </c>
      <c r="W116" s="117">
        <v>31</v>
      </c>
      <c r="X116" s="117">
        <v>31</v>
      </c>
      <c r="Y116" s="117">
        <v>31</v>
      </c>
      <c r="Z116" s="117">
        <v>31</v>
      </c>
      <c r="AA116" s="117">
        <v>62</v>
      </c>
      <c r="AB116" s="117">
        <v>44.1</v>
      </c>
      <c r="AC116" s="117">
        <v>40.9</v>
      </c>
      <c r="AD116" s="117">
        <v>44.6</v>
      </c>
      <c r="AE116" s="117">
        <v>38</v>
      </c>
      <c r="AF116" s="117">
        <v>32.1</v>
      </c>
      <c r="AG116" s="118"/>
      <c r="AH116" s="47">
        <f t="shared" si="9"/>
        <v>102.1</v>
      </c>
      <c r="AI116" s="48">
        <f t="shared" si="10"/>
        <v>31</v>
      </c>
    </row>
    <row r="117" spans="1:37" x14ac:dyDescent="0.25">
      <c r="A117" s="116" t="s">
        <v>123</v>
      </c>
      <c r="B117" s="117">
        <v>85</v>
      </c>
      <c r="C117" s="117">
        <v>85</v>
      </c>
      <c r="D117" s="117">
        <v>55.8</v>
      </c>
      <c r="E117" s="117">
        <v>44</v>
      </c>
      <c r="F117" s="117">
        <v>47.9</v>
      </c>
      <c r="G117" s="117">
        <v>47.9</v>
      </c>
      <c r="H117" s="117">
        <v>40</v>
      </c>
      <c r="I117" s="117">
        <v>40</v>
      </c>
      <c r="J117" s="117">
        <v>40</v>
      </c>
      <c r="K117" s="117">
        <v>30.8</v>
      </c>
      <c r="L117" s="117">
        <v>41.9</v>
      </c>
      <c r="M117" s="117">
        <v>13.2</v>
      </c>
      <c r="N117" s="117">
        <v>15.4</v>
      </c>
      <c r="O117" s="117">
        <v>36.6</v>
      </c>
      <c r="P117" s="117">
        <v>42.4</v>
      </c>
      <c r="Q117" s="117">
        <v>42.4</v>
      </c>
      <c r="R117" s="117">
        <v>42.4</v>
      </c>
      <c r="S117" s="117">
        <v>58</v>
      </c>
      <c r="T117" s="117">
        <v>27</v>
      </c>
      <c r="U117" s="117">
        <v>16.600000000000001</v>
      </c>
      <c r="V117" s="117">
        <v>3.3</v>
      </c>
      <c r="W117" s="117">
        <v>5</v>
      </c>
      <c r="X117" s="117">
        <v>5</v>
      </c>
      <c r="Y117" s="117">
        <v>5</v>
      </c>
      <c r="Z117" s="117">
        <v>5</v>
      </c>
      <c r="AA117" s="117">
        <v>41</v>
      </c>
      <c r="AB117" s="117">
        <v>44.5</v>
      </c>
      <c r="AC117" s="117">
        <v>49.5</v>
      </c>
      <c r="AD117" s="117">
        <v>55.2</v>
      </c>
      <c r="AE117" s="117">
        <v>58.4</v>
      </c>
      <c r="AF117" s="117">
        <v>60</v>
      </c>
      <c r="AG117" s="119"/>
      <c r="AH117" s="47">
        <f t="shared" si="9"/>
        <v>85</v>
      </c>
      <c r="AI117" s="48">
        <f t="shared" si="10"/>
        <v>3.3</v>
      </c>
    </row>
    <row r="118" spans="1:37" x14ac:dyDescent="0.25">
      <c r="A118" s="120" t="s">
        <v>124</v>
      </c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>
        <v>57</v>
      </c>
      <c r="T118" s="106">
        <v>62.7</v>
      </c>
      <c r="U118" s="106">
        <v>54.9</v>
      </c>
      <c r="V118" s="106">
        <v>4</v>
      </c>
      <c r="W118" s="106">
        <v>11</v>
      </c>
      <c r="X118" s="106">
        <v>11</v>
      </c>
      <c r="Y118" s="106">
        <v>11</v>
      </c>
      <c r="Z118" s="106">
        <v>11</v>
      </c>
      <c r="AA118" s="106">
        <v>31</v>
      </c>
      <c r="AB118" s="106">
        <v>24</v>
      </c>
      <c r="AC118" s="106">
        <v>29.2</v>
      </c>
      <c r="AD118" s="106">
        <v>40.5</v>
      </c>
      <c r="AE118" s="106">
        <v>44</v>
      </c>
      <c r="AF118" s="106">
        <v>53</v>
      </c>
      <c r="AG118" s="119"/>
      <c r="AH118" s="47">
        <f t="shared" si="9"/>
        <v>62.7</v>
      </c>
      <c r="AI118" s="48">
        <f t="shared" si="10"/>
        <v>4</v>
      </c>
    </row>
    <row r="119" spans="1:37" x14ac:dyDescent="0.25">
      <c r="A119" s="175" t="s">
        <v>265</v>
      </c>
      <c r="B119" s="106">
        <v>95</v>
      </c>
      <c r="C119" s="106">
        <v>95</v>
      </c>
      <c r="D119" s="106">
        <v>70.900000000000006</v>
      </c>
      <c r="E119" s="106">
        <v>80</v>
      </c>
      <c r="F119" s="106">
        <v>85.9</v>
      </c>
      <c r="G119" s="106">
        <v>85.9</v>
      </c>
      <c r="H119" s="106">
        <v>67.900000000000006</v>
      </c>
      <c r="I119" s="106">
        <v>67.900000000000006</v>
      </c>
      <c r="J119" s="106">
        <v>67.900000000000006</v>
      </c>
      <c r="K119" s="106">
        <v>65.7</v>
      </c>
      <c r="L119" s="106">
        <v>15.2</v>
      </c>
      <c r="M119" s="106">
        <v>13.2</v>
      </c>
      <c r="N119" s="106">
        <v>16.3</v>
      </c>
      <c r="O119" s="106">
        <v>16.5</v>
      </c>
      <c r="P119" s="106">
        <v>16.8</v>
      </c>
      <c r="Q119" s="106">
        <v>16.8</v>
      </c>
      <c r="R119" s="106">
        <v>16.8</v>
      </c>
      <c r="S119" s="106">
        <v>27</v>
      </c>
      <c r="T119" s="106">
        <v>28.6</v>
      </c>
      <c r="U119" s="106">
        <v>28.8</v>
      </c>
      <c r="V119" s="106">
        <v>96.2</v>
      </c>
      <c r="W119" s="106">
        <v>81</v>
      </c>
      <c r="X119" s="106">
        <v>81</v>
      </c>
      <c r="Y119" s="106">
        <v>81</v>
      </c>
      <c r="Z119" s="106">
        <v>81</v>
      </c>
      <c r="AA119" s="106">
        <v>41</v>
      </c>
      <c r="AB119" s="106">
        <v>63.9</v>
      </c>
      <c r="AC119" s="106">
        <v>69.8</v>
      </c>
      <c r="AD119" s="106">
        <v>79.2</v>
      </c>
      <c r="AE119" s="106">
        <v>103.8</v>
      </c>
      <c r="AF119" s="106">
        <v>105</v>
      </c>
      <c r="AG119" s="119"/>
      <c r="AH119" s="47">
        <f t="shared" si="9"/>
        <v>105</v>
      </c>
      <c r="AI119" s="48">
        <f t="shared" si="10"/>
        <v>13.2</v>
      </c>
    </row>
    <row r="120" spans="1:37" ht="15.75" thickBot="1" x14ac:dyDescent="0.3">
      <c r="A120" s="120" t="s">
        <v>125</v>
      </c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>
        <v>8.4</v>
      </c>
      <c r="N120" s="106">
        <v>4.8</v>
      </c>
      <c r="O120" s="106">
        <v>15.1</v>
      </c>
      <c r="P120" s="106">
        <v>22.7</v>
      </c>
      <c r="Q120" s="106">
        <v>22.7</v>
      </c>
      <c r="R120" s="106">
        <v>22.7</v>
      </c>
      <c r="S120" s="106">
        <v>20</v>
      </c>
      <c r="T120" s="106">
        <v>27</v>
      </c>
      <c r="U120" s="106">
        <v>27.1</v>
      </c>
      <c r="V120" s="106">
        <v>45</v>
      </c>
      <c r="W120" s="106">
        <v>42</v>
      </c>
      <c r="X120" s="106">
        <v>42</v>
      </c>
      <c r="Y120" s="106">
        <v>42</v>
      </c>
      <c r="Z120" s="106">
        <v>42</v>
      </c>
      <c r="AA120" s="106">
        <v>44</v>
      </c>
      <c r="AB120" s="106">
        <v>33.4</v>
      </c>
      <c r="AC120" s="106">
        <v>34</v>
      </c>
      <c r="AD120" s="106">
        <v>36.5</v>
      </c>
      <c r="AE120" s="106">
        <v>34.9</v>
      </c>
      <c r="AF120" s="106">
        <v>28</v>
      </c>
      <c r="AG120" s="119"/>
      <c r="AH120" s="47">
        <f t="shared" si="9"/>
        <v>45</v>
      </c>
      <c r="AI120" s="48">
        <f t="shared" si="10"/>
        <v>4.8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20">SUM(B122:B226)</f>
        <v>0</v>
      </c>
      <c r="C227" s="136">
        <f t="shared" si="20"/>
        <v>0</v>
      </c>
      <c r="D227" s="136">
        <f t="shared" si="20"/>
        <v>0</v>
      </c>
      <c r="E227" s="136">
        <f t="shared" si="20"/>
        <v>0</v>
      </c>
      <c r="F227" s="136">
        <f t="shared" si="20"/>
        <v>0</v>
      </c>
      <c r="G227" s="136">
        <f t="shared" si="20"/>
        <v>0</v>
      </c>
      <c r="H227" s="136">
        <f t="shared" si="20"/>
        <v>0</v>
      </c>
      <c r="I227" s="136">
        <f t="shared" si="20"/>
        <v>0</v>
      </c>
      <c r="J227" s="136">
        <f t="shared" si="20"/>
        <v>0</v>
      </c>
      <c r="K227" s="136">
        <f t="shared" si="20"/>
        <v>0</v>
      </c>
      <c r="L227" s="136">
        <f t="shared" si="20"/>
        <v>0</v>
      </c>
      <c r="M227" s="136">
        <f t="shared" si="20"/>
        <v>0</v>
      </c>
      <c r="N227" s="136">
        <f t="shared" si="20"/>
        <v>0</v>
      </c>
      <c r="O227" s="136">
        <f t="shared" si="20"/>
        <v>0</v>
      </c>
      <c r="P227" s="136">
        <f t="shared" si="20"/>
        <v>0</v>
      </c>
      <c r="Q227" s="136">
        <f t="shared" si="20"/>
        <v>0</v>
      </c>
      <c r="R227" s="136">
        <f t="shared" si="20"/>
        <v>0</v>
      </c>
      <c r="S227" s="136">
        <f t="shared" si="20"/>
        <v>0</v>
      </c>
      <c r="T227" s="136">
        <f t="shared" si="20"/>
        <v>0</v>
      </c>
      <c r="U227" s="136">
        <f t="shared" si="20"/>
        <v>0</v>
      </c>
      <c r="V227" s="136">
        <f t="shared" si="20"/>
        <v>0</v>
      </c>
      <c r="W227" s="136">
        <f t="shared" si="20"/>
        <v>0</v>
      </c>
      <c r="X227" s="136">
        <f t="shared" si="20"/>
        <v>0</v>
      </c>
      <c r="Y227" s="136">
        <f t="shared" si="20"/>
        <v>0</v>
      </c>
      <c r="Z227" s="136">
        <f t="shared" si="20"/>
        <v>0</v>
      </c>
      <c r="AA227" s="136">
        <f t="shared" si="20"/>
        <v>0</v>
      </c>
      <c r="AB227" s="136">
        <f t="shared" si="20"/>
        <v>0</v>
      </c>
      <c r="AC227" s="136">
        <f t="shared" si="20"/>
        <v>0</v>
      </c>
      <c r="AD227" s="136">
        <f t="shared" si="20"/>
        <v>0</v>
      </c>
      <c r="AE227" s="136">
        <f t="shared" si="20"/>
        <v>0</v>
      </c>
      <c r="AF227" s="137">
        <f t="shared" si="20"/>
        <v>0</v>
      </c>
      <c r="AG227" s="138">
        <f t="shared" si="20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21">AF229</f>
        <v>0</v>
      </c>
      <c r="C229" s="140">
        <v>0.3</v>
      </c>
      <c r="D229" s="140">
        <f t="shared" ref="D229:P234" si="22">C229</f>
        <v>0.3</v>
      </c>
      <c r="E229" s="140">
        <f t="shared" si="22"/>
        <v>0.3</v>
      </c>
      <c r="F229" s="140">
        <f t="shared" si="22"/>
        <v>0.3</v>
      </c>
      <c r="G229" s="140">
        <f t="shared" si="22"/>
        <v>0.3</v>
      </c>
      <c r="H229" s="140">
        <f t="shared" si="22"/>
        <v>0.3</v>
      </c>
      <c r="I229" s="140">
        <f t="shared" si="22"/>
        <v>0.3</v>
      </c>
      <c r="J229" s="140">
        <f t="shared" si="22"/>
        <v>0.3</v>
      </c>
      <c r="K229" s="140">
        <f t="shared" si="22"/>
        <v>0.3</v>
      </c>
      <c r="L229" s="140">
        <f t="shared" si="22"/>
        <v>0.3</v>
      </c>
      <c r="M229" s="140">
        <f t="shared" si="22"/>
        <v>0.3</v>
      </c>
      <c r="N229" s="140">
        <f t="shared" si="22"/>
        <v>0.3</v>
      </c>
      <c r="O229" s="140">
        <f t="shared" si="22"/>
        <v>0.3</v>
      </c>
      <c r="P229" s="140">
        <f t="shared" si="22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21"/>
        <v>0</v>
      </c>
      <c r="C230" s="128">
        <v>0.4</v>
      </c>
      <c r="D230" s="128">
        <f t="shared" si="22"/>
        <v>0.4</v>
      </c>
      <c r="E230" s="128">
        <f t="shared" si="22"/>
        <v>0.4</v>
      </c>
      <c r="F230" s="128">
        <f t="shared" si="22"/>
        <v>0.4</v>
      </c>
      <c r="G230" s="128">
        <f t="shared" si="22"/>
        <v>0.4</v>
      </c>
      <c r="H230" s="128">
        <f t="shared" si="22"/>
        <v>0.4</v>
      </c>
      <c r="I230" s="128">
        <f t="shared" si="22"/>
        <v>0.4</v>
      </c>
      <c r="J230" s="128">
        <f t="shared" si="22"/>
        <v>0.4</v>
      </c>
      <c r="K230" s="128">
        <f t="shared" si="22"/>
        <v>0.4</v>
      </c>
      <c r="L230" s="128">
        <f t="shared" si="22"/>
        <v>0.4</v>
      </c>
      <c r="M230" s="128">
        <f t="shared" si="22"/>
        <v>0.4</v>
      </c>
      <c r="N230" s="128">
        <f t="shared" si="22"/>
        <v>0.4</v>
      </c>
      <c r="O230" s="128">
        <f t="shared" si="22"/>
        <v>0.4</v>
      </c>
      <c r="P230" s="128">
        <f t="shared" si="22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21"/>
        <v>0</v>
      </c>
      <c r="C231" s="128">
        <v>1.5</v>
      </c>
      <c r="D231" s="128">
        <f t="shared" si="22"/>
        <v>1.5</v>
      </c>
      <c r="E231" s="128">
        <f t="shared" si="22"/>
        <v>1.5</v>
      </c>
      <c r="F231" s="128">
        <f t="shared" si="22"/>
        <v>1.5</v>
      </c>
      <c r="G231" s="128">
        <f t="shared" si="22"/>
        <v>1.5</v>
      </c>
      <c r="H231" s="128">
        <f t="shared" si="22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22"/>
        <v>123.21900000000009</v>
      </c>
      <c r="K231" s="128">
        <f t="shared" ca="1" si="22"/>
        <v>123.21900000000009</v>
      </c>
      <c r="L231" s="128">
        <f t="shared" ca="1" si="22"/>
        <v>123.21900000000009</v>
      </c>
      <c r="M231" s="128">
        <f t="shared" ca="1" si="22"/>
        <v>119.19900000000008</v>
      </c>
      <c r="N231" s="128">
        <f t="shared" ca="1" si="22"/>
        <v>119.19900000000008</v>
      </c>
      <c r="O231" s="128">
        <f t="shared" ca="1" si="22"/>
        <v>119.19900000000008</v>
      </c>
      <c r="P231" s="128">
        <f t="shared" ca="1" si="22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21"/>
        <v>0</v>
      </c>
      <c r="C232" s="128">
        <v>0.3</v>
      </c>
      <c r="D232" s="128">
        <f t="shared" si="22"/>
        <v>0.3</v>
      </c>
      <c r="E232" s="128">
        <f t="shared" si="22"/>
        <v>0.3</v>
      </c>
      <c r="F232" s="128">
        <f t="shared" si="22"/>
        <v>0.3</v>
      </c>
      <c r="G232" s="128">
        <f t="shared" si="22"/>
        <v>0.3</v>
      </c>
      <c r="H232" s="128">
        <f t="shared" si="22"/>
        <v>0.3</v>
      </c>
      <c r="I232" s="128">
        <f t="shared" si="22"/>
        <v>0.3</v>
      </c>
      <c r="J232" s="128">
        <f t="shared" si="22"/>
        <v>0.3</v>
      </c>
      <c r="K232" s="128">
        <f t="shared" si="22"/>
        <v>0.3</v>
      </c>
      <c r="L232" s="128">
        <f t="shared" si="22"/>
        <v>0.3</v>
      </c>
      <c r="M232" s="128">
        <f t="shared" si="22"/>
        <v>0.3</v>
      </c>
      <c r="N232" s="128">
        <f t="shared" si="22"/>
        <v>0.3</v>
      </c>
      <c r="O232" s="128">
        <f t="shared" si="22"/>
        <v>0.3</v>
      </c>
      <c r="P232" s="128">
        <f t="shared" si="22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21"/>
        <v>0</v>
      </c>
      <c r="C233" s="128">
        <v>0.4</v>
      </c>
      <c r="D233" s="128">
        <f t="shared" si="22"/>
        <v>0.4</v>
      </c>
      <c r="E233" s="128">
        <f t="shared" si="22"/>
        <v>0.4</v>
      </c>
      <c r="F233" s="128">
        <f t="shared" si="22"/>
        <v>0.4</v>
      </c>
      <c r="G233" s="128">
        <f t="shared" si="22"/>
        <v>0.4</v>
      </c>
      <c r="H233" s="128">
        <f t="shared" si="22"/>
        <v>0.4</v>
      </c>
      <c r="I233" s="128">
        <f t="shared" si="22"/>
        <v>0.4</v>
      </c>
      <c r="J233" s="128">
        <f t="shared" si="22"/>
        <v>0.4</v>
      </c>
      <c r="K233" s="128">
        <f t="shared" si="22"/>
        <v>0.4</v>
      </c>
      <c r="L233" s="128">
        <f t="shared" si="22"/>
        <v>0.4</v>
      </c>
      <c r="M233" s="128">
        <f t="shared" si="22"/>
        <v>0.4</v>
      </c>
      <c r="N233" s="128">
        <f t="shared" si="22"/>
        <v>0.4</v>
      </c>
      <c r="O233" s="128">
        <f t="shared" si="22"/>
        <v>0.4</v>
      </c>
      <c r="P233" s="128">
        <f t="shared" si="22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21"/>
        <v>0</v>
      </c>
      <c r="C234" s="132">
        <v>0.64</v>
      </c>
      <c r="D234" s="132">
        <f t="shared" si="22"/>
        <v>0.64</v>
      </c>
      <c r="E234" s="132">
        <f t="shared" si="22"/>
        <v>0.64</v>
      </c>
      <c r="F234" s="132">
        <f t="shared" si="22"/>
        <v>0.64</v>
      </c>
      <c r="G234" s="132">
        <f t="shared" si="22"/>
        <v>0.64</v>
      </c>
      <c r="H234" s="132">
        <f t="shared" si="22"/>
        <v>0.64</v>
      </c>
      <c r="I234" s="132">
        <f t="shared" si="22"/>
        <v>0.64</v>
      </c>
      <c r="J234" s="132">
        <f t="shared" si="22"/>
        <v>0.64</v>
      </c>
      <c r="K234" s="132">
        <f t="shared" si="22"/>
        <v>0.64</v>
      </c>
      <c r="L234" s="132">
        <f t="shared" si="22"/>
        <v>0.64</v>
      </c>
      <c r="M234" s="132">
        <f t="shared" si="22"/>
        <v>0.64</v>
      </c>
      <c r="N234" s="132">
        <f t="shared" si="22"/>
        <v>0.64</v>
      </c>
      <c r="O234" s="132">
        <f t="shared" si="22"/>
        <v>0.64</v>
      </c>
      <c r="P234" s="132">
        <f t="shared" si="22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3">SUM(B229:B234)</f>
        <v>0</v>
      </c>
      <c r="C235" s="136">
        <f t="shared" si="23"/>
        <v>3.54</v>
      </c>
      <c r="D235" s="136">
        <f t="shared" si="23"/>
        <v>3.54</v>
      </c>
      <c r="E235" s="136">
        <f t="shared" si="23"/>
        <v>3.54</v>
      </c>
      <c r="F235" s="136">
        <f t="shared" si="23"/>
        <v>3.54</v>
      </c>
      <c r="G235" s="136">
        <f t="shared" si="23"/>
        <v>3.54</v>
      </c>
      <c r="H235" s="136">
        <f t="shared" si="23"/>
        <v>3.54</v>
      </c>
      <c r="I235" s="136">
        <f t="shared" ca="1" si="23"/>
        <v>121.23900000000009</v>
      </c>
      <c r="J235" s="136">
        <f t="shared" ca="1" si="23"/>
        <v>121.23900000000009</v>
      </c>
      <c r="K235" s="136">
        <f t="shared" ca="1" si="23"/>
        <v>121.23900000000009</v>
      </c>
      <c r="L235" s="136">
        <f t="shared" ca="1" si="23"/>
        <v>125.2590000000001</v>
      </c>
      <c r="M235" s="136">
        <f t="shared" ca="1" si="23"/>
        <v>121.23900000000009</v>
      </c>
      <c r="N235" s="136">
        <f t="shared" ca="1" si="23"/>
        <v>121.23900000000009</v>
      </c>
      <c r="O235" s="136">
        <f t="shared" ca="1" si="23"/>
        <v>121.23900000000009</v>
      </c>
      <c r="P235" s="136">
        <f t="shared" ca="1" si="23"/>
        <v>121.23900000000009</v>
      </c>
      <c r="Q235" s="136">
        <f t="shared" si="23"/>
        <v>0</v>
      </c>
      <c r="R235" s="136">
        <f t="shared" si="23"/>
        <v>0</v>
      </c>
      <c r="S235" s="136">
        <f t="shared" si="23"/>
        <v>0</v>
      </c>
      <c r="T235" s="136">
        <f t="shared" si="23"/>
        <v>0</v>
      </c>
      <c r="U235" s="136">
        <f t="shared" si="23"/>
        <v>0</v>
      </c>
      <c r="V235" s="136">
        <f t="shared" si="23"/>
        <v>0</v>
      </c>
      <c r="W235" s="136">
        <f t="shared" si="23"/>
        <v>0</v>
      </c>
      <c r="X235" s="136">
        <f t="shared" si="23"/>
        <v>0</v>
      </c>
      <c r="Y235" s="136">
        <f t="shared" si="23"/>
        <v>0</v>
      </c>
      <c r="Z235" s="136">
        <f t="shared" si="23"/>
        <v>0</v>
      </c>
      <c r="AA235" s="136">
        <f t="shared" si="23"/>
        <v>0</v>
      </c>
      <c r="AB235" s="136">
        <f t="shared" si="23"/>
        <v>0</v>
      </c>
      <c r="AC235" s="136">
        <f t="shared" si="23"/>
        <v>0</v>
      </c>
      <c r="AD235" s="136">
        <f t="shared" si="23"/>
        <v>0</v>
      </c>
      <c r="AE235" s="136">
        <f t="shared" si="23"/>
        <v>0</v>
      </c>
      <c r="AF235" s="136">
        <f t="shared" si="23"/>
        <v>0</v>
      </c>
      <c r="AG235" s="145">
        <f t="shared" si="23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1948.0399999999997</v>
      </c>
      <c r="C244" s="161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31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2080/02/31)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2080/02/31)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4">B91</f>
        <v>1903.34</v>
      </c>
      <c r="U249" s="170">
        <f t="shared" si="24"/>
        <v>1860.6399999999999</v>
      </c>
      <c r="V249" s="170">
        <f t="shared" si="24"/>
        <v>1806.6399999999999</v>
      </c>
      <c r="W249" s="170">
        <f t="shared" si="24"/>
        <v>1789.44</v>
      </c>
      <c r="X249" s="170">
        <f t="shared" si="24"/>
        <v>1748.8399999999997</v>
      </c>
      <c r="Y249" s="170">
        <f t="shared" si="24"/>
        <v>1742.7399999999998</v>
      </c>
      <c r="Z249" s="170">
        <f t="shared" si="24"/>
        <v>1752.1399999999999</v>
      </c>
      <c r="AA249" s="170">
        <f t="shared" si="24"/>
        <v>1723.4399999999998</v>
      </c>
      <c r="AB249" s="170">
        <f t="shared" si="24"/>
        <v>1721.7399999999998</v>
      </c>
      <c r="AC249" s="170">
        <f t="shared" si="24"/>
        <v>1799.94</v>
      </c>
      <c r="AD249" s="170">
        <f t="shared" si="24"/>
        <v>1878.54</v>
      </c>
      <c r="AE249" s="170">
        <f t="shared" si="24"/>
        <v>1948.0399999999997</v>
      </c>
      <c r="AF249" s="170">
        <f t="shared" si="24"/>
        <v>1908.7399999999998</v>
      </c>
      <c r="AG249" s="170">
        <f t="shared" si="24"/>
        <v>1973.6399999999996</v>
      </c>
      <c r="AH249" s="170">
        <f t="shared" si="24"/>
        <v>1966.9399999999996</v>
      </c>
      <c r="AI249" s="170">
        <f t="shared" si="24"/>
        <v>1984.8399999999997</v>
      </c>
      <c r="AJ249" s="170">
        <f t="shared" si="24"/>
        <v>2000.3399999999997</v>
      </c>
      <c r="AK249" s="170">
        <f t="shared" si="24"/>
        <v>2071.04</v>
      </c>
      <c r="AL249" s="170">
        <f t="shared" si="24"/>
        <v>2035.1399999999996</v>
      </c>
      <c r="AM249" s="170">
        <f t="shared" si="24"/>
        <v>2002.4899999999998</v>
      </c>
      <c r="AN249" s="170">
        <f t="shared" si="24"/>
        <v>1976.1399999999999</v>
      </c>
      <c r="AO249" s="170">
        <f t="shared" si="24"/>
        <v>1983.1399999999999</v>
      </c>
      <c r="AP249" s="170">
        <f t="shared" si="24"/>
        <v>1967.1399999999999</v>
      </c>
      <c r="AQ249" s="170">
        <f t="shared" si="24"/>
        <v>1945.3399999999997</v>
      </c>
      <c r="AR249" s="170">
        <f t="shared" si="24"/>
        <v>1891.6399999999999</v>
      </c>
      <c r="AS249" s="170">
        <f t="shared" si="24"/>
        <v>1960.04</v>
      </c>
      <c r="AT249" s="170">
        <f t="shared" si="24"/>
        <v>1829.7399999999998</v>
      </c>
      <c r="AU249" s="170">
        <f t="shared" si="24"/>
        <v>1952.4399999999998</v>
      </c>
      <c r="AV249" s="170">
        <f t="shared" si="24"/>
        <v>2045.8399999999997</v>
      </c>
      <c r="AW249" s="170">
        <f t="shared" si="24"/>
        <v>2043.2400000000002</v>
      </c>
      <c r="AX249" s="170">
        <f t="shared" si="24"/>
        <v>1910.3400000000001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5">C234</f>
        <v>0.64</v>
      </c>
      <c r="C270" s="173">
        <f t="shared" si="25"/>
        <v>0.64</v>
      </c>
      <c r="D270" s="173">
        <f t="shared" si="25"/>
        <v>0.64</v>
      </c>
      <c r="E270" s="173">
        <f t="shared" si="25"/>
        <v>0.64</v>
      </c>
      <c r="F270" s="173">
        <f t="shared" si="25"/>
        <v>0.64</v>
      </c>
      <c r="G270" s="173">
        <f t="shared" si="25"/>
        <v>0.64</v>
      </c>
      <c r="H270" s="173">
        <f t="shared" si="25"/>
        <v>0.64</v>
      </c>
      <c r="I270" s="173">
        <f t="shared" si="25"/>
        <v>0.64</v>
      </c>
      <c r="J270" s="173">
        <f t="shared" si="25"/>
        <v>0.64</v>
      </c>
      <c r="K270" s="173">
        <f t="shared" si="25"/>
        <v>0.64</v>
      </c>
      <c r="L270" s="173">
        <f t="shared" si="25"/>
        <v>0.64</v>
      </c>
      <c r="M270" s="173">
        <f t="shared" si="25"/>
        <v>0.64</v>
      </c>
      <c r="N270" s="173">
        <f t="shared" si="25"/>
        <v>0.64</v>
      </c>
      <c r="O270" s="173">
        <f t="shared" si="25"/>
        <v>0.64</v>
      </c>
      <c r="P270" s="173">
        <f t="shared" si="25"/>
        <v>0</v>
      </c>
      <c r="Q270" s="173">
        <f t="shared" si="25"/>
        <v>0</v>
      </c>
      <c r="R270" s="173">
        <f t="shared" si="25"/>
        <v>0</v>
      </c>
      <c r="S270" s="173">
        <f t="shared" si="25"/>
        <v>0</v>
      </c>
      <c r="T270" s="173">
        <f t="shared" si="25"/>
        <v>0</v>
      </c>
      <c r="U270" s="173">
        <f t="shared" si="25"/>
        <v>0</v>
      </c>
      <c r="V270" s="173">
        <f t="shared" si="25"/>
        <v>0</v>
      </c>
      <c r="W270" s="173">
        <f t="shared" si="25"/>
        <v>0</v>
      </c>
      <c r="X270" s="173">
        <f t="shared" si="25"/>
        <v>0</v>
      </c>
      <c r="Y270" s="173">
        <f t="shared" si="25"/>
        <v>0</v>
      </c>
      <c r="Z270" s="173">
        <f t="shared" si="25"/>
        <v>0</v>
      </c>
      <c r="AA270" s="173">
        <f t="shared" si="25"/>
        <v>0</v>
      </c>
      <c r="AB270" s="173">
        <f t="shared" si="25"/>
        <v>0</v>
      </c>
      <c r="AC270" s="173">
        <f t="shared" si="25"/>
        <v>0</v>
      </c>
      <c r="AD270" s="173">
        <f t="shared" si="25"/>
        <v>0</v>
      </c>
      <c r="AE270" s="173">
        <f t="shared" si="25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6">IF(B238&lt;100,"",B238-520)</f>
        <v/>
      </c>
      <c r="C271" s="174" t="str">
        <f t="shared" si="26"/>
        <v/>
      </c>
      <c r="D271" s="174" t="str">
        <f t="shared" si="26"/>
        <v/>
      </c>
      <c r="E271" s="174" t="str">
        <f t="shared" si="26"/>
        <v/>
      </c>
      <c r="F271" s="174" t="str">
        <f t="shared" si="26"/>
        <v/>
      </c>
      <c r="G271" s="174" t="str">
        <f t="shared" si="26"/>
        <v/>
      </c>
      <c r="H271" s="174" t="str">
        <f t="shared" si="26"/>
        <v/>
      </c>
      <c r="I271" s="174" t="str">
        <f t="shared" si="26"/>
        <v/>
      </c>
      <c r="J271" s="174" t="str">
        <f t="shared" si="26"/>
        <v/>
      </c>
      <c r="K271" s="174" t="str">
        <f t="shared" si="26"/>
        <v/>
      </c>
      <c r="L271" s="174" t="str">
        <f t="shared" si="26"/>
        <v/>
      </c>
      <c r="M271" s="174" t="str">
        <f t="shared" si="26"/>
        <v/>
      </c>
      <c r="N271" s="174" t="str">
        <f t="shared" si="26"/>
        <v/>
      </c>
      <c r="O271" s="174" t="str">
        <f t="shared" si="26"/>
        <v/>
      </c>
      <c r="P271" s="174" t="str">
        <f t="shared" si="26"/>
        <v/>
      </c>
      <c r="Q271" s="174" t="str">
        <f t="shared" si="26"/>
        <v/>
      </c>
      <c r="R271" s="174" t="str">
        <f t="shared" si="26"/>
        <v/>
      </c>
      <c r="S271" s="174" t="str">
        <f t="shared" si="26"/>
        <v/>
      </c>
      <c r="T271" s="174" t="str">
        <f t="shared" si="26"/>
        <v/>
      </c>
      <c r="U271" s="174" t="str">
        <f t="shared" si="26"/>
        <v/>
      </c>
      <c r="V271" s="174" t="str">
        <f t="shared" si="26"/>
        <v/>
      </c>
      <c r="W271" s="174" t="str">
        <f t="shared" si="26"/>
        <v/>
      </c>
      <c r="X271" s="174" t="str">
        <f t="shared" si="26"/>
        <v/>
      </c>
      <c r="Y271" s="174" t="str">
        <f t="shared" si="26"/>
        <v/>
      </c>
      <c r="Z271" s="174" t="str">
        <f t="shared" si="26"/>
        <v/>
      </c>
      <c r="AA271" s="174" t="str">
        <f t="shared" si="26"/>
        <v/>
      </c>
      <c r="AB271" s="174" t="str">
        <f t="shared" si="26"/>
        <v/>
      </c>
      <c r="AC271" s="174" t="str">
        <f t="shared" si="26"/>
        <v/>
      </c>
      <c r="AD271" s="174" t="str">
        <f t="shared" si="26"/>
        <v/>
      </c>
      <c r="AE271" s="174" t="str">
        <f t="shared" si="26"/>
        <v/>
      </c>
      <c r="AF271" s="174" t="str">
        <f t="shared" si="26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7">IF(B239&lt;100,"",B239-620)</f>
        <v/>
      </c>
      <c r="C272" s="174" t="str">
        <f t="shared" si="27"/>
        <v/>
      </c>
      <c r="D272" s="174" t="str">
        <f t="shared" si="27"/>
        <v/>
      </c>
      <c r="E272" s="174" t="str">
        <f t="shared" si="27"/>
        <v/>
      </c>
      <c r="F272" s="174" t="str">
        <f t="shared" si="27"/>
        <v/>
      </c>
      <c r="G272" s="174" t="str">
        <f t="shared" si="27"/>
        <v/>
      </c>
      <c r="H272" s="174" t="str">
        <f t="shared" si="27"/>
        <v/>
      </c>
      <c r="I272" s="174" t="str">
        <f t="shared" si="27"/>
        <v/>
      </c>
      <c r="J272" s="174" t="str">
        <f t="shared" si="27"/>
        <v/>
      </c>
      <c r="K272" s="174" t="str">
        <f t="shared" si="27"/>
        <v/>
      </c>
      <c r="L272" s="174" t="str">
        <f t="shared" si="27"/>
        <v/>
      </c>
      <c r="M272" s="174" t="str">
        <f t="shared" si="27"/>
        <v/>
      </c>
      <c r="N272" s="174" t="str">
        <f t="shared" si="27"/>
        <v/>
      </c>
      <c r="O272" s="174" t="str">
        <f t="shared" si="27"/>
        <v/>
      </c>
      <c r="P272" s="174" t="str">
        <f t="shared" si="27"/>
        <v/>
      </c>
      <c r="Q272" s="174" t="str">
        <f t="shared" si="27"/>
        <v/>
      </c>
      <c r="R272" s="174" t="str">
        <f t="shared" si="27"/>
        <v/>
      </c>
      <c r="S272" s="174" t="str">
        <f t="shared" si="27"/>
        <v/>
      </c>
      <c r="T272" s="174" t="str">
        <f t="shared" si="27"/>
        <v/>
      </c>
      <c r="U272" s="174" t="str">
        <f t="shared" si="27"/>
        <v/>
      </c>
      <c r="V272" s="174" t="str">
        <f t="shared" si="27"/>
        <v/>
      </c>
      <c r="W272" s="174" t="str">
        <f t="shared" si="27"/>
        <v/>
      </c>
      <c r="X272" s="174" t="str">
        <f t="shared" si="27"/>
        <v/>
      </c>
      <c r="Y272" s="174" t="str">
        <f t="shared" si="27"/>
        <v/>
      </c>
      <c r="Z272" s="174" t="str">
        <f t="shared" si="27"/>
        <v/>
      </c>
      <c r="AA272" s="174" t="str">
        <f t="shared" si="27"/>
        <v/>
      </c>
      <c r="AB272" s="174" t="str">
        <f t="shared" si="27"/>
        <v/>
      </c>
      <c r="AC272" s="174" t="str">
        <f t="shared" si="27"/>
        <v/>
      </c>
      <c r="AD272" s="174" t="str">
        <f t="shared" si="27"/>
        <v/>
      </c>
      <c r="AE272" s="174" t="str">
        <f t="shared" si="27"/>
        <v/>
      </c>
      <c r="AF272" s="174" t="str">
        <f t="shared" si="27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8">IF(B240&lt;100,"",B240-330)</f>
        <v/>
      </c>
      <c r="C273" s="174" t="str">
        <f t="shared" si="28"/>
        <v/>
      </c>
      <c r="D273" s="174" t="str">
        <f t="shared" si="28"/>
        <v/>
      </c>
      <c r="E273" s="174" t="str">
        <f t="shared" si="28"/>
        <v/>
      </c>
      <c r="F273" s="174" t="str">
        <f t="shared" si="28"/>
        <v/>
      </c>
      <c r="G273" s="174" t="str">
        <f t="shared" si="28"/>
        <v/>
      </c>
      <c r="H273" s="174" t="str">
        <f t="shared" si="28"/>
        <v/>
      </c>
      <c r="I273" s="174" t="str">
        <f t="shared" si="28"/>
        <v/>
      </c>
      <c r="J273" s="174" t="str">
        <f t="shared" si="28"/>
        <v/>
      </c>
      <c r="K273" s="174" t="str">
        <f t="shared" si="28"/>
        <v/>
      </c>
      <c r="L273" s="174" t="str">
        <f t="shared" si="28"/>
        <v/>
      </c>
      <c r="M273" s="174" t="str">
        <f t="shared" si="28"/>
        <v/>
      </c>
      <c r="N273" s="174" t="str">
        <f t="shared" si="28"/>
        <v/>
      </c>
      <c r="O273" s="174" t="str">
        <f t="shared" si="28"/>
        <v/>
      </c>
      <c r="P273" s="174" t="str">
        <f t="shared" si="28"/>
        <v/>
      </c>
      <c r="Q273" s="174" t="str">
        <f t="shared" si="28"/>
        <v/>
      </c>
      <c r="R273" s="174" t="str">
        <f t="shared" si="28"/>
        <v/>
      </c>
      <c r="S273" s="174" t="str">
        <f t="shared" si="28"/>
        <v/>
      </c>
      <c r="T273" s="174" t="str">
        <f t="shared" si="28"/>
        <v/>
      </c>
      <c r="U273" s="174" t="str">
        <f t="shared" si="28"/>
        <v/>
      </c>
      <c r="V273" s="174" t="str">
        <f t="shared" si="28"/>
        <v/>
      </c>
      <c r="W273" s="174" t="str">
        <f t="shared" si="28"/>
        <v/>
      </c>
      <c r="X273" s="174" t="str">
        <f t="shared" si="28"/>
        <v/>
      </c>
      <c r="Y273" s="174" t="str">
        <f t="shared" si="28"/>
        <v/>
      </c>
      <c r="Z273" s="174" t="str">
        <f t="shared" si="28"/>
        <v/>
      </c>
      <c r="AA273" s="174" t="str">
        <f t="shared" si="28"/>
        <v/>
      </c>
      <c r="AB273" s="174" t="str">
        <f t="shared" si="28"/>
        <v/>
      </c>
      <c r="AC273" s="174" t="str">
        <f t="shared" si="28"/>
        <v/>
      </c>
      <c r="AD273" s="174" t="str">
        <f t="shared" si="28"/>
        <v/>
      </c>
      <c r="AE273" s="174" t="str">
        <f t="shared" si="28"/>
        <v/>
      </c>
      <c r="AF273" s="174" t="str">
        <f t="shared" si="28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9">IF(B241&lt;100,"",B241-1500)</f>
        <v/>
      </c>
      <c r="C274" s="174" t="str">
        <f t="shared" si="29"/>
        <v/>
      </c>
      <c r="D274" s="174" t="str">
        <f t="shared" si="29"/>
        <v/>
      </c>
      <c r="E274" s="174" t="str">
        <f t="shared" si="29"/>
        <v/>
      </c>
      <c r="F274" s="174" t="str">
        <f t="shared" si="29"/>
        <v/>
      </c>
      <c r="G274" s="174" t="str">
        <f t="shared" si="29"/>
        <v/>
      </c>
      <c r="H274" s="174" t="str">
        <f t="shared" si="29"/>
        <v/>
      </c>
      <c r="I274" s="174" t="str">
        <f t="shared" si="29"/>
        <v/>
      </c>
      <c r="J274" s="174" t="str">
        <f t="shared" si="29"/>
        <v/>
      </c>
      <c r="K274" s="174" t="str">
        <f t="shared" si="29"/>
        <v/>
      </c>
      <c r="L274" s="174" t="str">
        <f t="shared" si="29"/>
        <v/>
      </c>
      <c r="M274" s="174" t="str">
        <f t="shared" si="29"/>
        <v/>
      </c>
      <c r="N274" s="174" t="str">
        <f t="shared" si="29"/>
        <v/>
      </c>
      <c r="O274" s="174" t="str">
        <f t="shared" si="29"/>
        <v/>
      </c>
      <c r="P274" s="174" t="str">
        <f t="shared" si="29"/>
        <v/>
      </c>
      <c r="Q274" s="174" t="str">
        <f t="shared" si="29"/>
        <v/>
      </c>
      <c r="R274" s="174" t="str">
        <f t="shared" si="29"/>
        <v/>
      </c>
      <c r="S274" s="174" t="str">
        <f t="shared" si="29"/>
        <v/>
      </c>
      <c r="T274" s="174" t="str">
        <f t="shared" si="29"/>
        <v/>
      </c>
      <c r="U274" s="174" t="str">
        <f t="shared" si="29"/>
        <v/>
      </c>
      <c r="V274" s="174" t="str">
        <f t="shared" si="29"/>
        <v/>
      </c>
      <c r="W274" s="174" t="str">
        <f t="shared" si="29"/>
        <v/>
      </c>
      <c r="X274" s="174" t="str">
        <f t="shared" si="29"/>
        <v/>
      </c>
      <c r="Y274" s="174" t="str">
        <f t="shared" si="29"/>
        <v/>
      </c>
      <c r="Z274" s="174" t="str">
        <f t="shared" si="29"/>
        <v/>
      </c>
      <c r="AA274" s="174" t="str">
        <f t="shared" si="29"/>
        <v/>
      </c>
      <c r="AB274" s="174" t="str">
        <f t="shared" si="29"/>
        <v/>
      </c>
      <c r="AC274" s="174" t="str">
        <f t="shared" si="29"/>
        <v/>
      </c>
      <c r="AD274" s="174" t="str">
        <f t="shared" si="29"/>
        <v/>
      </c>
      <c r="AE274" s="174" t="str">
        <f t="shared" si="29"/>
        <v/>
      </c>
      <c r="AF274" s="174" t="str">
        <f t="shared" si="29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B12:AF12 B14:AF17 D111:AF111 D113:AF119">
    <cfRule type="expression" dxfId="1731" priority="409">
      <formula>B$9&gt;=20/24</formula>
    </cfRule>
    <cfRule type="expression" dxfId="1730" priority="410">
      <formula>AND(B$9&gt;=14/24,B$9&lt;20/24)</formula>
    </cfRule>
    <cfRule type="expression" dxfId="1729" priority="411">
      <formula>AND(B$9&gt;=8/24,B$9&lt;14/24)</formula>
    </cfRule>
    <cfRule type="expression" dxfId="1728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G67 B12:AF12 B14:AF17">
    <cfRule type="expression" dxfId="1727" priority="407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1726" priority="406">
      <formula>$AH12=0</formula>
    </cfRule>
  </conditionalFormatting>
  <conditionalFormatting sqref="A116">
    <cfRule type="expression" dxfId="1725" priority="405">
      <formula>$AH116=0</formula>
    </cfRule>
  </conditionalFormatting>
  <conditionalFormatting sqref="AL44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1724" priority="403">
      <formula>$AH47=0</formula>
    </cfRule>
  </conditionalFormatting>
  <conditionalFormatting sqref="A100">
    <cfRule type="expression" dxfId="1723" priority="402">
      <formula>$AH100=0</formula>
    </cfRule>
  </conditionalFormatting>
  <conditionalFormatting sqref="A20">
    <cfRule type="expression" dxfId="1722" priority="401">
      <formula>$AH20=0</formula>
    </cfRule>
  </conditionalFormatting>
  <conditionalFormatting sqref="A199:A204">
    <cfRule type="expression" dxfId="1721" priority="400">
      <formula>$AH199=0</formula>
    </cfRule>
  </conditionalFormatting>
  <conditionalFormatting sqref="A193:A198">
    <cfRule type="expression" dxfId="1720" priority="399">
      <formula>$AH193=0</formula>
    </cfRule>
  </conditionalFormatting>
  <conditionalFormatting sqref="A60">
    <cfRule type="expression" dxfId="1719" priority="398">
      <formula>$AH60=0</formula>
    </cfRule>
  </conditionalFormatting>
  <conditionalFormatting sqref="A96">
    <cfRule type="expression" dxfId="1718" priority="397">
      <formula>$AH96=0</formula>
    </cfRule>
  </conditionalFormatting>
  <conditionalFormatting sqref="F101:Z101 AD101:AF101">
    <cfRule type="expression" dxfId="1717" priority="393">
      <formula>F$9&gt;=20/24</formula>
    </cfRule>
    <cfRule type="expression" dxfId="1716" priority="394">
      <formula>AND(F$9&gt;=14/24,F$9&lt;20/24)</formula>
    </cfRule>
    <cfRule type="expression" dxfId="1715" priority="395">
      <formula>AND(F$9&gt;=8/24,F$9&lt;14/24)</formula>
    </cfRule>
    <cfRule type="expression" dxfId="1714" priority="396">
      <formula>F$9&lt;8/24</formula>
    </cfRule>
  </conditionalFormatting>
  <conditionalFormatting sqref="AL45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713" priority="415">
      <formula>C$9&gt;=20/24</formula>
    </cfRule>
    <cfRule type="expression" dxfId="1712" priority="416">
      <formula>AND(C$9&gt;=14/24,C$9&lt;20/24)</formula>
    </cfRule>
    <cfRule type="expression" dxfId="1711" priority="417">
      <formula>AND(C$9&gt;=8/24,C$9&lt;14/24)</formula>
    </cfRule>
    <cfRule type="expression" dxfId="1710" priority="418">
      <formula>C$9&lt;8/24</formula>
    </cfRule>
  </conditionalFormatting>
  <conditionalFormatting sqref="A236">
    <cfRule type="expression" dxfId="1709" priority="419">
      <formula>$AH236=0</formula>
    </cfRule>
  </conditionalFormatting>
  <conditionalFormatting sqref="AG248">
    <cfRule type="expression" dxfId="1708" priority="420">
      <formula>B$9&gt;=20/24</formula>
    </cfRule>
    <cfRule type="expression" dxfId="1707" priority="421">
      <formula>AND(B$9&gt;=14/24,B$9&lt;20/24)</formula>
    </cfRule>
    <cfRule type="expression" dxfId="1706" priority="422">
      <formula>AND(B$9&gt;=8/24,B$9&lt;14/24)</formula>
    </cfRule>
    <cfRule type="expression" dxfId="1705" priority="423">
      <formula>B$9&lt;8/24</formula>
    </cfRule>
  </conditionalFormatting>
  <conditionalFormatting sqref="S8">
    <cfRule type="expression" dxfId="1704" priority="388">
      <formula>U$9&gt;=20/24</formula>
    </cfRule>
    <cfRule type="expression" dxfId="1703" priority="389">
      <formula>AND(U$9&gt;=14/24,U$9&lt;20/24)</formula>
    </cfRule>
    <cfRule type="expression" dxfId="1702" priority="390">
      <formula>AND(U$9&gt;=8/24,U$9&lt;14/24)</formula>
    </cfRule>
    <cfRule type="expression" dxfId="1701" priority="391">
      <formula>U$9&lt;8/24</formula>
    </cfRule>
  </conditionalFormatting>
  <conditionalFormatting sqref="AB8">
    <cfRule type="expression" dxfId="1700" priority="384">
      <formula>AD$9&gt;=20/24</formula>
    </cfRule>
    <cfRule type="expression" dxfId="1699" priority="385">
      <formula>AND(AD$9&gt;=14/24,AD$9&lt;20/24)</formula>
    </cfRule>
    <cfRule type="expression" dxfId="1698" priority="386">
      <formula>AND(AD$9&gt;=8/24,AD$9&lt;14/24)</formula>
    </cfRule>
    <cfRule type="expression" dxfId="1697" priority="387">
      <formula>AD$9&lt;8/24</formula>
    </cfRule>
  </conditionalFormatting>
  <conditionalFormatting sqref="AH248:AX248">
    <cfRule type="expression" dxfId="1696" priority="424">
      <formula>AG$9&gt;=20/24</formula>
    </cfRule>
    <cfRule type="expression" dxfId="1695" priority="425">
      <formula>AND(AG$9&gt;=14/24,AG$9&lt;20/24)</formula>
    </cfRule>
    <cfRule type="expression" dxfId="1694" priority="426">
      <formula>AND(AG$9&gt;=8/24,AG$9&lt;14/24)</formula>
    </cfRule>
    <cfRule type="expression" dxfId="1693" priority="427">
      <formula>AG$9&lt;8/24</formula>
    </cfRule>
  </conditionalFormatting>
  <conditionalFormatting sqref="T248">
    <cfRule type="expression" dxfId="1692" priority="428">
      <formula>AX$9&gt;=20/24</formula>
    </cfRule>
    <cfRule type="expression" dxfId="1691" priority="429">
      <formula>AND(AX$9&gt;=14/24,AX$9&lt;20/24)</formula>
    </cfRule>
    <cfRule type="expression" dxfId="1690" priority="430">
      <formula>AND(AX$9&gt;=8/24,AX$9&lt;14/24)</formula>
    </cfRule>
    <cfRule type="expression" dxfId="1689" priority="431">
      <formula>AX$9&lt;8/24</formula>
    </cfRule>
  </conditionalFormatting>
  <conditionalFormatting sqref="A117:A119">
    <cfRule type="expression" dxfId="1688" priority="383">
      <formula>$AH117=0</formula>
    </cfRule>
  </conditionalFormatting>
  <conditionalFormatting sqref="M56:T56 F73:AD73">
    <cfRule type="expression" dxfId="1687" priority="379">
      <formula>F$9&gt;=20/24</formula>
    </cfRule>
    <cfRule type="expression" dxfId="1686" priority="380">
      <formula>AND(F$9&gt;=14/24,F$9&lt;20/24)</formula>
    </cfRule>
    <cfRule type="expression" dxfId="1685" priority="381">
      <formula>AND(F$9&gt;=8/24,F$9&lt;14/24)</formula>
    </cfRule>
    <cfRule type="expression" dxfId="1684" priority="382">
      <formula>F$9&lt;8/24</formula>
    </cfRule>
  </conditionalFormatting>
  <conditionalFormatting sqref="AD55 M55:T55">
    <cfRule type="expression" dxfId="1683" priority="375">
      <formula>M$9&gt;=20/24</formula>
    </cfRule>
    <cfRule type="expression" dxfId="1682" priority="376">
      <formula>AND(M$9&gt;=14/24,M$9&lt;20/24)</formula>
    </cfRule>
    <cfRule type="expression" dxfId="1681" priority="377">
      <formula>AND(M$9&gt;=8/24,M$9&lt;14/24)</formula>
    </cfRule>
    <cfRule type="expression" dxfId="1680" priority="378">
      <formula>M$9&lt;8/24</formula>
    </cfRule>
  </conditionalFormatting>
  <conditionalFormatting sqref="AD55 M55:T56">
    <cfRule type="expression" dxfId="1679" priority="374">
      <formula>M55&gt;$AG55</formula>
    </cfRule>
  </conditionalFormatting>
  <conditionalFormatting sqref="D88:AF88 X98:AF98 AD74:AD76 F74:AC75 N102:Z108 X49:AF49 AA69:AF71 AE102:AF108">
    <cfRule type="expression" dxfId="1678" priority="370">
      <formula>D$9&gt;=20/24</formula>
    </cfRule>
    <cfRule type="expression" dxfId="1677" priority="371">
      <formula>AND(D$9&gt;=14/24,D$9&lt;20/24)</formula>
    </cfRule>
    <cfRule type="expression" dxfId="1676" priority="372">
      <formula>AND(D$9&gt;=8/24,D$9&lt;14/24)</formula>
    </cfRule>
    <cfRule type="expression" dxfId="1675" priority="373">
      <formula>D$9&lt;8/24</formula>
    </cfRule>
  </conditionalFormatting>
  <conditionalFormatting sqref="X49:AF49 AA69:AF71">
    <cfRule type="expression" dxfId="1674" priority="369">
      <formula>X49&gt;$AG49</formula>
    </cfRule>
  </conditionalFormatting>
  <conditionalFormatting sqref="U55:AC60 AD56:AD60">
    <cfRule type="expression" dxfId="1673" priority="365">
      <formula>U$9&gt;=20/24</formula>
    </cfRule>
    <cfRule type="expression" dxfId="1672" priority="366">
      <formula>AND(U$9&gt;=14/24,U$9&lt;20/24)</formula>
    </cfRule>
    <cfRule type="expression" dxfId="1671" priority="367">
      <formula>AND(U$9&gt;=8/24,U$9&lt;14/24)</formula>
    </cfRule>
    <cfRule type="expression" dxfId="1670" priority="368">
      <formula>U$9&lt;8/24</formula>
    </cfRule>
  </conditionalFormatting>
  <conditionalFormatting sqref="U55:AC60 AD56:AD60">
    <cfRule type="expression" dxfId="1669" priority="364">
      <formula>U55&gt;$AG55</formula>
    </cfRule>
  </conditionalFormatting>
  <conditionalFormatting sqref="C99:AF99 D90:AF90">
    <cfRule type="expression" dxfId="1668" priority="360">
      <formula>C$9&gt;=20/24</formula>
    </cfRule>
    <cfRule type="expression" dxfId="1667" priority="361">
      <formula>AND(C$9&gt;=14/24,C$9&lt;20/24)</formula>
    </cfRule>
    <cfRule type="expression" dxfId="1666" priority="362">
      <formula>AND(C$9&gt;=8/24,C$9&lt;14/24)</formula>
    </cfRule>
    <cfRule type="expression" dxfId="1665" priority="363">
      <formula>C$9&lt;8/24</formula>
    </cfRule>
  </conditionalFormatting>
  <conditionalFormatting sqref="T49:W49">
    <cfRule type="expression" dxfId="1664" priority="356">
      <formula>T$9&gt;=20/24</formula>
    </cfRule>
    <cfRule type="expression" dxfId="1663" priority="357">
      <formula>AND(T$9&gt;=14/24,T$9&lt;20/24)</formula>
    </cfRule>
    <cfRule type="expression" dxfId="1662" priority="358">
      <formula>AND(T$9&gt;=8/24,T$9&lt;14/24)</formula>
    </cfRule>
    <cfRule type="expression" dxfId="1661" priority="359">
      <formula>T$9&lt;8/24</formula>
    </cfRule>
  </conditionalFormatting>
  <conditionalFormatting sqref="T49:W49">
    <cfRule type="expression" dxfId="1660" priority="355">
      <formula>T49&gt;$AG49</formula>
    </cfRule>
  </conditionalFormatting>
  <conditionalFormatting sqref="E56:L57 M57:T57">
    <cfRule type="expression" dxfId="1659" priority="351">
      <formula>E$9&gt;=20/24</formula>
    </cfRule>
    <cfRule type="expression" dxfId="1658" priority="352">
      <formula>AND(E$9&gt;=14/24,E$9&lt;20/24)</formula>
    </cfRule>
    <cfRule type="expression" dxfId="1657" priority="353">
      <formula>AND(E$9&gt;=8/24,E$9&lt;14/24)</formula>
    </cfRule>
    <cfRule type="expression" dxfId="1656" priority="354">
      <formula>E$9&lt;8/24</formula>
    </cfRule>
  </conditionalFormatting>
  <conditionalFormatting sqref="E55:L55">
    <cfRule type="expression" dxfId="1655" priority="347">
      <formula>E$9&gt;=20/24</formula>
    </cfRule>
    <cfRule type="expression" dxfId="1654" priority="348">
      <formula>AND(E$9&gt;=14/24,E$9&lt;20/24)</formula>
    </cfRule>
    <cfRule type="expression" dxfId="1653" priority="349">
      <formula>AND(E$9&gt;=8/24,E$9&lt;14/24)</formula>
    </cfRule>
    <cfRule type="expression" dxfId="1652" priority="350">
      <formula>E$9&lt;8/24</formula>
    </cfRule>
  </conditionalFormatting>
  <conditionalFormatting sqref="E55:L57 M57:T57">
    <cfRule type="expression" dxfId="1651" priority="346">
      <formula>E55&gt;$AG55</formula>
    </cfRule>
  </conditionalFormatting>
  <conditionalFormatting sqref="AG72 AG89 F102:M108">
    <cfRule type="expression" dxfId="1650" priority="342">
      <formula>F$9&gt;=20/24</formula>
    </cfRule>
    <cfRule type="expression" dxfId="1649" priority="343">
      <formula>AND(F$9&gt;=14/24,F$9&lt;20/24)</formula>
    </cfRule>
    <cfRule type="expression" dxfId="1648" priority="344">
      <formula>AND(F$9&gt;=8/24,F$9&lt;14/24)</formula>
    </cfRule>
    <cfRule type="expression" dxfId="1647" priority="345">
      <formula>F$9&lt;8/24</formula>
    </cfRule>
  </conditionalFormatting>
  <conditionalFormatting sqref="AG50 AG68 AG72">
    <cfRule type="expression" dxfId="1646" priority="341">
      <formula>AG50&gt;$AG50</formula>
    </cfRule>
  </conditionalFormatting>
  <conditionalFormatting sqref="A45">
    <cfRule type="expression" dxfId="1645" priority="335">
      <formula>$AH45=0</formula>
    </cfRule>
  </conditionalFormatting>
  <conditionalFormatting sqref="X93:AF97">
    <cfRule type="expression" dxfId="1644" priority="331">
      <formula>X$9&gt;=20/24</formula>
    </cfRule>
    <cfRule type="expression" dxfId="1643" priority="332">
      <formula>AND(X$9&gt;=14/24,X$9&lt;20/24)</formula>
    </cfRule>
    <cfRule type="expression" dxfId="1642" priority="333">
      <formula>AND(X$9&gt;=8/24,X$9&lt;14/24)</formula>
    </cfRule>
    <cfRule type="expression" dxfId="1641" priority="334">
      <formula>X$9&lt;8/24</formula>
    </cfRule>
  </conditionalFormatting>
  <conditionalFormatting sqref="AL47 AL43 AL24:AL34 AL40:AL41 AL19:AL22 AL36:AL38 AL7:AL17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E51:K51 L51:AF53">
    <cfRule type="expression" dxfId="1640" priority="327">
      <formula>E$9&gt;=20/24</formula>
    </cfRule>
    <cfRule type="expression" dxfId="1639" priority="328">
      <formula>AND(E$9&gt;=14/24,E$9&lt;20/24)</formula>
    </cfRule>
    <cfRule type="expression" dxfId="1638" priority="329">
      <formula>AND(E$9&gt;=8/24,E$9&lt;14/24)</formula>
    </cfRule>
    <cfRule type="expression" dxfId="1637" priority="330">
      <formula>E$9&lt;8/24</formula>
    </cfRule>
  </conditionalFormatting>
  <conditionalFormatting sqref="E51:K51 L51:AF53">
    <cfRule type="expression" dxfId="1636" priority="326">
      <formula>E51&gt;$AG51</formula>
    </cfRule>
  </conditionalFormatting>
  <conditionalFormatting sqref="AG54">
    <cfRule type="expression" dxfId="1635" priority="322">
      <formula>AG$9&gt;=20/24</formula>
    </cfRule>
    <cfRule type="expression" dxfId="1634" priority="323">
      <formula>AND(AG$9&gt;=14/24,AG$9&lt;20/24)</formula>
    </cfRule>
    <cfRule type="expression" dxfId="1633" priority="324">
      <formula>AND(AG$9&gt;=8/24,AG$9&lt;14/24)</formula>
    </cfRule>
    <cfRule type="expression" dxfId="1632" priority="325">
      <formula>AG$9&lt;8/24</formula>
    </cfRule>
  </conditionalFormatting>
  <conditionalFormatting sqref="AG54">
    <cfRule type="expression" dxfId="1631" priority="321">
      <formula>AG54&gt;$AG54</formula>
    </cfRule>
  </conditionalFormatting>
  <conditionalFormatting sqref="C109:AF109">
    <cfRule type="expression" dxfId="1630" priority="317">
      <formula>C$9&gt;=20/24</formula>
    </cfRule>
    <cfRule type="expression" dxfId="1629" priority="318">
      <formula>AND(C$9&gt;=14/24,C$9&lt;20/24)</formula>
    </cfRule>
    <cfRule type="expression" dxfId="1628" priority="319">
      <formula>AND(C$9&gt;=8/24,C$9&lt;14/24)</formula>
    </cfRule>
    <cfRule type="expression" dxfId="1627" priority="320">
      <formula>C$9&lt;8/24</formula>
    </cfRule>
  </conditionalFormatting>
  <conditionalFormatting sqref="AL42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1626" priority="315">
      <formula>$AH42=0</formula>
    </cfRule>
  </conditionalFormatting>
  <conditionalFormatting sqref="A92">
    <cfRule type="expression" dxfId="1625" priority="313">
      <formula>$AH92=0</formula>
    </cfRule>
  </conditionalFormatting>
  <conditionalFormatting sqref="A89">
    <cfRule type="expression" dxfId="1624" priority="314">
      <formula>$AH89=0</formula>
    </cfRule>
  </conditionalFormatting>
  <conditionalFormatting sqref="D112:AF112">
    <cfRule type="expression" dxfId="1623" priority="309">
      <formula>D$9&gt;=20/24</formula>
    </cfRule>
    <cfRule type="expression" dxfId="1622" priority="310">
      <formula>AND(D$9&gt;=14/24,D$9&lt;20/24)</formula>
    </cfRule>
    <cfRule type="expression" dxfId="1621" priority="311">
      <formula>AND(D$9&gt;=8/24,D$9&lt;14/24)</formula>
    </cfRule>
    <cfRule type="expression" dxfId="1620" priority="312">
      <formula>D$9&lt;8/24</formula>
    </cfRule>
  </conditionalFormatting>
  <conditionalFormatting sqref="A112">
    <cfRule type="expression" dxfId="1619" priority="308">
      <formula>$AH112=0</formula>
    </cfRule>
  </conditionalFormatting>
  <conditionalFormatting sqref="A23">
    <cfRule type="expression" dxfId="1618" priority="306">
      <formula>$AH23=0</formula>
    </cfRule>
  </conditionalFormatting>
  <conditionalFormatting sqref="AL2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1617" priority="304">
      <formula>$AH39=0</formula>
    </cfRule>
  </conditionalFormatting>
  <conditionalFormatting sqref="AL39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AA101:AC101">
    <cfRule type="expression" dxfId="1616" priority="300">
      <formula>AA$9&gt;=20/24</formula>
    </cfRule>
    <cfRule type="expression" dxfId="1615" priority="301">
      <formula>AND(AA$9&gt;=14/24,AA$9&lt;20/24)</formula>
    </cfRule>
    <cfRule type="expression" dxfId="1614" priority="302">
      <formula>AND(AA$9&gt;=8/24,AA$9&lt;14/24)</formula>
    </cfRule>
    <cfRule type="expression" dxfId="1613" priority="303">
      <formula>AA$9&lt;8/24</formula>
    </cfRule>
  </conditionalFormatting>
  <conditionalFormatting sqref="AA102:AD108">
    <cfRule type="expression" dxfId="1612" priority="296">
      <formula>AA$9&gt;=20/24</formula>
    </cfRule>
    <cfRule type="expression" dxfId="1611" priority="297">
      <formula>AND(AA$9&gt;=14/24,AA$9&lt;20/24)</formula>
    </cfRule>
    <cfRule type="expression" dxfId="1610" priority="298">
      <formula>AND(AA$9&gt;=8/24,AA$9&lt;14/24)</formula>
    </cfRule>
    <cfRule type="expression" dxfId="1609" priority="299">
      <formula>AA$9&lt;8/24</formula>
    </cfRule>
  </conditionalFormatting>
  <conditionalFormatting sqref="AA19:AF30 AA36:AF45 AA32:AF34">
    <cfRule type="expression" dxfId="1608" priority="292">
      <formula>AA$9&gt;=20/24</formula>
    </cfRule>
    <cfRule type="expression" dxfId="1607" priority="293">
      <formula>AND(AA$9&gt;=14/24,AA$9&lt;20/24)</formula>
    </cfRule>
    <cfRule type="expression" dxfId="1606" priority="294">
      <formula>AND(AA$9&gt;=8/24,AA$9&lt;14/24)</formula>
    </cfRule>
    <cfRule type="expression" dxfId="1605" priority="295">
      <formula>AA$9&lt;8/24</formula>
    </cfRule>
  </conditionalFormatting>
  <conditionalFormatting sqref="M49:S49">
    <cfRule type="expression" dxfId="1604" priority="288">
      <formula>M$9&gt;=20/24</formula>
    </cfRule>
    <cfRule type="expression" dxfId="1603" priority="289">
      <formula>AND(M$9&gt;=14/24,M$9&lt;20/24)</formula>
    </cfRule>
    <cfRule type="expression" dxfId="1602" priority="290">
      <formula>AND(M$9&gt;=8/24,M$9&lt;14/24)</formula>
    </cfRule>
    <cfRule type="expression" dxfId="1601" priority="291">
      <formula>M$9&lt;8/24</formula>
    </cfRule>
  </conditionalFormatting>
  <conditionalFormatting sqref="M49:S49 AA19:AF30 AA36:AF45 AA32:AF34">
    <cfRule type="expression" dxfId="1600" priority="287">
      <formula>M19&gt;$AG19</formula>
    </cfRule>
  </conditionalFormatting>
  <conditionalFormatting sqref="D101:E101">
    <cfRule type="expression" dxfId="1599" priority="283">
      <formula>D$9&gt;=20/24</formula>
    </cfRule>
    <cfRule type="expression" dxfId="1598" priority="284">
      <formula>AND(D$9&gt;=14/24,D$9&lt;20/24)</formula>
    </cfRule>
    <cfRule type="expression" dxfId="1597" priority="285">
      <formula>AND(D$9&gt;=8/24,D$9&lt;14/24)</formula>
    </cfRule>
    <cfRule type="expression" dxfId="1596" priority="286">
      <formula>D$9&lt;8/24</formula>
    </cfRule>
  </conditionalFormatting>
  <conditionalFormatting sqref="C88 C98:W98 C85:AF87 D102:E108 U77 K76:U76 AA76:AC76 AA77:AD78 V76:Z77 K69:Z71">
    <cfRule type="expression" dxfId="1595" priority="279">
      <formula>C$9&gt;=20/24</formula>
    </cfRule>
    <cfRule type="expression" dxfId="1594" priority="280">
      <formula>AND(C$9&gt;=14/24,C$9&lt;20/24)</formula>
    </cfRule>
    <cfRule type="expression" dxfId="1593" priority="281">
      <formula>AND(C$9&gt;=8/24,C$9&lt;14/24)</formula>
    </cfRule>
    <cfRule type="expression" dxfId="1592" priority="282">
      <formula>C$9&lt;8/24</formula>
    </cfRule>
  </conditionalFormatting>
  <conditionalFormatting sqref="E58:J58 G59:J59 K58:T59 K69:Z71">
    <cfRule type="expression" dxfId="1591" priority="278">
      <formula>E58&gt;$AG58</formula>
    </cfRule>
  </conditionalFormatting>
  <conditionalFormatting sqref="D56:D58 D73:E73">
    <cfRule type="expression" dxfId="1590" priority="220">
      <formula>D$9&gt;=20/24</formula>
    </cfRule>
    <cfRule type="expression" dxfId="1589" priority="221">
      <formula>AND(D$9&gt;=14/24,D$9&lt;20/24)</formula>
    </cfRule>
    <cfRule type="expression" dxfId="1588" priority="222">
      <formula>AND(D$9&gt;=8/24,D$9&lt;14/24)</formula>
    </cfRule>
    <cfRule type="expression" dxfId="1587" priority="223">
      <formula>D$9&lt;8/24</formula>
    </cfRule>
  </conditionalFormatting>
  <conditionalFormatting sqref="C89:AF89 C91:AF91 C100:AF100 C72:AF72">
    <cfRule type="expression" dxfId="1586" priority="274">
      <formula>C$9&gt;=20/24</formula>
    </cfRule>
    <cfRule type="expression" dxfId="1585" priority="275">
      <formula>AND(C$9&gt;=14/24,C$9&lt;20/24)</formula>
    </cfRule>
    <cfRule type="expression" dxfId="1584" priority="276">
      <formula>AND(C$9&gt;=8/24,C$9&lt;14/24)</formula>
    </cfRule>
    <cfRule type="expression" dxfId="1583" priority="277">
      <formula>C$9&lt;8/24</formula>
    </cfRule>
  </conditionalFormatting>
  <conditionalFormatting sqref="C72:AF72 D67:AF68">
    <cfRule type="expression" dxfId="1582" priority="273">
      <formula>C67&gt;$AG67</formula>
    </cfRule>
  </conditionalFormatting>
  <conditionalFormatting sqref="C84:AF84">
    <cfRule type="expression" dxfId="1581" priority="269">
      <formula>C$9&gt;=20/24</formula>
    </cfRule>
    <cfRule type="expression" dxfId="1580" priority="270">
      <formula>AND(C$9&gt;=14/24,C$9&lt;20/24)</formula>
    </cfRule>
    <cfRule type="expression" dxfId="1579" priority="271">
      <formula>AND(C$9&gt;=8/24,C$9&lt;14/24)</formula>
    </cfRule>
    <cfRule type="expression" dxfId="1578" priority="272">
      <formula>C$9&lt;8/24</formula>
    </cfRule>
  </conditionalFormatting>
  <conditionalFormatting sqref="C93:W97">
    <cfRule type="expression" dxfId="1577" priority="265">
      <formula>C$9&gt;=20/24</formula>
    </cfRule>
    <cfRule type="expression" dxfId="1576" priority="266">
      <formula>AND(C$9&gt;=14/24,C$9&lt;20/24)</formula>
    </cfRule>
    <cfRule type="expression" dxfId="1575" priority="267">
      <formula>AND(C$9&gt;=8/24,C$9&lt;14/24)</formula>
    </cfRule>
    <cfRule type="expression" dxfId="1574" priority="268">
      <formula>C$9&lt;8/24</formula>
    </cfRule>
  </conditionalFormatting>
  <conditionalFormatting sqref="D54:AF54">
    <cfRule type="expression" dxfId="1573" priority="261">
      <formula>D$9&gt;=20/24</formula>
    </cfRule>
    <cfRule type="expression" dxfId="1572" priority="262">
      <formula>AND(D$9&gt;=14/24,D$9&lt;20/24)</formula>
    </cfRule>
    <cfRule type="expression" dxfId="1571" priority="263">
      <formula>AND(D$9&gt;=8/24,D$9&lt;14/24)</formula>
    </cfRule>
    <cfRule type="expression" dxfId="1570" priority="264">
      <formula>D$9&lt;8/24</formula>
    </cfRule>
  </conditionalFormatting>
  <conditionalFormatting sqref="D54:AF54">
    <cfRule type="expression" dxfId="1569" priority="260">
      <formula>D54&gt;$AG54</formula>
    </cfRule>
  </conditionalFormatting>
  <conditionalFormatting sqref="AA61:AD66">
    <cfRule type="expression" dxfId="1568" priority="248">
      <formula>AA$9&gt;=20/24</formula>
    </cfRule>
    <cfRule type="expression" dxfId="1567" priority="249">
      <formula>AND(AA$9&gt;=14/24,AA$9&lt;20/24)</formula>
    </cfRule>
    <cfRule type="expression" dxfId="1566" priority="250">
      <formula>AND(AA$9&gt;=8/24,AA$9&lt;14/24)</formula>
    </cfRule>
    <cfRule type="expression" dxfId="1565" priority="251">
      <formula>AA$9&lt;8/24</formula>
    </cfRule>
  </conditionalFormatting>
  <conditionalFormatting sqref="AA61:AD66">
    <cfRule type="expression" dxfId="1564" priority="247">
      <formula>AA61&gt;$AG61</formula>
    </cfRule>
  </conditionalFormatting>
  <conditionalFormatting sqref="AA47:AF47">
    <cfRule type="expression" dxfId="1563" priority="246">
      <formula>AA47&gt;$AG47</formula>
    </cfRule>
  </conditionalFormatting>
  <conditionalFormatting sqref="AA13:AF13">
    <cfRule type="expression" dxfId="1562" priority="242">
      <formula>AA$9&gt;=20/24</formula>
    </cfRule>
    <cfRule type="expression" dxfId="1561" priority="243">
      <formula>AND(AA$9&gt;=14/24,AA$9&lt;20/24)</formula>
    </cfRule>
    <cfRule type="expression" dxfId="1560" priority="244">
      <formula>AND(AA$9&gt;=8/24,AA$9&lt;14/24)</formula>
    </cfRule>
    <cfRule type="expression" dxfId="1559" priority="245">
      <formula>AA$9&lt;8/24</formula>
    </cfRule>
  </conditionalFormatting>
  <conditionalFormatting sqref="AA13:AF13">
    <cfRule type="expression" dxfId="1558" priority="241">
      <formula>AA13&gt;$AG13</formula>
    </cfRule>
  </conditionalFormatting>
  <conditionalFormatting sqref="AA47:AF47">
    <cfRule type="expression" dxfId="1557" priority="237">
      <formula>AA$9&gt;=20/24</formula>
    </cfRule>
    <cfRule type="expression" dxfId="1556" priority="238">
      <formula>AND(AA$9&gt;=14/24,AA$9&lt;20/24)</formula>
    </cfRule>
    <cfRule type="expression" dxfId="1555" priority="239">
      <formula>AND(AA$9&gt;=8/24,AA$9&lt;14/24)</formula>
    </cfRule>
    <cfRule type="expression" dxfId="1554" priority="240">
      <formula>AA$9&lt;8/24</formula>
    </cfRule>
  </conditionalFormatting>
  <conditionalFormatting sqref="AA79:AD83">
    <cfRule type="expression" dxfId="1553" priority="233">
      <formula>AA$9&gt;=20/24</formula>
    </cfRule>
    <cfRule type="expression" dxfId="1552" priority="234">
      <formula>AND(AA$9&gt;=14/24,AA$9&lt;20/24)</formula>
    </cfRule>
    <cfRule type="expression" dxfId="1551" priority="235">
      <formula>AND(AA$9&gt;=8/24,AA$9&lt;14/24)</formula>
    </cfRule>
    <cfRule type="expression" dxfId="1550" priority="236">
      <formula>AA$9&lt;8/24</formula>
    </cfRule>
  </conditionalFormatting>
  <conditionalFormatting sqref="AL80:AN80 AL86:AN86 AN81:AN82">
    <cfRule type="expression" dxfId="1549" priority="229">
      <formula>AL$9&gt;=20/24</formula>
    </cfRule>
    <cfRule type="expression" dxfId="1548" priority="230">
      <formula>AND(AL$9&gt;=14/24,AL$9&lt;20/24)</formula>
    </cfRule>
    <cfRule type="expression" dxfId="1547" priority="231">
      <formula>AND(AL$9&gt;=8/24,AL$9&lt;14/24)</formula>
    </cfRule>
    <cfRule type="expression" dxfId="1546" priority="232">
      <formula>AL$9&lt;8/24</formula>
    </cfRule>
  </conditionalFormatting>
  <conditionalFormatting sqref="AN83:AN84">
    <cfRule type="expression" dxfId="1545" priority="225">
      <formula>AN$9&gt;=20/24</formula>
    </cfRule>
    <cfRule type="expression" dxfId="1544" priority="226">
      <formula>AND(AN$9&gt;=14/24,AN$9&lt;20/24)</formula>
    </cfRule>
    <cfRule type="expression" dxfId="1543" priority="227">
      <formula>AND(AN$9&gt;=8/24,AN$9&lt;14/24)</formula>
    </cfRule>
    <cfRule type="expression" dxfId="1542" priority="228">
      <formula>AN$9&lt;8/24</formula>
    </cfRule>
  </conditionalFormatting>
  <conditionalFormatting sqref="AL81:AM85">
    <cfRule type="expression" dxfId="1541" priority="433">
      <formula>AJ$9&gt;=20/24</formula>
    </cfRule>
    <cfRule type="expression" dxfId="1540" priority="434">
      <formula>AND(AJ$9&gt;=14/24,AJ$9&lt;20/24)</formula>
    </cfRule>
    <cfRule type="expression" dxfId="1539" priority="435">
      <formula>AND(AJ$9&gt;=8/24,AJ$9&lt;14/24)</formula>
    </cfRule>
    <cfRule type="expression" dxfId="1538" priority="436">
      <formula>AJ$9&lt;8/24</formula>
    </cfRule>
  </conditionalFormatting>
  <conditionalFormatting sqref="A120">
    <cfRule type="expression" dxfId="1537" priority="224">
      <formula>$AH120=0</formula>
    </cfRule>
  </conditionalFormatting>
  <conditionalFormatting sqref="D55">
    <cfRule type="expression" dxfId="1536" priority="216">
      <formula>D$9&gt;=20/24</formula>
    </cfRule>
    <cfRule type="expression" dxfId="1535" priority="217">
      <formula>AND(D$9&gt;=14/24,D$9&lt;20/24)</formula>
    </cfRule>
    <cfRule type="expression" dxfId="1534" priority="218">
      <formula>AND(D$9&gt;=8/24,D$9&lt;14/24)</formula>
    </cfRule>
    <cfRule type="expression" dxfId="1533" priority="219">
      <formula>D$9&lt;8/24</formula>
    </cfRule>
  </conditionalFormatting>
  <conditionalFormatting sqref="D55:D58">
    <cfRule type="expression" dxfId="1532" priority="215">
      <formula>D55&gt;$AG55</formula>
    </cfRule>
  </conditionalFormatting>
  <conditionalFormatting sqref="C90">
    <cfRule type="expression" dxfId="1531" priority="206">
      <formula>C$9&gt;=20/24</formula>
    </cfRule>
    <cfRule type="expression" dxfId="1530" priority="207">
      <formula>AND(C$9&gt;=14/24,C$9&lt;20/24)</formula>
    </cfRule>
    <cfRule type="expression" dxfId="1529" priority="208">
      <formula>AND(C$9&gt;=8/24,C$9&lt;14/24)</formula>
    </cfRule>
    <cfRule type="expression" dxfId="1528" priority="209">
      <formula>C$9&lt;8/24</formula>
    </cfRule>
  </conditionalFormatting>
  <conditionalFormatting sqref="AA48:AF48">
    <cfRule type="expression" dxfId="1527" priority="202">
      <formula>AA$9&gt;=20/24</formula>
    </cfRule>
    <cfRule type="expression" dxfId="1526" priority="203">
      <formula>AND(AA$9&gt;=14/24,AA$9&lt;20/24)</formula>
    </cfRule>
    <cfRule type="expression" dxfId="1525" priority="204">
      <formula>AND(AA$9&gt;=8/24,AA$9&lt;14/24)</formula>
    </cfRule>
    <cfRule type="expression" dxfId="1524" priority="205">
      <formula>AA$9&lt;8/24</formula>
    </cfRule>
  </conditionalFormatting>
  <conditionalFormatting sqref="AA48:AF48">
    <cfRule type="expression" dxfId="1523" priority="201">
      <formula>AA48&gt;$AG48</formula>
    </cfRule>
  </conditionalFormatting>
  <conditionalFormatting sqref="B88 B98 B102:C108 B74:E76 B69:J71 F76:J76 B49:L49">
    <cfRule type="expression" dxfId="1522" priority="126">
      <formula>B$9&gt;=20/24</formula>
    </cfRule>
    <cfRule type="expression" dxfId="1521" priority="127">
      <formula>AND(B$9&gt;=14/24,B$9&lt;20/24)</formula>
    </cfRule>
    <cfRule type="expression" dxfId="1520" priority="128">
      <formula>AND(B$9&gt;=8/24,B$9&lt;14/24)</formula>
    </cfRule>
    <cfRule type="expression" dxfId="1519" priority="129">
      <formula>B$9&lt;8/24</formula>
    </cfRule>
  </conditionalFormatting>
  <conditionalFormatting sqref="B60:T60">
    <cfRule type="expression" dxfId="1518" priority="117">
      <formula>B$9&gt;=20/24</formula>
    </cfRule>
    <cfRule type="expression" dxfId="1517" priority="118">
      <formula>AND(B$9&gt;=14/24,B$9&lt;20/24)</formula>
    </cfRule>
    <cfRule type="expression" dxfId="1516" priority="119">
      <formula>AND(B$9&gt;=8/24,B$9&lt;14/24)</formula>
    </cfRule>
    <cfRule type="expression" dxfId="1515" priority="120">
      <formula>B$9&lt;8/24</formula>
    </cfRule>
  </conditionalFormatting>
  <conditionalFormatting sqref="E50:AF50">
    <cfRule type="expression" dxfId="1514" priority="191">
      <formula>E50&gt;$AG50</formula>
    </cfRule>
  </conditionalFormatting>
  <conditionalFormatting sqref="U61:Z66">
    <cfRule type="expression" dxfId="1513" priority="187">
      <formula>U$9&gt;=20/24</formula>
    </cfRule>
    <cfRule type="expression" dxfId="1512" priority="188">
      <formula>AND(U$9&gt;=14/24,U$9&lt;20/24)</formula>
    </cfRule>
    <cfRule type="expression" dxfId="1511" priority="189">
      <formula>AND(U$9&gt;=8/24,U$9&lt;14/24)</formula>
    </cfRule>
    <cfRule type="expression" dxfId="1510" priority="190">
      <formula>U$9&lt;8/24</formula>
    </cfRule>
  </conditionalFormatting>
  <conditionalFormatting sqref="U61:Z66">
    <cfRule type="expression" dxfId="1509" priority="186">
      <formula>U61&gt;$AG61</formula>
    </cfRule>
  </conditionalFormatting>
  <conditionalFormatting sqref="A11">
    <cfRule type="expression" dxfId="1508" priority="181">
      <formula>$AH11=0</formula>
    </cfRule>
  </conditionalFormatting>
  <conditionalFormatting sqref="AA11:AF11">
    <cfRule type="expression" dxfId="1507" priority="177">
      <formula>AA$9&gt;=20/24</formula>
    </cfRule>
    <cfRule type="expression" dxfId="1506" priority="178">
      <formula>AND(AA$9&gt;=14/24,AA$9&lt;20/24)</formula>
    </cfRule>
    <cfRule type="expression" dxfId="1505" priority="179">
      <formula>AND(AA$9&gt;=8/24,AA$9&lt;14/24)</formula>
    </cfRule>
    <cfRule type="expression" dxfId="1504" priority="180">
      <formula>AA$9&lt;8/24</formula>
    </cfRule>
  </conditionalFormatting>
  <conditionalFormatting sqref="AA11:AF11">
    <cfRule type="expression" dxfId="1503" priority="176">
      <formula>AA11&gt;$AG11</formula>
    </cfRule>
  </conditionalFormatting>
  <conditionalFormatting sqref="A18">
    <cfRule type="expression" dxfId="1502" priority="174">
      <formula>$AH18=0</formula>
    </cfRule>
  </conditionalFormatting>
  <conditionalFormatting sqref="AL1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1501" priority="170">
      <formula>AA$9&gt;=20/24</formula>
    </cfRule>
    <cfRule type="expression" dxfId="1500" priority="171">
      <formula>AND(AA$9&gt;=14/24,AA$9&lt;20/24)</formula>
    </cfRule>
    <cfRule type="expression" dxfId="1499" priority="172">
      <formula>AND(AA$9&gt;=8/24,AA$9&lt;14/24)</formula>
    </cfRule>
    <cfRule type="expression" dxfId="1498" priority="173">
      <formula>AA$9&lt;8/24</formula>
    </cfRule>
  </conditionalFormatting>
  <conditionalFormatting sqref="AA18:AF18">
    <cfRule type="expression" dxfId="1497" priority="169">
      <formula>AA18&gt;$AG18</formula>
    </cfRule>
  </conditionalFormatting>
  <conditionalFormatting sqref="A35">
    <cfRule type="expression" dxfId="1496" priority="167">
      <formula>$AH35=0</formula>
    </cfRule>
  </conditionalFormatting>
  <conditionalFormatting sqref="AL3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1495" priority="163">
      <formula>AA$9&gt;=20/24</formula>
    </cfRule>
    <cfRule type="expression" dxfId="1494" priority="164">
      <formula>AND(AA$9&gt;=14/24,AA$9&lt;20/24)</formula>
    </cfRule>
    <cfRule type="expression" dxfId="1493" priority="165">
      <formula>AND(AA$9&gt;=8/24,AA$9&lt;14/24)</formula>
    </cfRule>
    <cfRule type="expression" dxfId="1492" priority="166">
      <formula>AA$9&lt;8/24</formula>
    </cfRule>
  </conditionalFormatting>
  <conditionalFormatting sqref="AA35:AF35">
    <cfRule type="expression" dxfId="1491" priority="162">
      <formula>AA35&gt;$AG35</formula>
    </cfRule>
  </conditionalFormatting>
  <conditionalFormatting sqref="A46">
    <cfRule type="expression" dxfId="1490" priority="160">
      <formula>$AH46=0</formula>
    </cfRule>
  </conditionalFormatting>
  <conditionalFormatting sqref="AL4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1489" priority="159">
      <formula>AA46&gt;$AG46</formula>
    </cfRule>
  </conditionalFormatting>
  <conditionalFormatting sqref="AA46:AF46">
    <cfRule type="expression" dxfId="1488" priority="155">
      <formula>AA$9&gt;=20/24</formula>
    </cfRule>
    <cfRule type="expression" dxfId="1487" priority="156">
      <formula>AND(AA$9&gt;=14/24,AA$9&lt;20/24)</formula>
    </cfRule>
    <cfRule type="expression" dxfId="1486" priority="157">
      <formula>AND(AA$9&gt;=8/24,AA$9&lt;14/24)</formula>
    </cfRule>
    <cfRule type="expression" dxfId="1485" priority="158">
      <formula>AA$9&lt;8/24</formula>
    </cfRule>
  </conditionalFormatting>
  <conditionalFormatting sqref="B120">
    <cfRule type="expression" dxfId="1484" priority="27">
      <formula>B$9&gt;=20/24</formula>
    </cfRule>
    <cfRule type="expression" dxfId="1483" priority="28">
      <formula>AND(B$9&gt;=14/24,B$9&lt;20/24)</formula>
    </cfRule>
    <cfRule type="expression" dxfId="1482" priority="29">
      <formula>AND(B$9&gt;=8/24,B$9&lt;14/24)</formula>
    </cfRule>
    <cfRule type="expression" dxfId="1481" priority="30">
      <formula>B$9&lt;8/24</formula>
    </cfRule>
  </conditionalFormatting>
  <conditionalFormatting sqref="D120:AF120">
    <cfRule type="expression" dxfId="1480" priority="151">
      <formula>D$9&gt;=20/24</formula>
    </cfRule>
    <cfRule type="expression" dxfId="1479" priority="152">
      <formula>AND(D$9&gt;=14/24,D$9&lt;20/24)</formula>
    </cfRule>
    <cfRule type="expression" dxfId="1478" priority="153">
      <formula>AND(D$9&gt;=8/24,D$9&lt;14/24)</formula>
    </cfRule>
    <cfRule type="expression" dxfId="1477" priority="154">
      <formula>D$9&lt;8/24</formula>
    </cfRule>
  </conditionalFormatting>
  <conditionalFormatting sqref="C120">
    <cfRule type="expression" dxfId="1476" priority="147">
      <formula>C$9&gt;=20/24</formula>
    </cfRule>
    <cfRule type="expression" dxfId="1475" priority="148">
      <formula>AND(C$9&gt;=14/24,C$9&lt;20/24)</formula>
    </cfRule>
    <cfRule type="expression" dxfId="1474" priority="149">
      <formula>AND(C$9&gt;=8/24,C$9&lt;14/24)</formula>
    </cfRule>
    <cfRule type="expression" dxfId="1473" priority="150">
      <formula>C$9&lt;8/24</formula>
    </cfRule>
  </conditionalFormatting>
  <conditionalFormatting sqref="B111:C111 B113:C119">
    <cfRule type="expression" dxfId="1472" priority="143">
      <formula>B$9&gt;=20/24</formula>
    </cfRule>
    <cfRule type="expression" dxfId="1471" priority="144">
      <formula>AND(B$9&gt;=14/24,B$9&lt;20/24)</formula>
    </cfRule>
    <cfRule type="expression" dxfId="1470" priority="145">
      <formula>AND(B$9&gt;=8/24,B$9&lt;14/24)</formula>
    </cfRule>
    <cfRule type="expression" dxfId="1469" priority="146">
      <formula>B$9&lt;8/24</formula>
    </cfRule>
  </conditionalFormatting>
  <conditionalFormatting sqref="B101:C101">
    <cfRule type="expression" dxfId="1468" priority="139">
      <formula>B$9&gt;=20/24</formula>
    </cfRule>
    <cfRule type="expression" dxfId="1467" priority="140">
      <formula>AND(B$9&gt;=14/24,B$9&lt;20/24)</formula>
    </cfRule>
    <cfRule type="expression" dxfId="1466" priority="141">
      <formula>AND(B$9&gt;=8/24,B$9&lt;14/24)</formula>
    </cfRule>
    <cfRule type="expression" dxfId="1465" priority="142">
      <formula>B$9&lt;8/24</formula>
    </cfRule>
  </conditionalFormatting>
  <conditionalFormatting sqref="B56:C59 B73:C73 D59:F59">
    <cfRule type="expression" dxfId="1464" priority="135">
      <formula>B$9&gt;=20/24</formula>
    </cfRule>
    <cfRule type="expression" dxfId="1463" priority="136">
      <formula>AND(B$9&gt;=14/24,B$9&lt;20/24)</formula>
    </cfRule>
    <cfRule type="expression" dxfId="1462" priority="137">
      <formula>AND(B$9&gt;=8/24,B$9&lt;14/24)</formula>
    </cfRule>
    <cfRule type="expression" dxfId="1461" priority="138">
      <formula>B$9&lt;8/24</formula>
    </cfRule>
  </conditionalFormatting>
  <conditionalFormatting sqref="B55:C55">
    <cfRule type="expression" dxfId="1460" priority="131">
      <formula>B$9&gt;=20/24</formula>
    </cfRule>
    <cfRule type="expression" dxfId="1459" priority="132">
      <formula>AND(B$9&gt;=14/24,B$9&lt;20/24)</formula>
    </cfRule>
    <cfRule type="expression" dxfId="1458" priority="133">
      <formula>AND(B$9&gt;=8/24,B$9&lt;14/24)</formula>
    </cfRule>
    <cfRule type="expression" dxfId="1457" priority="134">
      <formula>B$9&lt;8/24</formula>
    </cfRule>
  </conditionalFormatting>
  <conditionalFormatting sqref="B55:C59 D59:F59">
    <cfRule type="expression" dxfId="1456" priority="130">
      <formula>B55&gt;$AG55</formula>
    </cfRule>
  </conditionalFormatting>
  <conditionalFormatting sqref="B69:J71 B49:L49">
    <cfRule type="expression" dxfId="1455" priority="125">
      <formula>B49&gt;$AG49</formula>
    </cfRule>
  </conditionalFormatting>
  <conditionalFormatting sqref="B99 B90">
    <cfRule type="expression" dxfId="1454" priority="121">
      <formula>B$9&gt;=20/24</formula>
    </cfRule>
    <cfRule type="expression" dxfId="1453" priority="122">
      <formula>AND(B$9&gt;=14/24,B$9&lt;20/24)</formula>
    </cfRule>
    <cfRule type="expression" dxfId="1452" priority="123">
      <formula>AND(B$9&gt;=8/24,B$9&lt;14/24)</formula>
    </cfRule>
    <cfRule type="expression" dxfId="1451" priority="124">
      <formula>B$9&lt;8/24</formula>
    </cfRule>
  </conditionalFormatting>
  <conditionalFormatting sqref="B60:T60">
    <cfRule type="expression" dxfId="1450" priority="116">
      <formula>B60&gt;$AG60</formula>
    </cfRule>
  </conditionalFormatting>
  <conditionalFormatting sqref="B93:B97">
    <cfRule type="expression" dxfId="1449" priority="112">
      <formula>B$9&gt;=20/24</formula>
    </cfRule>
    <cfRule type="expression" dxfId="1448" priority="113">
      <formula>AND(B$9&gt;=14/24,B$9&lt;20/24)</formula>
    </cfRule>
    <cfRule type="expression" dxfId="1447" priority="114">
      <formula>AND(B$9&gt;=8/24,B$9&lt;14/24)</formula>
    </cfRule>
    <cfRule type="expression" dxfId="1446" priority="115">
      <formula>B$9&lt;8/24</formula>
    </cfRule>
  </conditionalFormatting>
  <conditionalFormatting sqref="B51:D53 E52:K53">
    <cfRule type="expression" dxfId="1445" priority="108">
      <formula>B$9&gt;=20/24</formula>
    </cfRule>
    <cfRule type="expression" dxfId="1444" priority="109">
      <formula>AND(B$9&gt;=14/24,B$9&lt;20/24)</formula>
    </cfRule>
    <cfRule type="expression" dxfId="1443" priority="110">
      <formula>AND(B$9&gt;=8/24,B$9&lt;14/24)</formula>
    </cfRule>
    <cfRule type="expression" dxfId="1442" priority="111">
      <formula>B$9&lt;8/24</formula>
    </cfRule>
  </conditionalFormatting>
  <conditionalFormatting sqref="B51:D53 E52:K53">
    <cfRule type="expression" dxfId="1441" priority="107">
      <formula>B51&gt;$AG51</formula>
    </cfRule>
  </conditionalFormatting>
  <conditionalFormatting sqref="B109">
    <cfRule type="expression" dxfId="1440" priority="103">
      <formula>B$9&gt;=20/24</formula>
    </cfRule>
    <cfRule type="expression" dxfId="1439" priority="104">
      <formula>AND(B$9&gt;=14/24,B$9&lt;20/24)</formula>
    </cfRule>
    <cfRule type="expression" dxfId="1438" priority="105">
      <formula>AND(B$9&gt;=8/24,B$9&lt;14/24)</formula>
    </cfRule>
    <cfRule type="expression" dxfId="1437" priority="106">
      <formula>B$9&lt;8/24</formula>
    </cfRule>
  </conditionalFormatting>
  <conditionalFormatting sqref="B112:C112">
    <cfRule type="expression" dxfId="1436" priority="99">
      <formula>B$9&gt;=20/24</formula>
    </cfRule>
    <cfRule type="expression" dxfId="1435" priority="100">
      <formula>AND(B$9&gt;=14/24,B$9&lt;20/24)</formula>
    </cfRule>
    <cfRule type="expression" dxfId="1434" priority="101">
      <formula>AND(B$9&gt;=8/24,B$9&lt;14/24)</formula>
    </cfRule>
    <cfRule type="expression" dxfId="1433" priority="102">
      <formula>B$9&lt;8/24</formula>
    </cfRule>
  </conditionalFormatting>
  <conditionalFormatting sqref="B36:Z45 B19:Z34 AA31:AF31">
    <cfRule type="expression" dxfId="1432" priority="95">
      <formula>B$9&gt;=20/24</formula>
    </cfRule>
    <cfRule type="expression" dxfId="1431" priority="96">
      <formula>AND(B$9&gt;=14/24,B$9&lt;20/24)</formula>
    </cfRule>
    <cfRule type="expression" dxfId="1430" priority="97">
      <formula>AND(B$9&gt;=8/24,B$9&lt;14/24)</formula>
    </cfRule>
    <cfRule type="expression" dxfId="1429" priority="98">
      <formula>B$9&lt;8/24</formula>
    </cfRule>
  </conditionalFormatting>
  <conditionalFormatting sqref="B36:Z45 B19:Z34 AA31:AF31">
    <cfRule type="expression" dxfId="1428" priority="94">
      <formula>B19&gt;$AG19</formula>
    </cfRule>
  </conditionalFormatting>
  <conditionalFormatting sqref="B85:B87 B77:T83 U78:Z83">
    <cfRule type="expression" dxfId="1427" priority="90">
      <formula>B$9&gt;=20/24</formula>
    </cfRule>
    <cfRule type="expression" dxfId="1426" priority="91">
      <formula>AND(B$9&gt;=14/24,B$9&lt;20/24)</formula>
    </cfRule>
    <cfRule type="expression" dxfId="1425" priority="92">
      <formula>AND(B$9&gt;=8/24,B$9&lt;14/24)</formula>
    </cfRule>
    <cfRule type="expression" dxfId="1424" priority="93">
      <formula>B$9&lt;8/24</formula>
    </cfRule>
  </conditionalFormatting>
  <conditionalFormatting sqref="B89 B91 B100 B72">
    <cfRule type="expression" dxfId="1423" priority="86">
      <formula>B$9&gt;=20/24</formula>
    </cfRule>
    <cfRule type="expression" dxfId="1422" priority="87">
      <formula>AND(B$9&gt;=14/24,B$9&lt;20/24)</formula>
    </cfRule>
    <cfRule type="expression" dxfId="1421" priority="88">
      <formula>AND(B$9&gt;=8/24,B$9&lt;14/24)</formula>
    </cfRule>
    <cfRule type="expression" dxfId="1420" priority="89">
      <formula>B$9&lt;8/24</formula>
    </cfRule>
  </conditionalFormatting>
  <conditionalFormatting sqref="B72 B67:C68">
    <cfRule type="expression" dxfId="1419" priority="85">
      <formula>B67&gt;$AG67</formula>
    </cfRule>
  </conditionalFormatting>
  <conditionalFormatting sqref="B84">
    <cfRule type="expression" dxfId="1418" priority="81">
      <formula>B$9&gt;=20/24</formula>
    </cfRule>
    <cfRule type="expression" dxfId="1417" priority="82">
      <formula>AND(B$9&gt;=14/24,B$9&lt;20/24)</formula>
    </cfRule>
    <cfRule type="expression" dxfId="1416" priority="83">
      <formula>AND(B$9&gt;=8/24,B$9&lt;14/24)</formula>
    </cfRule>
    <cfRule type="expression" dxfId="1415" priority="84">
      <formula>B$9&lt;8/24</formula>
    </cfRule>
  </conditionalFormatting>
  <conditionalFormatting sqref="B54:C54">
    <cfRule type="expression" dxfId="1414" priority="77">
      <formula>B$9&gt;=20/24</formula>
    </cfRule>
    <cfRule type="expression" dxfId="1413" priority="78">
      <formula>AND(B$9&gt;=14/24,B$9&lt;20/24)</formula>
    </cfRule>
    <cfRule type="expression" dxfId="1412" priority="79">
      <formula>AND(B$9&gt;=8/24,B$9&lt;14/24)</formula>
    </cfRule>
    <cfRule type="expression" dxfId="1411" priority="80">
      <formula>B$9&lt;8/24</formula>
    </cfRule>
  </conditionalFormatting>
  <conditionalFormatting sqref="B54:C54">
    <cfRule type="expression" dxfId="1410" priority="76">
      <formula>B54&gt;$AG54</formula>
    </cfRule>
  </conditionalFormatting>
  <conditionalFormatting sqref="B61:T66">
    <cfRule type="expression" dxfId="1409" priority="68">
      <formula>B$9&gt;=20/24</formula>
    </cfRule>
    <cfRule type="expression" dxfId="1408" priority="69">
      <formula>AND(B$9&gt;=14/24,B$9&lt;20/24)</formula>
    </cfRule>
    <cfRule type="expression" dxfId="1407" priority="70">
      <formula>AND(B$9&gt;=8/24,B$9&lt;14/24)</formula>
    </cfRule>
    <cfRule type="expression" dxfId="1406" priority="71">
      <formula>B$9&lt;8/24</formula>
    </cfRule>
  </conditionalFormatting>
  <conditionalFormatting sqref="B61:T66">
    <cfRule type="expression" dxfId="1405" priority="67">
      <formula>B61&gt;$AG61</formula>
    </cfRule>
  </conditionalFormatting>
  <conditionalFormatting sqref="B47:Z47">
    <cfRule type="expression" dxfId="1404" priority="66">
      <formula>B47&gt;$AG47</formula>
    </cfRule>
  </conditionalFormatting>
  <conditionalFormatting sqref="B13:Z13">
    <cfRule type="expression" dxfId="1403" priority="62">
      <formula>B$9&gt;=20/24</formula>
    </cfRule>
    <cfRule type="expression" dxfId="1402" priority="63">
      <formula>AND(B$9&gt;=14/24,B$9&lt;20/24)</formula>
    </cfRule>
    <cfRule type="expression" dxfId="1401" priority="64">
      <formula>AND(B$9&gt;=8/24,B$9&lt;14/24)</formula>
    </cfRule>
    <cfRule type="expression" dxfId="1400" priority="65">
      <formula>B$9&lt;8/24</formula>
    </cfRule>
  </conditionalFormatting>
  <conditionalFormatting sqref="B13:Z13">
    <cfRule type="expression" dxfId="1399" priority="61">
      <formula>B13&gt;$AG13</formula>
    </cfRule>
  </conditionalFormatting>
  <conditionalFormatting sqref="B47:Z47">
    <cfRule type="expression" dxfId="1398" priority="57">
      <formula>B$9&gt;=20/24</formula>
    </cfRule>
    <cfRule type="expression" dxfId="1397" priority="58">
      <formula>AND(B$9&gt;=14/24,B$9&lt;20/24)</formula>
    </cfRule>
    <cfRule type="expression" dxfId="1396" priority="59">
      <formula>AND(B$9&gt;=8/24,B$9&lt;14/24)</formula>
    </cfRule>
    <cfRule type="expression" dxfId="1395" priority="60">
      <formula>B$9&lt;8/24</formula>
    </cfRule>
  </conditionalFormatting>
  <conditionalFormatting sqref="B48:Z48">
    <cfRule type="expression" dxfId="1394" priority="53">
      <formula>B$9&gt;=20/24</formula>
    </cfRule>
    <cfRule type="expression" dxfId="1393" priority="54">
      <formula>AND(B$9&gt;=14/24,B$9&lt;20/24)</formula>
    </cfRule>
    <cfRule type="expression" dxfId="1392" priority="55">
      <formula>AND(B$9&gt;=8/24,B$9&lt;14/24)</formula>
    </cfRule>
    <cfRule type="expression" dxfId="1391" priority="56">
      <formula>B$9&lt;8/24</formula>
    </cfRule>
  </conditionalFormatting>
  <conditionalFormatting sqref="B48:Z48">
    <cfRule type="expression" dxfId="1390" priority="52">
      <formula>B48&gt;$AG48</formula>
    </cfRule>
  </conditionalFormatting>
  <conditionalFormatting sqref="B50:D50">
    <cfRule type="expression" dxfId="1389" priority="51">
      <formula>B50&gt;$AG50</formula>
    </cfRule>
  </conditionalFormatting>
  <conditionalFormatting sqref="B11:Z11">
    <cfRule type="expression" dxfId="1388" priority="47">
      <formula>B$9&gt;=20/24</formula>
    </cfRule>
    <cfRule type="expression" dxfId="1387" priority="48">
      <formula>AND(B$9&gt;=14/24,B$9&lt;20/24)</formula>
    </cfRule>
    <cfRule type="expression" dxfId="1386" priority="49">
      <formula>AND(B$9&gt;=8/24,B$9&lt;14/24)</formula>
    </cfRule>
    <cfRule type="expression" dxfId="1385" priority="50">
      <formula>B$9&lt;8/24</formula>
    </cfRule>
  </conditionalFormatting>
  <conditionalFormatting sqref="B11:Z11">
    <cfRule type="expression" dxfId="1384" priority="46">
      <formula>B11&gt;$AG11</formula>
    </cfRule>
  </conditionalFormatting>
  <conditionalFormatting sqref="B18:Z18">
    <cfRule type="expression" dxfId="1383" priority="42">
      <formula>B$9&gt;=20/24</formula>
    </cfRule>
    <cfRule type="expression" dxfId="1382" priority="43">
      <formula>AND(B$9&gt;=14/24,B$9&lt;20/24)</formula>
    </cfRule>
    <cfRule type="expression" dxfId="1381" priority="44">
      <formula>AND(B$9&gt;=8/24,B$9&lt;14/24)</formula>
    </cfRule>
    <cfRule type="expression" dxfId="1380" priority="45">
      <formula>B$9&lt;8/24</formula>
    </cfRule>
  </conditionalFormatting>
  <conditionalFormatting sqref="B18:Z18">
    <cfRule type="expression" dxfId="1379" priority="41">
      <formula>B18&gt;$AG18</formula>
    </cfRule>
  </conditionalFormatting>
  <conditionalFormatting sqref="B35:Z35">
    <cfRule type="expression" dxfId="1378" priority="37">
      <formula>B$9&gt;=20/24</formula>
    </cfRule>
    <cfRule type="expression" dxfId="1377" priority="38">
      <formula>AND(B$9&gt;=14/24,B$9&lt;20/24)</formula>
    </cfRule>
    <cfRule type="expression" dxfId="1376" priority="39">
      <formula>AND(B$9&gt;=8/24,B$9&lt;14/24)</formula>
    </cfRule>
    <cfRule type="expression" dxfId="1375" priority="40">
      <formula>B$9&lt;8/24</formula>
    </cfRule>
  </conditionalFormatting>
  <conditionalFormatting sqref="B35:Z35">
    <cfRule type="expression" dxfId="1374" priority="36">
      <formula>B35&gt;$AG35</formula>
    </cfRule>
  </conditionalFormatting>
  <conditionalFormatting sqref="B46:Z46">
    <cfRule type="expression" dxfId="1373" priority="35">
      <formula>B46&gt;$AG46</formula>
    </cfRule>
  </conditionalFormatting>
  <conditionalFormatting sqref="B46:Z46">
    <cfRule type="expression" dxfId="1372" priority="31">
      <formula>B$9&gt;=20/24</formula>
    </cfRule>
    <cfRule type="expression" dxfId="1371" priority="32">
      <formula>AND(B$9&gt;=14/24,B$9&lt;20/24)</formula>
    </cfRule>
    <cfRule type="expression" dxfId="1370" priority="33">
      <formula>AND(B$9&gt;=8/24,B$9&lt;14/24)</formula>
    </cfRule>
    <cfRule type="expression" dxfId="1369" priority="34">
      <formula>B$9&lt;8/24</formula>
    </cfRule>
  </conditionalFormatting>
  <conditionalFormatting sqref="AE55:AF60">
    <cfRule type="expression" dxfId="1368" priority="23">
      <formula>AE$9&gt;=20/24</formula>
    </cfRule>
    <cfRule type="expression" dxfId="1367" priority="24">
      <formula>AND(AE$9&gt;=14/24,AE$9&lt;20/24)</formula>
    </cfRule>
    <cfRule type="expression" dxfId="1366" priority="25">
      <formula>AND(AE$9&gt;=8/24,AE$9&lt;14/24)</formula>
    </cfRule>
    <cfRule type="expression" dxfId="1365" priority="26">
      <formula>AE$9&lt;8/24</formula>
    </cfRule>
  </conditionalFormatting>
  <conditionalFormatting sqref="AE55:AF60">
    <cfRule type="expression" dxfId="1364" priority="22">
      <formula>AE55&gt;$AG55</formula>
    </cfRule>
  </conditionalFormatting>
  <conditionalFormatting sqref="AE61:AF66">
    <cfRule type="expression" dxfId="1363" priority="18">
      <formula>AE$9&gt;=20/24</formula>
    </cfRule>
    <cfRule type="expression" dxfId="1362" priority="19">
      <formula>AND(AE$9&gt;=14/24,AE$9&lt;20/24)</formula>
    </cfRule>
    <cfRule type="expression" dxfId="1361" priority="20">
      <formula>AND(AE$9&gt;=8/24,AE$9&lt;14/24)</formula>
    </cfRule>
    <cfRule type="expression" dxfId="1360" priority="21">
      <formula>AE$9&lt;8/24</formula>
    </cfRule>
  </conditionalFormatting>
  <conditionalFormatting sqref="AE61:AF66">
    <cfRule type="expression" dxfId="1359" priority="17">
      <formula>AE61&gt;$AG61</formula>
    </cfRule>
  </conditionalFormatting>
  <conditionalFormatting sqref="AE73:AF73">
    <cfRule type="expression" dxfId="1358" priority="13">
      <formula>AE$9&gt;=20/24</formula>
    </cfRule>
    <cfRule type="expression" dxfId="1357" priority="14">
      <formula>AND(AE$9&gt;=14/24,AE$9&lt;20/24)</formula>
    </cfRule>
    <cfRule type="expression" dxfId="1356" priority="15">
      <formula>AND(AE$9&gt;=8/24,AE$9&lt;14/24)</formula>
    </cfRule>
    <cfRule type="expression" dxfId="1355" priority="16">
      <formula>AE$9&lt;8/24</formula>
    </cfRule>
  </conditionalFormatting>
  <conditionalFormatting sqref="AE74:AF75">
    <cfRule type="expression" dxfId="1354" priority="9">
      <formula>AE$9&gt;=20/24</formula>
    </cfRule>
    <cfRule type="expression" dxfId="1353" priority="10">
      <formula>AND(AE$9&gt;=14/24,AE$9&lt;20/24)</formula>
    </cfRule>
    <cfRule type="expression" dxfId="1352" priority="11">
      <formula>AND(AE$9&gt;=8/24,AE$9&lt;14/24)</formula>
    </cfRule>
    <cfRule type="expression" dxfId="1351" priority="12">
      <formula>AE$9&lt;8/24</formula>
    </cfRule>
  </conditionalFormatting>
  <conditionalFormatting sqref="AE76:AF78">
    <cfRule type="expression" dxfId="1350" priority="5">
      <formula>AE$9&gt;=20/24</formula>
    </cfRule>
    <cfRule type="expression" dxfId="1349" priority="6">
      <formula>AND(AE$9&gt;=14/24,AE$9&lt;20/24)</formula>
    </cfRule>
    <cfRule type="expression" dxfId="1348" priority="7">
      <formula>AND(AE$9&gt;=8/24,AE$9&lt;14/24)</formula>
    </cfRule>
    <cfRule type="expression" dxfId="1347" priority="8">
      <formula>AE$9&lt;8/24</formula>
    </cfRule>
  </conditionalFormatting>
  <conditionalFormatting sqref="AE79:AF83">
    <cfRule type="expression" dxfId="1346" priority="1">
      <formula>AE$9&gt;=20/24</formula>
    </cfRule>
    <cfRule type="expression" dxfId="1345" priority="2">
      <formula>AND(AE$9&gt;=14/24,AE$9&lt;20/24)</formula>
    </cfRule>
    <cfRule type="expression" dxfId="1344" priority="3">
      <formula>AND(AE$9&gt;=8/24,AE$9&lt;14/24)</formula>
    </cfRule>
    <cfRule type="expression" dxfId="1343" priority="4">
      <formula>AE$9&lt;8/24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6" id="{E83C0827-35A0-472C-976E-CBEBD8A3765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7" id="{3655E439-5597-4567-9315-30271BDC9BD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8" id="{F73494FC-516E-435E-A6B2-126A1E08588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9" id="{172FD252-DEE8-46A2-A40A-A4C245C88E0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2" id="{CFED55D0-867A-458E-8112-1025CA0CC28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1BB54831-8876-4EF1-9767-5233840453E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9C8C3D94-1108-4660-8354-3E2B29BFDCA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97BD0D19-CA5B-406D-9549-764F1DA6DEF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167A-D0FA-45D5-8C1C-9B5D1F4E0415}">
  <dimension ref="A1:CJ281"/>
  <sheetViews>
    <sheetView workbookViewId="0">
      <pane xSplit="1" ySplit="10" topLeftCell="K76" activePane="bottomRight" state="frozen"/>
      <selection activeCell="L116" sqref="L116"/>
      <selection pane="topRight" activeCell="L116" sqref="L116"/>
      <selection pane="bottomLeft" activeCell="L116" sqref="L116"/>
      <selection pane="bottomRigh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22.42578125" style="1" bestFit="1" customWidth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str">
        <f ca="1">"2080/"&amp;"02/"&amp;INT(MID(CELL("filename",D6),FIND("]",CELL("filename",D6))+1,200))</f>
        <v>2080/02/32</v>
      </c>
      <c r="C4" s="191"/>
      <c r="D4" s="191"/>
      <c r="E4" s="192" t="str">
        <f ca="1">"2079/"&amp;"12/"&amp;INT(MID(CELL("filename",G6),FIND("]",CELL("filename",G6))+1,200))</f>
        <v>2079/12/32</v>
      </c>
      <c r="F4" s="192"/>
      <c r="G4" s="192"/>
      <c r="H4" s="192" t="str">
        <f ca="1">TEXT(E4,"dddd")</f>
        <v>2079/12/32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54</v>
      </c>
      <c r="C5" s="30">
        <f t="shared" si="0"/>
        <v>86</v>
      </c>
      <c r="D5" s="30">
        <f t="shared" si="0"/>
        <v>51.5</v>
      </c>
      <c r="E5" s="30">
        <f t="shared" si="0"/>
        <v>0</v>
      </c>
      <c r="F5" s="30">
        <f t="shared" si="0"/>
        <v>73.2</v>
      </c>
      <c r="G5" s="30">
        <f t="shared" si="0"/>
        <v>74.2</v>
      </c>
      <c r="H5" s="30">
        <f t="shared" si="0"/>
        <v>72.599999999999994</v>
      </c>
      <c r="I5" s="30">
        <f t="shared" si="0"/>
        <v>74.099999999999994</v>
      </c>
      <c r="J5" s="30">
        <f t="shared" si="0"/>
        <v>61.2</v>
      </c>
      <c r="K5" s="30">
        <f t="shared" si="0"/>
        <v>57.8</v>
      </c>
      <c r="L5" s="30">
        <f t="shared" si="0"/>
        <v>57</v>
      </c>
      <c r="M5" s="30">
        <f t="shared" si="0"/>
        <v>71</v>
      </c>
      <c r="N5" s="30">
        <f t="shared" si="0"/>
        <v>76.8</v>
      </c>
      <c r="O5" s="30">
        <f t="shared" si="0"/>
        <v>77.3</v>
      </c>
      <c r="P5" s="30">
        <f t="shared" si="0"/>
        <v>58</v>
      </c>
      <c r="Q5" s="30">
        <f t="shared" si="0"/>
        <v>54</v>
      </c>
      <c r="R5" s="30">
        <f t="shared" si="0"/>
        <v>74.8</v>
      </c>
      <c r="S5" s="30">
        <f t="shared" si="0"/>
        <v>77.599999999999994</v>
      </c>
      <c r="T5" s="30">
        <f t="shared" si="0"/>
        <v>79.400000000000006</v>
      </c>
      <c r="U5" s="30">
        <f t="shared" si="0"/>
        <v>73.099999999999994</v>
      </c>
      <c r="V5" s="30">
        <f t="shared" si="0"/>
        <v>79</v>
      </c>
      <c r="W5" s="30">
        <f t="shared" si="0"/>
        <v>32</v>
      </c>
      <c r="X5" s="30">
        <f t="shared" si="0"/>
        <v>52.1</v>
      </c>
      <c r="Y5" s="30">
        <f t="shared" si="0"/>
        <v>42</v>
      </c>
      <c r="Z5" s="30">
        <f t="shared" si="0"/>
        <v>0</v>
      </c>
      <c r="AA5" s="30">
        <f t="shared" si="0"/>
        <v>57</v>
      </c>
      <c r="AB5" s="30">
        <f t="shared" si="0"/>
        <v>5</v>
      </c>
      <c r="AC5" s="30">
        <f t="shared" si="0"/>
        <v>72.2</v>
      </c>
      <c r="AD5" s="30">
        <f t="shared" si="0"/>
        <v>68</v>
      </c>
      <c r="AE5" s="30">
        <f t="shared" si="0"/>
        <v>0</v>
      </c>
      <c r="AF5" s="30">
        <f>B84</f>
        <v>64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1847MW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</v>
      </c>
      <c r="B7" s="35">
        <f t="shared" ref="B7:AF7" si="1">B91</f>
        <v>1875.1399999999999</v>
      </c>
      <c r="C7" s="35">
        <f t="shared" si="1"/>
        <v>1864.84</v>
      </c>
      <c r="D7" s="35">
        <f t="shared" si="1"/>
        <v>1829.6399999999999</v>
      </c>
      <c r="E7" s="35">
        <f t="shared" si="1"/>
        <v>1820.1399999999999</v>
      </c>
      <c r="F7" s="35">
        <f t="shared" si="1"/>
        <v>68.540000000000006</v>
      </c>
      <c r="G7" s="35">
        <f t="shared" si="1"/>
        <v>1770.7399999999998</v>
      </c>
      <c r="H7" s="35">
        <f t="shared" si="1"/>
        <v>1725.2399999999998</v>
      </c>
      <c r="I7" s="35">
        <f t="shared" si="1"/>
        <v>1728.0399999999997</v>
      </c>
      <c r="J7" s="35">
        <f t="shared" si="1"/>
        <v>1759.04</v>
      </c>
      <c r="K7" s="35">
        <f t="shared" si="1"/>
        <v>1796.34</v>
      </c>
      <c r="L7" s="35">
        <f t="shared" si="1"/>
        <v>1842.6399999999996</v>
      </c>
      <c r="M7" s="35">
        <f t="shared" si="1"/>
        <v>1822.7399999999998</v>
      </c>
      <c r="N7" s="35">
        <f>N91</f>
        <v>1847.34</v>
      </c>
      <c r="O7" s="35">
        <f t="shared" si="1"/>
        <v>1795.9399999999998</v>
      </c>
      <c r="P7" s="35">
        <f t="shared" si="1"/>
        <v>1839.5399999999997</v>
      </c>
      <c r="Q7" s="35">
        <f t="shared" si="1"/>
        <v>1870.9399999999998</v>
      </c>
      <c r="R7" s="35">
        <f t="shared" si="1"/>
        <v>1908.74</v>
      </c>
      <c r="S7" s="35">
        <f t="shared" si="1"/>
        <v>1897.54</v>
      </c>
      <c r="T7" s="35">
        <f t="shared" si="1"/>
        <v>1860.1399999999999</v>
      </c>
      <c r="U7" s="35">
        <f t="shared" si="1"/>
        <v>1825.7399999999998</v>
      </c>
      <c r="V7" s="35">
        <f t="shared" si="1"/>
        <v>1702.1399999999999</v>
      </c>
      <c r="W7" s="35">
        <f t="shared" si="1"/>
        <v>1748.94</v>
      </c>
      <c r="X7" s="35">
        <f t="shared" si="1"/>
        <v>1770.6399999999999</v>
      </c>
      <c r="Y7" s="35">
        <f t="shared" si="1"/>
        <v>1791.6399999999999</v>
      </c>
      <c r="Z7" s="35">
        <f t="shared" si="1"/>
        <v>1829.44</v>
      </c>
      <c r="AA7" s="35">
        <f t="shared" si="1"/>
        <v>129.74</v>
      </c>
      <c r="AB7" s="35">
        <f t="shared" si="1"/>
        <v>1771.9399999999998</v>
      </c>
      <c r="AC7" s="35">
        <f t="shared" si="1"/>
        <v>8.5399999999999991</v>
      </c>
      <c r="AD7" s="35">
        <f t="shared" si="1"/>
        <v>2002.1399999999999</v>
      </c>
      <c r="AE7" s="35">
        <f t="shared" si="1"/>
        <v>2052.4399999999996</v>
      </c>
      <c r="AF7" s="35">
        <f t="shared" si="1"/>
        <v>68.540000000000006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60.7</v>
      </c>
      <c r="C11" s="45">
        <v>60.7</v>
      </c>
      <c r="D11" s="45">
        <v>60.7</v>
      </c>
      <c r="E11" s="45">
        <v>60.7</v>
      </c>
      <c r="F11" s="45" t="s">
        <v>268</v>
      </c>
      <c r="G11" s="45">
        <v>60.7</v>
      </c>
      <c r="H11" s="45">
        <v>60.7</v>
      </c>
      <c r="I11" s="45">
        <v>60.7</v>
      </c>
      <c r="J11" s="45">
        <v>60.7</v>
      </c>
      <c r="K11" s="45">
        <v>60.7</v>
      </c>
      <c r="L11" s="45">
        <v>60.7</v>
      </c>
      <c r="M11" s="45">
        <v>60.7</v>
      </c>
      <c r="N11" s="45">
        <v>60.7</v>
      </c>
      <c r="O11" s="45">
        <v>60.7</v>
      </c>
      <c r="P11" s="45">
        <v>60.7</v>
      </c>
      <c r="Q11" s="45">
        <v>60.7</v>
      </c>
      <c r="R11" s="45">
        <v>60.7</v>
      </c>
      <c r="S11" s="45">
        <v>60</v>
      </c>
      <c r="T11" s="45">
        <v>60</v>
      </c>
      <c r="U11" s="45">
        <v>58.5</v>
      </c>
      <c r="V11" s="45">
        <v>60.4</v>
      </c>
      <c r="W11" s="45">
        <v>60.3</v>
      </c>
      <c r="X11" s="45">
        <v>57.4</v>
      </c>
      <c r="Y11" s="45">
        <v>58</v>
      </c>
      <c r="Z11" s="45">
        <v>60.4</v>
      </c>
      <c r="AA11" s="45"/>
      <c r="AB11" s="45">
        <v>56</v>
      </c>
      <c r="AC11" s="45"/>
      <c r="AD11" s="45">
        <v>54</v>
      </c>
      <c r="AE11" s="45">
        <v>50</v>
      </c>
      <c r="AF11" s="45" t="s">
        <v>268</v>
      </c>
      <c r="AG11" s="46">
        <v>86</v>
      </c>
      <c r="AH11" s="47">
        <f t="shared" ref="AH11:AH76" si="2">MAX(B11:AF11)</f>
        <v>60.7</v>
      </c>
      <c r="AI11" s="48">
        <f t="shared" ref="AI11:AI76" si="3">MIN(B11:AF11)</f>
        <v>50</v>
      </c>
      <c r="AK11" s="45">
        <v>86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>
        <v>0</v>
      </c>
      <c r="C12" s="45">
        <v>0</v>
      </c>
      <c r="D12" s="45">
        <v>0</v>
      </c>
      <c r="E12" s="45">
        <v>0</v>
      </c>
      <c r="F12" s="45" t="s">
        <v>269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/>
      <c r="AB12" s="45">
        <v>0</v>
      </c>
      <c r="AC12" s="45"/>
      <c r="AD12" s="45">
        <v>0</v>
      </c>
      <c r="AE12" s="45">
        <v>0</v>
      </c>
      <c r="AF12" s="45" t="s">
        <v>269</v>
      </c>
      <c r="AG12" s="50">
        <v>54</v>
      </c>
      <c r="AH12" s="47">
        <f t="shared" si="2"/>
        <v>0</v>
      </c>
      <c r="AI12" s="48">
        <f t="shared" si="3"/>
        <v>0</v>
      </c>
      <c r="AK12" s="45">
        <v>54</v>
      </c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45.5</v>
      </c>
      <c r="C13" s="45">
        <v>45.4</v>
      </c>
      <c r="D13" s="45">
        <v>45.4</v>
      </c>
      <c r="E13" s="45">
        <v>45.4</v>
      </c>
      <c r="F13" s="45" t="s">
        <v>268</v>
      </c>
      <c r="G13" s="45">
        <v>45.4</v>
      </c>
      <c r="H13" s="45">
        <v>45.4</v>
      </c>
      <c r="I13" s="45">
        <v>45.4</v>
      </c>
      <c r="J13" s="45">
        <v>45.4</v>
      </c>
      <c r="K13" s="45">
        <v>45.4</v>
      </c>
      <c r="L13" s="45">
        <v>45.4</v>
      </c>
      <c r="M13" s="45">
        <v>45.4</v>
      </c>
      <c r="N13" s="45">
        <v>45.4</v>
      </c>
      <c r="O13" s="45">
        <v>45.4</v>
      </c>
      <c r="P13" s="45">
        <v>45.4</v>
      </c>
      <c r="Q13" s="45">
        <v>46.3</v>
      </c>
      <c r="R13" s="45">
        <v>46.3</v>
      </c>
      <c r="S13" s="45">
        <v>46.3</v>
      </c>
      <c r="T13" s="45">
        <v>46.5</v>
      </c>
      <c r="U13" s="45">
        <v>46.5</v>
      </c>
      <c r="V13" s="45">
        <v>46.3</v>
      </c>
      <c r="W13" s="45">
        <v>46.5</v>
      </c>
      <c r="X13" s="45">
        <v>46.4</v>
      </c>
      <c r="Y13" s="45">
        <v>46.5</v>
      </c>
      <c r="Z13" s="45">
        <v>46.5</v>
      </c>
      <c r="AA13" s="45"/>
      <c r="AB13" s="45">
        <v>46.2</v>
      </c>
      <c r="AC13" s="45"/>
      <c r="AD13" s="45">
        <v>46.2</v>
      </c>
      <c r="AE13" s="45">
        <v>46.2</v>
      </c>
      <c r="AF13" s="45" t="s">
        <v>268</v>
      </c>
      <c r="AG13" s="46">
        <v>52.4</v>
      </c>
      <c r="AH13" s="47">
        <f t="shared" si="2"/>
        <v>46.5</v>
      </c>
      <c r="AI13" s="48">
        <f t="shared" si="3"/>
        <v>45.4</v>
      </c>
      <c r="AK13" s="45">
        <v>52.4</v>
      </c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50.7</v>
      </c>
      <c r="C14" s="45">
        <v>50.4</v>
      </c>
      <c r="D14" s="45">
        <v>50.5</v>
      </c>
      <c r="E14" s="45">
        <v>50.5</v>
      </c>
      <c r="F14" s="58" t="s">
        <v>270</v>
      </c>
      <c r="G14" s="45">
        <v>50.5</v>
      </c>
      <c r="H14" s="45">
        <v>50.5</v>
      </c>
      <c r="I14" s="45">
        <v>50.5</v>
      </c>
      <c r="J14" s="45">
        <v>50.5</v>
      </c>
      <c r="K14" s="45">
        <v>50.5</v>
      </c>
      <c r="L14" s="45">
        <v>50.5</v>
      </c>
      <c r="M14" s="45">
        <v>50.5</v>
      </c>
      <c r="N14" s="45">
        <v>50.5</v>
      </c>
      <c r="O14" s="45">
        <v>50.5</v>
      </c>
      <c r="P14" s="45">
        <v>50.5</v>
      </c>
      <c r="Q14" s="45">
        <v>50.5</v>
      </c>
      <c r="R14" s="45">
        <v>50.5</v>
      </c>
      <c r="S14" s="45">
        <v>50.5</v>
      </c>
      <c r="T14" s="58">
        <v>50.5</v>
      </c>
      <c r="U14" s="58">
        <v>50.5</v>
      </c>
      <c r="V14" s="58">
        <v>50.4</v>
      </c>
      <c r="W14" s="58">
        <v>50.2</v>
      </c>
      <c r="X14" s="58">
        <v>50.2</v>
      </c>
      <c r="Y14" s="58">
        <v>50.4</v>
      </c>
      <c r="Z14" s="45">
        <v>50.6</v>
      </c>
      <c r="AA14" s="45"/>
      <c r="AB14" s="45">
        <v>50.4</v>
      </c>
      <c r="AC14" s="45"/>
      <c r="AD14" s="45">
        <v>50.4</v>
      </c>
      <c r="AE14" s="45">
        <v>50.4</v>
      </c>
      <c r="AF14" s="45" t="s">
        <v>270</v>
      </c>
      <c r="AG14" s="50">
        <v>50</v>
      </c>
      <c r="AH14" s="47">
        <f t="shared" si="2"/>
        <v>50.7</v>
      </c>
      <c r="AI14" s="48">
        <f t="shared" si="3"/>
        <v>50.2</v>
      </c>
      <c r="AK14" s="45">
        <v>50</v>
      </c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43.2</v>
      </c>
      <c r="C15" s="45">
        <v>43.2</v>
      </c>
      <c r="D15" s="45">
        <v>43.3</v>
      </c>
      <c r="E15" s="45">
        <v>43.3</v>
      </c>
      <c r="F15" s="45" t="s">
        <v>271</v>
      </c>
      <c r="G15" s="45">
        <v>43.3</v>
      </c>
      <c r="H15" s="45">
        <v>43.3</v>
      </c>
      <c r="I15" s="45">
        <v>43.3</v>
      </c>
      <c r="J15" s="45">
        <v>43.3</v>
      </c>
      <c r="K15" s="45">
        <v>43.3</v>
      </c>
      <c r="L15" s="45">
        <v>43.3</v>
      </c>
      <c r="M15" s="45">
        <v>43.3</v>
      </c>
      <c r="N15" s="45">
        <v>43.3</v>
      </c>
      <c r="O15" s="45">
        <v>43.3</v>
      </c>
      <c r="P15" s="45">
        <v>43.3</v>
      </c>
      <c r="Q15" s="45">
        <v>43.3</v>
      </c>
      <c r="R15" s="45">
        <v>43.3</v>
      </c>
      <c r="S15" s="45">
        <v>43.3</v>
      </c>
      <c r="T15" s="45">
        <v>43.3</v>
      </c>
      <c r="U15" s="45">
        <v>43.3</v>
      </c>
      <c r="V15" s="45">
        <v>45.8</v>
      </c>
      <c r="W15" s="45">
        <v>45.8</v>
      </c>
      <c r="X15" s="45">
        <v>45.8</v>
      </c>
      <c r="Y15" s="45">
        <v>45.8</v>
      </c>
      <c r="Z15" s="45">
        <v>45.8</v>
      </c>
      <c r="AA15" s="45"/>
      <c r="AB15" s="45">
        <v>45.9</v>
      </c>
      <c r="AC15" s="45"/>
      <c r="AD15" s="45">
        <v>45.9</v>
      </c>
      <c r="AE15" s="45">
        <v>45.9</v>
      </c>
      <c r="AF15" s="45" t="s">
        <v>271</v>
      </c>
      <c r="AG15" s="50">
        <v>45</v>
      </c>
      <c r="AH15" s="47">
        <f t="shared" si="2"/>
        <v>45.9</v>
      </c>
      <c r="AI15" s="48">
        <f t="shared" si="3"/>
        <v>43.2</v>
      </c>
      <c r="AK15" s="45">
        <v>45</v>
      </c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>
        <v>44</v>
      </c>
      <c r="C16" s="45">
        <v>44</v>
      </c>
      <c r="D16" s="45">
        <v>44</v>
      </c>
      <c r="E16" s="45">
        <v>44</v>
      </c>
      <c r="F16" s="45" t="s">
        <v>272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0</v>
      </c>
      <c r="W16" s="45">
        <v>44</v>
      </c>
      <c r="X16" s="45">
        <v>44</v>
      </c>
      <c r="Y16" s="45">
        <v>44</v>
      </c>
      <c r="Z16" s="45">
        <v>44</v>
      </c>
      <c r="AA16" s="45"/>
      <c r="AB16" s="45">
        <v>44</v>
      </c>
      <c r="AC16" s="45"/>
      <c r="AD16" s="45">
        <v>44</v>
      </c>
      <c r="AE16" s="45">
        <v>44</v>
      </c>
      <c r="AF16" s="45" t="s">
        <v>272</v>
      </c>
      <c r="AG16" s="50">
        <v>44</v>
      </c>
      <c r="AH16" s="47">
        <f>MAX(B16:AG16)</f>
        <v>44</v>
      </c>
      <c r="AI16" s="48">
        <f>MIN(B16:AG16)</f>
        <v>0</v>
      </c>
      <c r="AK16" s="45">
        <v>44</v>
      </c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>
        <v>40.200000000000003</v>
      </c>
      <c r="C17" s="45">
        <v>40.200000000000003</v>
      </c>
      <c r="D17" s="45">
        <v>40.200000000000003</v>
      </c>
      <c r="E17" s="45">
        <v>40.200000000000003</v>
      </c>
      <c r="F17" s="45"/>
      <c r="G17" s="45">
        <v>40.200000000000003</v>
      </c>
      <c r="H17" s="45">
        <v>40.200000000000003</v>
      </c>
      <c r="I17" s="45">
        <v>40.200000000000003</v>
      </c>
      <c r="J17" s="45">
        <v>40.200000000000003</v>
      </c>
      <c r="K17" s="45">
        <v>40.200000000000003</v>
      </c>
      <c r="L17" s="45">
        <v>40.200000000000003</v>
      </c>
      <c r="M17" s="45">
        <v>40.200000000000003</v>
      </c>
      <c r="N17" s="45">
        <v>40.200000000000003</v>
      </c>
      <c r="O17" s="45">
        <v>40.200000000000003</v>
      </c>
      <c r="P17" s="45">
        <v>40.200000000000003</v>
      </c>
      <c r="Q17" s="45">
        <v>40.200000000000003</v>
      </c>
      <c r="R17" s="45">
        <v>40.200000000000003</v>
      </c>
      <c r="S17" s="45">
        <v>40.200000000000003</v>
      </c>
      <c r="T17" s="45">
        <v>40.200000000000003</v>
      </c>
      <c r="U17" s="45">
        <v>40.200000000000003</v>
      </c>
      <c r="V17" s="45">
        <v>40.200000000000003</v>
      </c>
      <c r="W17" s="45">
        <v>35</v>
      </c>
      <c r="X17" s="45">
        <v>35</v>
      </c>
      <c r="Y17" s="45">
        <v>35</v>
      </c>
      <c r="Z17" s="45">
        <v>40</v>
      </c>
      <c r="AA17" s="45"/>
      <c r="AB17" s="45">
        <v>0</v>
      </c>
      <c r="AC17" s="45"/>
      <c r="AD17" s="45">
        <v>24</v>
      </c>
      <c r="AE17" s="45">
        <v>30</v>
      </c>
      <c r="AF17" s="45"/>
      <c r="AG17" s="50">
        <v>42</v>
      </c>
      <c r="AH17" s="47">
        <f t="shared" si="2"/>
        <v>40.200000000000003</v>
      </c>
      <c r="AI17" s="48">
        <f t="shared" si="3"/>
        <v>0</v>
      </c>
      <c r="AK17" s="45">
        <v>42</v>
      </c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>
        <v>35</v>
      </c>
      <c r="C18" s="45">
        <v>35</v>
      </c>
      <c r="D18" s="45">
        <v>35</v>
      </c>
      <c r="E18" s="45">
        <v>35</v>
      </c>
      <c r="F18" s="45">
        <v>35</v>
      </c>
      <c r="G18" s="45">
        <v>35</v>
      </c>
      <c r="H18" s="45">
        <v>35</v>
      </c>
      <c r="I18" s="45">
        <v>35</v>
      </c>
      <c r="J18" s="45">
        <v>35</v>
      </c>
      <c r="K18" s="45">
        <v>35</v>
      </c>
      <c r="L18" s="45">
        <v>35</v>
      </c>
      <c r="M18" s="45">
        <v>35</v>
      </c>
      <c r="N18" s="45">
        <v>35</v>
      </c>
      <c r="O18" s="45">
        <v>35</v>
      </c>
      <c r="P18" s="45">
        <v>35</v>
      </c>
      <c r="Q18" s="45">
        <v>35</v>
      </c>
      <c r="R18" s="45">
        <v>35</v>
      </c>
      <c r="S18" s="45">
        <v>35</v>
      </c>
      <c r="T18" s="45">
        <v>35</v>
      </c>
      <c r="U18" s="45">
        <v>35</v>
      </c>
      <c r="V18" s="45">
        <v>35</v>
      </c>
      <c r="W18" s="45">
        <v>35</v>
      </c>
      <c r="X18" s="45">
        <v>35</v>
      </c>
      <c r="Y18" s="45">
        <v>35</v>
      </c>
      <c r="Z18" s="45">
        <v>35</v>
      </c>
      <c r="AA18" s="45">
        <v>35</v>
      </c>
      <c r="AB18" s="45">
        <v>35</v>
      </c>
      <c r="AC18" s="45"/>
      <c r="AD18" s="45">
        <v>35</v>
      </c>
      <c r="AE18" s="45">
        <v>35</v>
      </c>
      <c r="AF18" s="45">
        <v>35</v>
      </c>
      <c r="AG18" s="50">
        <v>38.46</v>
      </c>
      <c r="AH18" s="47">
        <f t="shared" si="2"/>
        <v>35</v>
      </c>
      <c r="AI18" s="48">
        <f t="shared" si="3"/>
        <v>35</v>
      </c>
      <c r="AK18" s="45">
        <v>38.46</v>
      </c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30</v>
      </c>
      <c r="C19" s="45">
        <v>30</v>
      </c>
      <c r="D19" s="45">
        <v>30</v>
      </c>
      <c r="E19" s="45">
        <v>30</v>
      </c>
      <c r="F19" s="45">
        <v>30</v>
      </c>
      <c r="G19" s="45">
        <v>30</v>
      </c>
      <c r="H19" s="45">
        <v>30</v>
      </c>
      <c r="I19" s="45">
        <v>30</v>
      </c>
      <c r="J19" s="45">
        <v>30</v>
      </c>
      <c r="K19" s="45">
        <v>30</v>
      </c>
      <c r="L19" s="45">
        <v>30</v>
      </c>
      <c r="M19" s="45">
        <v>30</v>
      </c>
      <c r="N19" s="45">
        <v>30</v>
      </c>
      <c r="O19" s="45">
        <v>30</v>
      </c>
      <c r="P19" s="45">
        <v>30</v>
      </c>
      <c r="Q19" s="45">
        <v>30</v>
      </c>
      <c r="R19" s="45">
        <v>30</v>
      </c>
      <c r="S19" s="45">
        <v>30</v>
      </c>
      <c r="T19" s="45">
        <v>30</v>
      </c>
      <c r="U19" s="45">
        <v>30</v>
      </c>
      <c r="V19" s="45">
        <v>30</v>
      </c>
      <c r="W19" s="45">
        <v>30</v>
      </c>
      <c r="X19" s="45">
        <v>30</v>
      </c>
      <c r="Y19" s="45">
        <v>30</v>
      </c>
      <c r="Z19" s="45">
        <v>30</v>
      </c>
      <c r="AA19" s="45">
        <v>30</v>
      </c>
      <c r="AB19" s="45">
        <v>36</v>
      </c>
      <c r="AC19" s="45"/>
      <c r="AD19" s="45">
        <v>36</v>
      </c>
      <c r="AE19" s="45">
        <v>36</v>
      </c>
      <c r="AF19" s="45">
        <v>30</v>
      </c>
      <c r="AG19" s="50">
        <v>36</v>
      </c>
      <c r="AH19" s="47">
        <f t="shared" si="2"/>
        <v>36</v>
      </c>
      <c r="AI19" s="48">
        <f t="shared" si="3"/>
        <v>30</v>
      </c>
      <c r="AK19" s="45">
        <v>36</v>
      </c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29</v>
      </c>
      <c r="C20" s="45">
        <v>29</v>
      </c>
      <c r="D20" s="45">
        <v>29.3</v>
      </c>
      <c r="E20" s="45">
        <v>29.3</v>
      </c>
      <c r="F20" s="45" t="s">
        <v>268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15</v>
      </c>
      <c r="Y20" s="45">
        <v>15</v>
      </c>
      <c r="Z20" s="45">
        <v>15</v>
      </c>
      <c r="AA20" s="45"/>
      <c r="AB20" s="45">
        <v>7.8</v>
      </c>
      <c r="AC20" s="45"/>
      <c r="AD20" s="45">
        <v>7.8</v>
      </c>
      <c r="AE20" s="45">
        <v>26</v>
      </c>
      <c r="AF20" s="45" t="s">
        <v>268</v>
      </c>
      <c r="AG20" s="51">
        <v>30</v>
      </c>
      <c r="AH20" s="47">
        <f t="shared" si="2"/>
        <v>29.3</v>
      </c>
      <c r="AI20" s="48">
        <f t="shared" si="3"/>
        <v>7.8</v>
      </c>
      <c r="AK20" s="45">
        <v>30</v>
      </c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18.5</v>
      </c>
      <c r="C21" s="45">
        <v>15.2</v>
      </c>
      <c r="D21" s="45">
        <v>12.6</v>
      </c>
      <c r="E21" s="45">
        <v>12.6</v>
      </c>
      <c r="F21" s="45" t="s">
        <v>270</v>
      </c>
      <c r="G21" s="45">
        <v>12.6</v>
      </c>
      <c r="H21" s="45">
        <v>12.6</v>
      </c>
      <c r="I21" s="45">
        <v>12.6</v>
      </c>
      <c r="J21" s="45">
        <v>12.6</v>
      </c>
      <c r="K21" s="45">
        <v>12.6</v>
      </c>
      <c r="L21" s="45">
        <v>12.6</v>
      </c>
      <c r="M21" s="45">
        <v>12.6</v>
      </c>
      <c r="N21" s="45">
        <v>12.6</v>
      </c>
      <c r="O21" s="45">
        <v>12.6</v>
      </c>
      <c r="P21" s="45">
        <v>12.6</v>
      </c>
      <c r="Q21" s="45">
        <v>12.6</v>
      </c>
      <c r="R21" s="45">
        <v>12.6</v>
      </c>
      <c r="S21" s="45">
        <v>12.6</v>
      </c>
      <c r="T21" s="45">
        <v>12.6</v>
      </c>
      <c r="U21" s="45">
        <v>12.6</v>
      </c>
      <c r="V21" s="45">
        <v>12.6</v>
      </c>
      <c r="W21" s="45">
        <v>12.6</v>
      </c>
      <c r="X21" s="45">
        <v>12.6</v>
      </c>
      <c r="Y21" s="45">
        <v>12.6</v>
      </c>
      <c r="Z21" s="45">
        <v>12.6</v>
      </c>
      <c r="AA21" s="45"/>
      <c r="AB21" s="45">
        <v>0</v>
      </c>
      <c r="AC21" s="45"/>
      <c r="AD21" s="45">
        <v>0</v>
      </c>
      <c r="AE21" s="45">
        <v>20.7</v>
      </c>
      <c r="AF21" s="45" t="s">
        <v>270</v>
      </c>
      <c r="AG21" s="50">
        <v>24.2</v>
      </c>
      <c r="AH21" s="47">
        <f t="shared" si="2"/>
        <v>20.7</v>
      </c>
      <c r="AI21" s="48">
        <f t="shared" si="3"/>
        <v>0</v>
      </c>
      <c r="AK21" s="45">
        <v>29.04</v>
      </c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17</v>
      </c>
      <c r="C22" s="45">
        <v>14</v>
      </c>
      <c r="D22" s="45">
        <v>14</v>
      </c>
      <c r="E22" s="45">
        <v>14</v>
      </c>
      <c r="F22" s="45" t="s">
        <v>275</v>
      </c>
      <c r="G22" s="45">
        <v>14</v>
      </c>
      <c r="H22" s="45">
        <v>14</v>
      </c>
      <c r="I22" s="45">
        <v>14</v>
      </c>
      <c r="J22" s="45">
        <v>14</v>
      </c>
      <c r="K22" s="45">
        <v>14</v>
      </c>
      <c r="L22" s="45">
        <v>14</v>
      </c>
      <c r="M22" s="45">
        <v>14</v>
      </c>
      <c r="N22" s="45">
        <v>14</v>
      </c>
      <c r="O22" s="45">
        <v>14</v>
      </c>
      <c r="P22" s="45">
        <v>14</v>
      </c>
      <c r="Q22" s="45">
        <v>14</v>
      </c>
      <c r="R22" s="45">
        <v>14</v>
      </c>
      <c r="S22" s="45">
        <v>14</v>
      </c>
      <c r="T22" s="45">
        <v>14</v>
      </c>
      <c r="U22" s="45">
        <v>14</v>
      </c>
      <c r="V22" s="45">
        <v>14</v>
      </c>
      <c r="W22" s="45">
        <v>14</v>
      </c>
      <c r="X22" s="45">
        <v>14</v>
      </c>
      <c r="Y22" s="45">
        <v>14</v>
      </c>
      <c r="Z22" s="45">
        <v>14</v>
      </c>
      <c r="AA22" s="45"/>
      <c r="AB22" s="45">
        <v>14</v>
      </c>
      <c r="AC22" s="45"/>
      <c r="AD22" s="45">
        <v>14</v>
      </c>
      <c r="AE22" s="45">
        <v>14</v>
      </c>
      <c r="AF22" s="45" t="s">
        <v>275</v>
      </c>
      <c r="AG22" s="50">
        <v>28</v>
      </c>
      <c r="AH22" s="47">
        <f t="shared" si="2"/>
        <v>17</v>
      </c>
      <c r="AI22" s="48">
        <f t="shared" si="3"/>
        <v>14</v>
      </c>
      <c r="AK22" s="45">
        <v>28</v>
      </c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18</v>
      </c>
      <c r="C23" s="45">
        <v>18</v>
      </c>
      <c r="D23" s="45">
        <v>18</v>
      </c>
      <c r="E23" s="45">
        <v>18</v>
      </c>
      <c r="F23" s="45" t="s">
        <v>276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/>
      <c r="AB23" s="45">
        <v>18</v>
      </c>
      <c r="AC23" s="45"/>
      <c r="AD23" s="45">
        <v>18</v>
      </c>
      <c r="AE23" s="45">
        <v>9</v>
      </c>
      <c r="AF23" s="45" t="s">
        <v>276</v>
      </c>
      <c r="AG23" s="51">
        <v>30</v>
      </c>
      <c r="AH23" s="47">
        <f t="shared" si="2"/>
        <v>18</v>
      </c>
      <c r="AI23" s="48">
        <f t="shared" si="3"/>
        <v>9</v>
      </c>
      <c r="AK23" s="45">
        <v>27</v>
      </c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22.3</v>
      </c>
      <c r="C24" s="45">
        <v>17.3</v>
      </c>
      <c r="D24" s="45">
        <v>6.5</v>
      </c>
      <c r="E24" s="45">
        <v>6.5</v>
      </c>
      <c r="F24" s="45" t="s">
        <v>277</v>
      </c>
      <c r="G24" s="45">
        <v>6.5</v>
      </c>
      <c r="H24" s="45">
        <v>6.5</v>
      </c>
      <c r="I24" s="45">
        <v>6.5</v>
      </c>
      <c r="J24" s="45">
        <v>6.5</v>
      </c>
      <c r="K24" s="45">
        <v>6.5</v>
      </c>
      <c r="L24" s="45">
        <v>6.5</v>
      </c>
      <c r="M24" s="45">
        <v>6.5</v>
      </c>
      <c r="N24" s="45">
        <v>6.5</v>
      </c>
      <c r="O24" s="45">
        <v>6.5</v>
      </c>
      <c r="P24" s="45">
        <v>6.5</v>
      </c>
      <c r="Q24" s="45">
        <v>6.5</v>
      </c>
      <c r="R24" s="45">
        <v>6.5</v>
      </c>
      <c r="S24" s="45">
        <v>6.5</v>
      </c>
      <c r="T24" s="45">
        <v>6.5</v>
      </c>
      <c r="U24" s="45">
        <v>6.5</v>
      </c>
      <c r="V24" s="45">
        <v>6.5</v>
      </c>
      <c r="W24" s="45">
        <v>6.5</v>
      </c>
      <c r="X24" s="45">
        <v>6.5</v>
      </c>
      <c r="Y24" s="45">
        <v>6.5</v>
      </c>
      <c r="Z24" s="45">
        <v>6.5</v>
      </c>
      <c r="AA24" s="45"/>
      <c r="AB24" s="45">
        <v>25.9</v>
      </c>
      <c r="AC24" s="45"/>
      <c r="AD24" s="45">
        <v>25.9</v>
      </c>
      <c r="AE24" s="45">
        <v>25.9</v>
      </c>
      <c r="AF24" s="45" t="s">
        <v>277</v>
      </c>
      <c r="AG24" s="50">
        <v>25</v>
      </c>
      <c r="AH24" s="47">
        <f t="shared" si="2"/>
        <v>25.9</v>
      </c>
      <c r="AI24" s="48">
        <f t="shared" si="3"/>
        <v>6.5</v>
      </c>
      <c r="AK24" s="45">
        <v>25</v>
      </c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</v>
      </c>
      <c r="C25" s="45">
        <v>14</v>
      </c>
      <c r="D25" s="45">
        <v>14</v>
      </c>
      <c r="E25" s="45">
        <v>14</v>
      </c>
      <c r="F25" s="45"/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/>
      <c r="AB25" s="45">
        <v>0</v>
      </c>
      <c r="AC25" s="45"/>
      <c r="AD25" s="45">
        <v>0</v>
      </c>
      <c r="AE25" s="45">
        <v>0</v>
      </c>
      <c r="AF25" s="45"/>
      <c r="AG25" s="50">
        <v>25</v>
      </c>
      <c r="AH25" s="47">
        <f t="shared" si="2"/>
        <v>14</v>
      </c>
      <c r="AI25" s="48">
        <f t="shared" si="3"/>
        <v>0</v>
      </c>
      <c r="AK25" s="45">
        <v>25</v>
      </c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21.5</v>
      </c>
      <c r="C26" s="45">
        <v>21.5</v>
      </c>
      <c r="D26" s="45">
        <v>21.5</v>
      </c>
      <c r="E26" s="45">
        <v>21.5</v>
      </c>
      <c r="F26" s="45"/>
      <c r="G26" s="45">
        <v>21.5</v>
      </c>
      <c r="H26" s="45">
        <v>21.5</v>
      </c>
      <c r="I26" s="45">
        <v>21.5</v>
      </c>
      <c r="J26" s="45">
        <v>21.5</v>
      </c>
      <c r="K26" s="45">
        <v>21.5</v>
      </c>
      <c r="L26" s="45">
        <v>21.5</v>
      </c>
      <c r="M26" s="45">
        <v>21.5</v>
      </c>
      <c r="N26" s="45">
        <v>21.5</v>
      </c>
      <c r="O26" s="45">
        <v>21.5</v>
      </c>
      <c r="P26" s="45">
        <v>21.5</v>
      </c>
      <c r="Q26" s="45">
        <v>21.5</v>
      </c>
      <c r="R26" s="45">
        <v>21.5</v>
      </c>
      <c r="S26" s="45">
        <v>21.5</v>
      </c>
      <c r="T26" s="45">
        <v>21.5</v>
      </c>
      <c r="U26" s="45">
        <v>21.5</v>
      </c>
      <c r="V26" s="45">
        <v>21.5</v>
      </c>
      <c r="W26" s="45">
        <v>21.5</v>
      </c>
      <c r="X26" s="45">
        <v>21.5</v>
      </c>
      <c r="Y26" s="45">
        <v>21.5</v>
      </c>
      <c r="Z26" s="45">
        <v>21.5</v>
      </c>
      <c r="AA26" s="45">
        <v>21.5</v>
      </c>
      <c r="AB26" s="45">
        <v>21.5</v>
      </c>
      <c r="AC26" s="45"/>
      <c r="AD26" s="45">
        <v>21.5</v>
      </c>
      <c r="AE26" s="45">
        <v>21.5</v>
      </c>
      <c r="AF26" s="45"/>
      <c r="AG26" s="50">
        <v>25</v>
      </c>
      <c r="AH26" s="47">
        <f t="shared" si="2"/>
        <v>21.5</v>
      </c>
      <c r="AI26" s="48">
        <f t="shared" si="3"/>
        <v>21.5</v>
      </c>
      <c r="AK26" s="45">
        <v>25</v>
      </c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25</v>
      </c>
      <c r="C27" s="45">
        <v>25</v>
      </c>
      <c r="D27" s="45">
        <v>25</v>
      </c>
      <c r="E27" s="45">
        <v>25</v>
      </c>
      <c r="F27" s="45"/>
      <c r="G27" s="45">
        <v>25</v>
      </c>
      <c r="H27" s="45">
        <v>25</v>
      </c>
      <c r="I27" s="45">
        <v>25</v>
      </c>
      <c r="J27" s="45">
        <v>25</v>
      </c>
      <c r="K27" s="45">
        <v>25</v>
      </c>
      <c r="L27" s="45">
        <v>25</v>
      </c>
      <c r="M27" s="45">
        <v>25</v>
      </c>
      <c r="N27" s="45">
        <v>25</v>
      </c>
      <c r="O27" s="45">
        <v>25</v>
      </c>
      <c r="P27" s="45">
        <v>25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25</v>
      </c>
      <c r="Z27" s="45">
        <v>25</v>
      </c>
      <c r="AA27" s="45"/>
      <c r="AB27" s="45">
        <v>25</v>
      </c>
      <c r="AC27" s="45"/>
      <c r="AD27" s="45">
        <v>25</v>
      </c>
      <c r="AE27" s="45">
        <v>25</v>
      </c>
      <c r="AF27" s="45"/>
      <c r="AG27" s="50">
        <v>25</v>
      </c>
      <c r="AH27" s="47">
        <f t="shared" si="2"/>
        <v>25</v>
      </c>
      <c r="AI27" s="48">
        <f t="shared" si="3"/>
        <v>25</v>
      </c>
      <c r="AK27" s="45">
        <v>25</v>
      </c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18.100000000000001</v>
      </c>
      <c r="C28" s="45">
        <v>19.100000000000001</v>
      </c>
      <c r="D28" s="45">
        <v>23.7</v>
      </c>
      <c r="E28" s="45">
        <v>23.7</v>
      </c>
      <c r="F28" s="45"/>
      <c r="G28" s="45">
        <v>23.7</v>
      </c>
      <c r="H28" s="45">
        <v>23.7</v>
      </c>
      <c r="I28" s="45">
        <v>23.7</v>
      </c>
      <c r="J28" s="45">
        <v>23.7</v>
      </c>
      <c r="K28" s="45">
        <v>23.7</v>
      </c>
      <c r="L28" s="45">
        <v>23.7</v>
      </c>
      <c r="M28" s="45">
        <v>23.7</v>
      </c>
      <c r="N28" s="45">
        <v>23.7</v>
      </c>
      <c r="O28" s="45">
        <v>23.7</v>
      </c>
      <c r="P28" s="45">
        <v>23.7</v>
      </c>
      <c r="Q28" s="45">
        <v>23.7</v>
      </c>
      <c r="R28" s="45">
        <v>23.7</v>
      </c>
      <c r="S28" s="45">
        <v>23.7</v>
      </c>
      <c r="T28" s="45">
        <v>23.7</v>
      </c>
      <c r="U28" s="45">
        <v>23.7</v>
      </c>
      <c r="V28" s="45">
        <v>23.7</v>
      </c>
      <c r="W28" s="45">
        <v>23.7</v>
      </c>
      <c r="X28" s="45">
        <v>23.7</v>
      </c>
      <c r="Y28" s="45">
        <v>23.7</v>
      </c>
      <c r="Z28" s="45">
        <v>23.7</v>
      </c>
      <c r="AA28" s="45"/>
      <c r="AB28" s="45">
        <v>23.7</v>
      </c>
      <c r="AC28" s="45"/>
      <c r="AD28" s="45">
        <v>23.7</v>
      </c>
      <c r="AE28" s="45">
        <v>23.7</v>
      </c>
      <c r="AF28" s="45"/>
      <c r="AG28" s="50">
        <v>23.5</v>
      </c>
      <c r="AH28" s="47">
        <f t="shared" si="2"/>
        <v>23.7</v>
      </c>
      <c r="AI28" s="48">
        <f t="shared" si="3"/>
        <v>18.100000000000001</v>
      </c>
      <c r="AK28" s="45">
        <v>23.5</v>
      </c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20.5</v>
      </c>
      <c r="C29" s="45">
        <v>20.5</v>
      </c>
      <c r="D29" s="45">
        <v>20.5</v>
      </c>
      <c r="E29" s="45">
        <v>20.5</v>
      </c>
      <c r="F29" s="45"/>
      <c r="G29" s="45">
        <v>20.5</v>
      </c>
      <c r="H29" s="45">
        <v>20.5</v>
      </c>
      <c r="I29" s="45">
        <v>20.5</v>
      </c>
      <c r="J29" s="45">
        <v>20.5</v>
      </c>
      <c r="K29" s="45">
        <v>20.5</v>
      </c>
      <c r="L29" s="45">
        <v>20.5</v>
      </c>
      <c r="M29" s="45">
        <v>20.5</v>
      </c>
      <c r="N29" s="45">
        <v>20.5</v>
      </c>
      <c r="O29" s="45">
        <v>20.5</v>
      </c>
      <c r="P29" s="45">
        <v>20.5</v>
      </c>
      <c r="Q29" s="45">
        <v>20.5</v>
      </c>
      <c r="R29" s="45">
        <v>20.5</v>
      </c>
      <c r="S29" s="45">
        <v>20.5</v>
      </c>
      <c r="T29" s="45">
        <v>20.5</v>
      </c>
      <c r="U29" s="45">
        <v>20.5</v>
      </c>
      <c r="V29" s="45">
        <v>20.5</v>
      </c>
      <c r="W29" s="45">
        <v>20.5</v>
      </c>
      <c r="X29" s="45">
        <v>20.5</v>
      </c>
      <c r="Y29" s="45">
        <v>20.5</v>
      </c>
      <c r="Z29" s="45">
        <v>20.5</v>
      </c>
      <c r="AA29" s="45">
        <v>20.5</v>
      </c>
      <c r="AB29" s="45">
        <v>20.5</v>
      </c>
      <c r="AC29" s="45"/>
      <c r="AD29" s="45">
        <v>20.5</v>
      </c>
      <c r="AE29" s="45">
        <v>20.5</v>
      </c>
      <c r="AF29" s="45"/>
      <c r="AG29" s="50">
        <v>22.2</v>
      </c>
      <c r="AH29" s="47">
        <f t="shared" si="2"/>
        <v>20.5</v>
      </c>
      <c r="AI29" s="48">
        <f t="shared" si="3"/>
        <v>20.5</v>
      </c>
      <c r="AK29" s="45">
        <v>22.2</v>
      </c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19.2</v>
      </c>
      <c r="C30" s="45">
        <v>19.2</v>
      </c>
      <c r="D30" s="45">
        <v>19.2</v>
      </c>
      <c r="E30" s="45">
        <v>19.2</v>
      </c>
      <c r="F30" s="45"/>
      <c r="G30" s="45">
        <v>19.2</v>
      </c>
      <c r="H30" s="45">
        <v>19.2</v>
      </c>
      <c r="I30" s="45">
        <v>19.2</v>
      </c>
      <c r="J30" s="45">
        <v>19.2</v>
      </c>
      <c r="K30" s="45">
        <v>19.2</v>
      </c>
      <c r="L30" s="45">
        <v>19.2</v>
      </c>
      <c r="M30" s="45">
        <v>19.2</v>
      </c>
      <c r="N30" s="45">
        <v>19.2</v>
      </c>
      <c r="O30" s="45">
        <v>19.2</v>
      </c>
      <c r="P30" s="45">
        <v>19.2</v>
      </c>
      <c r="Q30" s="45">
        <v>19.2</v>
      </c>
      <c r="R30" s="45">
        <v>19.2</v>
      </c>
      <c r="S30" s="45">
        <v>19.2</v>
      </c>
      <c r="T30" s="45">
        <v>19.2</v>
      </c>
      <c r="U30" s="45">
        <v>19.2</v>
      </c>
      <c r="V30" s="45">
        <v>19.2</v>
      </c>
      <c r="W30" s="45">
        <v>19.2</v>
      </c>
      <c r="X30" s="45">
        <v>19.2</v>
      </c>
      <c r="Y30" s="45">
        <v>19.2</v>
      </c>
      <c r="Z30" s="45">
        <v>19.2</v>
      </c>
      <c r="AA30" s="45">
        <v>19.2</v>
      </c>
      <c r="AB30" s="45">
        <v>19.2</v>
      </c>
      <c r="AC30" s="45"/>
      <c r="AD30" s="45">
        <v>19.2</v>
      </c>
      <c r="AE30" s="45">
        <v>19.2</v>
      </c>
      <c r="AF30" s="45"/>
      <c r="AG30" s="50">
        <v>22.1</v>
      </c>
      <c r="AH30" s="47">
        <f t="shared" si="2"/>
        <v>19.2</v>
      </c>
      <c r="AI30" s="48">
        <f t="shared" si="3"/>
        <v>19.2</v>
      </c>
      <c r="AK30" s="45">
        <v>22.1</v>
      </c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15.5</v>
      </c>
      <c r="C31" s="45">
        <v>15.5</v>
      </c>
      <c r="D31" s="45">
        <v>15.5</v>
      </c>
      <c r="E31" s="45">
        <v>15.5</v>
      </c>
      <c r="F31" s="45"/>
      <c r="G31" s="45">
        <v>15.5</v>
      </c>
      <c r="H31" s="45">
        <v>15.5</v>
      </c>
      <c r="I31" s="45">
        <v>15.5</v>
      </c>
      <c r="J31" s="45">
        <v>15.5</v>
      </c>
      <c r="K31" s="45">
        <v>15.5</v>
      </c>
      <c r="L31" s="45">
        <v>15.5</v>
      </c>
      <c r="M31" s="45">
        <v>15.5</v>
      </c>
      <c r="N31" s="45">
        <v>15.5</v>
      </c>
      <c r="O31" s="45">
        <v>15.5</v>
      </c>
      <c r="P31" s="45">
        <v>15.5</v>
      </c>
      <c r="Q31" s="45">
        <v>15.5</v>
      </c>
      <c r="R31" s="45">
        <v>15.5</v>
      </c>
      <c r="S31" s="45">
        <v>15.5</v>
      </c>
      <c r="T31" s="45">
        <v>15.5</v>
      </c>
      <c r="U31" s="45">
        <v>15.5</v>
      </c>
      <c r="V31" s="45">
        <v>15.5</v>
      </c>
      <c r="W31" s="45">
        <v>15.5</v>
      </c>
      <c r="X31" s="45">
        <v>15.5</v>
      </c>
      <c r="Y31" s="45">
        <v>15.5</v>
      </c>
      <c r="Z31" s="45">
        <v>15.5</v>
      </c>
      <c r="AA31" s="45"/>
      <c r="AB31" s="45">
        <v>15.5</v>
      </c>
      <c r="AC31" s="45"/>
      <c r="AD31" s="45">
        <v>15.5</v>
      </c>
      <c r="AE31" s="45">
        <v>15.5</v>
      </c>
      <c r="AF31" s="45"/>
      <c r="AG31" s="50">
        <v>22</v>
      </c>
      <c r="AH31" s="47">
        <f t="shared" si="2"/>
        <v>15.5</v>
      </c>
      <c r="AI31" s="48">
        <f t="shared" si="3"/>
        <v>15.5</v>
      </c>
      <c r="AK31" s="45">
        <v>22</v>
      </c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20.8</v>
      </c>
      <c r="C32" s="45">
        <v>0</v>
      </c>
      <c r="D32" s="45">
        <v>0</v>
      </c>
      <c r="E32" s="45">
        <v>0</v>
      </c>
      <c r="F32" s="45"/>
      <c r="G32" s="45">
        <v>15</v>
      </c>
      <c r="H32" s="45">
        <v>15</v>
      </c>
      <c r="I32" s="45">
        <v>15</v>
      </c>
      <c r="J32" s="45">
        <v>15</v>
      </c>
      <c r="K32" s="45">
        <v>15</v>
      </c>
      <c r="L32" s="45">
        <v>15</v>
      </c>
      <c r="M32" s="45">
        <v>15</v>
      </c>
      <c r="N32" s="45">
        <v>15</v>
      </c>
      <c r="O32" s="45">
        <v>15</v>
      </c>
      <c r="P32" s="45">
        <v>15</v>
      </c>
      <c r="Q32" s="45">
        <v>15</v>
      </c>
      <c r="R32" s="45">
        <v>24</v>
      </c>
      <c r="S32" s="45">
        <v>24</v>
      </c>
      <c r="T32" s="45">
        <v>24</v>
      </c>
      <c r="U32" s="45">
        <v>24</v>
      </c>
      <c r="V32" s="45">
        <v>24</v>
      </c>
      <c r="W32" s="45">
        <v>24</v>
      </c>
      <c r="X32" s="45">
        <v>24</v>
      </c>
      <c r="Y32" s="45">
        <v>24</v>
      </c>
      <c r="Z32" s="45">
        <v>24</v>
      </c>
      <c r="AA32" s="45"/>
      <c r="AB32" s="45">
        <v>24</v>
      </c>
      <c r="AC32" s="45"/>
      <c r="AD32" s="45">
        <v>24</v>
      </c>
      <c r="AE32" s="45">
        <v>24</v>
      </c>
      <c r="AF32" s="45"/>
      <c r="AG32" s="50">
        <v>22</v>
      </c>
      <c r="AH32" s="47">
        <f t="shared" si="2"/>
        <v>24</v>
      </c>
      <c r="AI32" s="48">
        <f t="shared" si="3"/>
        <v>0</v>
      </c>
      <c r="AK32" s="45">
        <v>22</v>
      </c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10</v>
      </c>
      <c r="C33" s="45">
        <v>10</v>
      </c>
      <c r="D33" s="45">
        <v>10</v>
      </c>
      <c r="E33" s="45">
        <v>10</v>
      </c>
      <c r="F33" s="45"/>
      <c r="G33" s="45">
        <v>10</v>
      </c>
      <c r="H33" s="45">
        <v>10</v>
      </c>
      <c r="I33" s="45">
        <v>10</v>
      </c>
      <c r="J33" s="45">
        <v>10</v>
      </c>
      <c r="K33" s="45">
        <v>10</v>
      </c>
      <c r="L33" s="45">
        <v>10</v>
      </c>
      <c r="M33" s="45">
        <v>10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/>
      <c r="AB33" s="45">
        <v>10</v>
      </c>
      <c r="AC33" s="45"/>
      <c r="AD33" s="45">
        <v>10</v>
      </c>
      <c r="AE33" s="45">
        <v>6</v>
      </c>
      <c r="AF33" s="45"/>
      <c r="AG33" s="50">
        <v>20</v>
      </c>
      <c r="AH33" s="47">
        <f t="shared" si="2"/>
        <v>10</v>
      </c>
      <c r="AI33" s="48">
        <f t="shared" si="3"/>
        <v>6</v>
      </c>
      <c r="AK33" s="45">
        <v>20</v>
      </c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</v>
      </c>
      <c r="C34" s="45">
        <v>10</v>
      </c>
      <c r="D34" s="45">
        <v>10</v>
      </c>
      <c r="E34" s="45">
        <v>10</v>
      </c>
      <c r="F34" s="45"/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/>
      <c r="AB34" s="45">
        <v>10</v>
      </c>
      <c r="AC34" s="45"/>
      <c r="AD34" s="45">
        <v>10</v>
      </c>
      <c r="AE34" s="45">
        <v>10</v>
      </c>
      <c r="AF34" s="45"/>
      <c r="AG34" s="50">
        <v>18</v>
      </c>
      <c r="AH34" s="47">
        <f t="shared" si="2"/>
        <v>10</v>
      </c>
      <c r="AI34" s="48">
        <f t="shared" si="3"/>
        <v>10</v>
      </c>
      <c r="AK34" s="45">
        <v>18</v>
      </c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7.5</v>
      </c>
      <c r="C35" s="45">
        <v>7.5</v>
      </c>
      <c r="D35" s="45">
        <v>7.5</v>
      </c>
      <c r="E35" s="45">
        <v>7.5</v>
      </c>
      <c r="F35" s="45"/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/>
      <c r="AB35" s="45">
        <v>7.5</v>
      </c>
      <c r="AC35" s="45"/>
      <c r="AD35" s="45">
        <v>7.5</v>
      </c>
      <c r="AE35" s="45">
        <v>7.5</v>
      </c>
      <c r="AF35" s="45"/>
      <c r="AG35" s="50">
        <v>14.9</v>
      </c>
      <c r="AH35" s="47">
        <f t="shared" si="2"/>
        <v>7.5</v>
      </c>
      <c r="AI35" s="48">
        <f t="shared" si="3"/>
        <v>7.5</v>
      </c>
      <c r="AK35" s="45">
        <v>15.33</v>
      </c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>
        <v>3.8</v>
      </c>
      <c r="C36" s="45">
        <v>3.8</v>
      </c>
      <c r="D36" s="45">
        <v>3.8</v>
      </c>
      <c r="E36" s="45">
        <v>3.8</v>
      </c>
      <c r="F36" s="45"/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/>
      <c r="AB36" s="45">
        <v>3.8</v>
      </c>
      <c r="AC36" s="45"/>
      <c r="AD36" s="45">
        <v>3.8</v>
      </c>
      <c r="AE36" s="45">
        <v>3.8</v>
      </c>
      <c r="AF36" s="45"/>
      <c r="AG36" s="50">
        <v>14.9</v>
      </c>
      <c r="AH36" s="47">
        <f t="shared" si="2"/>
        <v>3.8</v>
      </c>
      <c r="AI36" s="48">
        <f t="shared" si="3"/>
        <v>3.8</v>
      </c>
      <c r="AK36" s="45">
        <v>14.9</v>
      </c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>
        <v>4</v>
      </c>
      <c r="C37" s="45">
        <v>4</v>
      </c>
      <c r="D37" s="45">
        <v>4</v>
      </c>
      <c r="E37" s="45">
        <v>4</v>
      </c>
      <c r="F37" s="45"/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/>
      <c r="AB37" s="45">
        <v>4</v>
      </c>
      <c r="AC37" s="45"/>
      <c r="AD37" s="45">
        <v>4</v>
      </c>
      <c r="AE37" s="45">
        <v>4</v>
      </c>
      <c r="AF37" s="45"/>
      <c r="AG37" s="50">
        <v>13.6</v>
      </c>
      <c r="AH37" s="47">
        <f t="shared" si="2"/>
        <v>4</v>
      </c>
      <c r="AI37" s="48">
        <f t="shared" si="3"/>
        <v>4</v>
      </c>
      <c r="AK37" s="45">
        <v>13.6</v>
      </c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>
        <v>6</v>
      </c>
      <c r="C38" s="45">
        <v>6</v>
      </c>
      <c r="D38" s="45">
        <v>6</v>
      </c>
      <c r="E38" s="45">
        <v>6</v>
      </c>
      <c r="F38" s="45"/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/>
      <c r="AB38" s="45">
        <v>6</v>
      </c>
      <c r="AC38" s="45"/>
      <c r="AD38" s="45">
        <v>6</v>
      </c>
      <c r="AE38" s="45">
        <v>6</v>
      </c>
      <c r="AF38" s="45"/>
      <c r="AG38" s="50">
        <v>13</v>
      </c>
      <c r="AH38" s="47">
        <f t="shared" si="2"/>
        <v>6</v>
      </c>
      <c r="AI38" s="48">
        <f t="shared" si="3"/>
        <v>6</v>
      </c>
      <c r="AK38" s="45">
        <v>13</v>
      </c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>
        <v>6</v>
      </c>
      <c r="C39" s="45">
        <v>6</v>
      </c>
      <c r="D39" s="45">
        <v>6</v>
      </c>
      <c r="E39" s="45">
        <v>6</v>
      </c>
      <c r="F39" s="45"/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/>
      <c r="AB39" s="45">
        <v>6</v>
      </c>
      <c r="AC39" s="45"/>
      <c r="AD39" s="45">
        <v>6</v>
      </c>
      <c r="AE39" s="45">
        <v>6</v>
      </c>
      <c r="AF39" s="45"/>
      <c r="AG39" s="50">
        <v>12</v>
      </c>
      <c r="AH39" s="47">
        <f t="shared" si="2"/>
        <v>6</v>
      </c>
      <c r="AI39" s="48">
        <f t="shared" si="3"/>
        <v>6</v>
      </c>
      <c r="AK39" s="45">
        <v>12</v>
      </c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>
        <v>2.5</v>
      </c>
      <c r="C40" s="45">
        <v>2.5</v>
      </c>
      <c r="D40" s="45">
        <v>2.5</v>
      </c>
      <c r="E40" s="45">
        <v>2.5</v>
      </c>
      <c r="F40" s="45"/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/>
      <c r="AB40" s="45">
        <v>2.5</v>
      </c>
      <c r="AC40" s="45"/>
      <c r="AD40" s="45">
        <v>2.5</v>
      </c>
      <c r="AE40" s="45">
        <v>2.5</v>
      </c>
      <c r="AF40" s="45"/>
      <c r="AG40" s="50">
        <v>12</v>
      </c>
      <c r="AH40" s="47">
        <f t="shared" si="2"/>
        <v>2.5</v>
      </c>
      <c r="AI40" s="48">
        <f t="shared" si="3"/>
        <v>2.5</v>
      </c>
      <c r="AK40" s="45">
        <v>12</v>
      </c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>
        <v>8</v>
      </c>
      <c r="C41" s="45">
        <v>8</v>
      </c>
      <c r="D41" s="45">
        <v>8</v>
      </c>
      <c r="E41" s="45">
        <v>8</v>
      </c>
      <c r="F41" s="45"/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/>
      <c r="AB41" s="45">
        <v>8</v>
      </c>
      <c r="AC41" s="45"/>
      <c r="AD41" s="45">
        <v>8</v>
      </c>
      <c r="AE41" s="45">
        <v>8</v>
      </c>
      <c r="AF41" s="45"/>
      <c r="AG41" s="50">
        <v>12</v>
      </c>
      <c r="AH41" s="47">
        <f t="shared" si="2"/>
        <v>8</v>
      </c>
      <c r="AI41" s="48">
        <f t="shared" si="3"/>
        <v>8</v>
      </c>
      <c r="AK41" s="45">
        <v>12</v>
      </c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>
        <v>4</v>
      </c>
      <c r="C42" s="45">
        <v>4</v>
      </c>
      <c r="D42" s="45">
        <v>4</v>
      </c>
      <c r="E42" s="45">
        <v>4</v>
      </c>
      <c r="F42" s="45"/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/>
      <c r="AB42" s="45">
        <v>4</v>
      </c>
      <c r="AC42" s="45"/>
      <c r="AD42" s="45">
        <v>4</v>
      </c>
      <c r="AE42" s="45">
        <v>4</v>
      </c>
      <c r="AF42" s="45"/>
      <c r="AG42" s="52">
        <v>22</v>
      </c>
      <c r="AH42" s="47">
        <f t="shared" si="2"/>
        <v>4</v>
      </c>
      <c r="AI42" s="48">
        <f t="shared" si="3"/>
        <v>4</v>
      </c>
      <c r="AK42" s="45">
        <v>12</v>
      </c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>
        <v>7.5</v>
      </c>
      <c r="C43" s="45">
        <v>7.5</v>
      </c>
      <c r="D43" s="45">
        <v>7.5</v>
      </c>
      <c r="E43" s="45">
        <v>7.5</v>
      </c>
      <c r="F43" s="45"/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/>
      <c r="AB43" s="45">
        <v>7.5</v>
      </c>
      <c r="AC43" s="45"/>
      <c r="AD43" s="45">
        <v>7.5</v>
      </c>
      <c r="AE43" s="45">
        <v>7.5</v>
      </c>
      <c r="AF43" s="45"/>
      <c r="AG43" s="51">
        <v>11.88</v>
      </c>
      <c r="AH43" s="47">
        <f t="shared" si="2"/>
        <v>7.5</v>
      </c>
      <c r="AI43" s="48">
        <f t="shared" si="3"/>
        <v>7.5</v>
      </c>
      <c r="AK43" s="45">
        <v>11.88</v>
      </c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>
        <v>7</v>
      </c>
      <c r="C44" s="45">
        <v>7</v>
      </c>
      <c r="D44" s="45">
        <v>7</v>
      </c>
      <c r="E44" s="45">
        <v>7</v>
      </c>
      <c r="F44" s="45"/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/>
      <c r="AB44" s="45">
        <v>7</v>
      </c>
      <c r="AC44" s="45"/>
      <c r="AD44" s="45">
        <v>7</v>
      </c>
      <c r="AE44" s="45">
        <v>7</v>
      </c>
      <c r="AF44" s="45"/>
      <c r="AG44" s="54">
        <v>11</v>
      </c>
      <c r="AH44" s="47">
        <f t="shared" si="2"/>
        <v>7</v>
      </c>
      <c r="AI44" s="48">
        <f t="shared" si="3"/>
        <v>7</v>
      </c>
      <c r="AK44" s="45">
        <v>11</v>
      </c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>
        <v>9.6</v>
      </c>
      <c r="C45" s="45">
        <v>9.6</v>
      </c>
      <c r="D45" s="45">
        <v>9.6</v>
      </c>
      <c r="E45" s="45">
        <v>9.6</v>
      </c>
      <c r="F45" s="45"/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>
        <v>9.6</v>
      </c>
      <c r="R45" s="45">
        <v>9.6</v>
      </c>
      <c r="S45" s="45">
        <v>9.6</v>
      </c>
      <c r="T45" s="45">
        <v>9.6</v>
      </c>
      <c r="U45" s="45">
        <v>9.6</v>
      </c>
      <c r="V45" s="45">
        <v>9.6</v>
      </c>
      <c r="W45" s="45">
        <v>9.6</v>
      </c>
      <c r="X45" s="45">
        <v>9.6</v>
      </c>
      <c r="Y45" s="45">
        <v>9.6</v>
      </c>
      <c r="Z45" s="45">
        <v>9.6</v>
      </c>
      <c r="AA45" s="45"/>
      <c r="AB45" s="45">
        <v>9.6</v>
      </c>
      <c r="AC45" s="45"/>
      <c r="AD45" s="45">
        <v>9.6</v>
      </c>
      <c r="AE45" s="45">
        <v>9.6</v>
      </c>
      <c r="AF45" s="45"/>
      <c r="AG45" s="54">
        <v>10</v>
      </c>
      <c r="AH45" s="47">
        <f t="shared" si="2"/>
        <v>9.6</v>
      </c>
      <c r="AI45" s="48">
        <f t="shared" si="3"/>
        <v>9.6</v>
      </c>
      <c r="AK45" s="45">
        <v>10</v>
      </c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>
        <v>7</v>
      </c>
      <c r="C46" s="45">
        <v>7</v>
      </c>
      <c r="D46" s="45">
        <v>7</v>
      </c>
      <c r="E46" s="45">
        <v>7</v>
      </c>
      <c r="F46" s="45"/>
      <c r="G46" s="45">
        <v>7</v>
      </c>
      <c r="H46" s="45">
        <v>7</v>
      </c>
      <c r="I46" s="45">
        <v>7</v>
      </c>
      <c r="J46" s="45">
        <v>7</v>
      </c>
      <c r="K46" s="45">
        <v>7</v>
      </c>
      <c r="L46" s="45">
        <v>7</v>
      </c>
      <c r="M46" s="45">
        <v>7</v>
      </c>
      <c r="N46" s="45">
        <v>7</v>
      </c>
      <c r="O46" s="45">
        <v>7</v>
      </c>
      <c r="P46" s="45">
        <v>7</v>
      </c>
      <c r="Q46" s="45">
        <v>7</v>
      </c>
      <c r="R46" s="45">
        <v>7</v>
      </c>
      <c r="S46" s="45">
        <v>7</v>
      </c>
      <c r="T46" s="45">
        <v>7</v>
      </c>
      <c r="U46" s="45">
        <v>7</v>
      </c>
      <c r="V46" s="45">
        <v>7</v>
      </c>
      <c r="W46" s="45">
        <v>7</v>
      </c>
      <c r="X46" s="45">
        <v>7</v>
      </c>
      <c r="Y46" s="45">
        <v>7</v>
      </c>
      <c r="Z46" s="45">
        <v>7</v>
      </c>
      <c r="AA46" s="45"/>
      <c r="AB46" s="45">
        <v>7</v>
      </c>
      <c r="AC46" s="45"/>
      <c r="AD46" s="45">
        <v>7</v>
      </c>
      <c r="AE46" s="45">
        <v>7</v>
      </c>
      <c r="AF46" s="45"/>
      <c r="AG46" s="54">
        <v>10</v>
      </c>
      <c r="AH46" s="47">
        <f t="shared" si="2"/>
        <v>7</v>
      </c>
      <c r="AI46" s="48">
        <f t="shared" si="3"/>
        <v>7</v>
      </c>
      <c r="AK46" s="45">
        <v>10</v>
      </c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>
        <v>6.8</v>
      </c>
      <c r="C47" s="45">
        <v>6.8</v>
      </c>
      <c r="D47" s="45">
        <v>6.8</v>
      </c>
      <c r="E47" s="45">
        <v>6.8</v>
      </c>
      <c r="F47" s="45"/>
      <c r="G47" s="45">
        <v>6.8</v>
      </c>
      <c r="H47" s="45">
        <v>6.8</v>
      </c>
      <c r="I47" s="45">
        <v>6.8</v>
      </c>
      <c r="J47" s="45">
        <v>6.8</v>
      </c>
      <c r="K47" s="45">
        <v>6.8</v>
      </c>
      <c r="L47" s="45">
        <v>6.8</v>
      </c>
      <c r="M47" s="45">
        <v>6.8</v>
      </c>
      <c r="N47" s="45">
        <v>6.8</v>
      </c>
      <c r="O47" s="45">
        <v>6.8</v>
      </c>
      <c r="P47" s="45">
        <v>6.8</v>
      </c>
      <c r="Q47" s="45">
        <v>6.8</v>
      </c>
      <c r="R47" s="45">
        <v>6.8</v>
      </c>
      <c r="S47" s="45">
        <v>6.8</v>
      </c>
      <c r="T47" s="45">
        <v>6.8</v>
      </c>
      <c r="U47" s="45">
        <v>6.8</v>
      </c>
      <c r="V47" s="45">
        <v>6.8</v>
      </c>
      <c r="W47" s="45">
        <v>6.8</v>
      </c>
      <c r="X47" s="45">
        <v>6.8</v>
      </c>
      <c r="Y47" s="45">
        <v>6.8</v>
      </c>
      <c r="Z47" s="45">
        <v>6.8</v>
      </c>
      <c r="AA47" s="45"/>
      <c r="AB47" s="45">
        <v>6.8</v>
      </c>
      <c r="AC47" s="45"/>
      <c r="AD47" s="45">
        <v>6.8</v>
      </c>
      <c r="AE47" s="45">
        <v>6.8</v>
      </c>
      <c r="AF47" s="45"/>
      <c r="AG47" s="54">
        <v>10</v>
      </c>
      <c r="AH47" s="47">
        <f t="shared" si="2"/>
        <v>6.8</v>
      </c>
      <c r="AI47" s="48">
        <f t="shared" si="3"/>
        <v>6.8</v>
      </c>
      <c r="AK47" s="45">
        <v>10</v>
      </c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>
        <v>250</v>
      </c>
      <c r="C48" s="56">
        <v>250</v>
      </c>
      <c r="D48" s="56">
        <v>250</v>
      </c>
      <c r="E48" s="56">
        <v>250</v>
      </c>
      <c r="F48" s="56"/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/>
      <c r="AB48" s="56">
        <v>250</v>
      </c>
      <c r="AC48" s="56"/>
      <c r="AD48" s="56">
        <v>250</v>
      </c>
      <c r="AE48" s="56">
        <v>250</v>
      </c>
      <c r="AF48" s="56"/>
      <c r="AG48" s="54">
        <v>85</v>
      </c>
      <c r="AH48" s="47">
        <f t="shared" si="2"/>
        <v>250</v>
      </c>
      <c r="AI48" s="48">
        <f t="shared" si="3"/>
        <v>250</v>
      </c>
      <c r="AK48" s="45">
        <v>500</v>
      </c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5">
        <f>SUM(AK12:AK48)</f>
        <v>1383.41</v>
      </c>
    </row>
    <row r="50" spans="1:41" ht="15.75" thickBot="1" x14ac:dyDescent="0.3">
      <c r="A50" s="59" t="s">
        <v>56</v>
      </c>
      <c r="B50" s="60">
        <f t="shared" ref="B50:C50" si="4">SUM(B11:B48)</f>
        <v>958.4</v>
      </c>
      <c r="C50" s="60">
        <f t="shared" si="4"/>
        <v>926.9</v>
      </c>
      <c r="D50" s="60">
        <f t="shared" ref="D50" si="5">SUM(D11:D48)</f>
        <v>918.6</v>
      </c>
      <c r="E50" s="60">
        <f t="shared" ref="E50:AF50" si="6">SUM(E11:E48)</f>
        <v>918.6</v>
      </c>
      <c r="F50" s="60">
        <f t="shared" si="6"/>
        <v>65</v>
      </c>
      <c r="G50" s="60">
        <f>SUM(G11:G48)</f>
        <v>919.3</v>
      </c>
      <c r="H50" s="60">
        <f t="shared" si="6"/>
        <v>919.3</v>
      </c>
      <c r="I50" s="60">
        <f t="shared" si="6"/>
        <v>919.3</v>
      </c>
      <c r="J50" s="60">
        <f t="shared" si="6"/>
        <v>919.3</v>
      </c>
      <c r="K50" s="60">
        <f t="shared" si="6"/>
        <v>919.3</v>
      </c>
      <c r="L50" s="60">
        <f t="shared" si="6"/>
        <v>919.3</v>
      </c>
      <c r="M50" s="60">
        <f t="shared" si="6"/>
        <v>919.3</v>
      </c>
      <c r="N50" s="60">
        <f t="shared" si="6"/>
        <v>905.3</v>
      </c>
      <c r="O50" s="60">
        <f t="shared" si="6"/>
        <v>905.3</v>
      </c>
      <c r="P50" s="60">
        <f t="shared" si="6"/>
        <v>905.3</v>
      </c>
      <c r="Q50" s="60">
        <f t="shared" si="6"/>
        <v>906.19999999999993</v>
      </c>
      <c r="R50" s="60">
        <f t="shared" si="6"/>
        <v>915.19999999999993</v>
      </c>
      <c r="S50" s="60">
        <f t="shared" ref="S50" si="7">SUM(S11:S48)</f>
        <v>914.5</v>
      </c>
      <c r="T50" s="60">
        <f t="shared" si="6"/>
        <v>914.69999999999993</v>
      </c>
      <c r="U50" s="60">
        <f t="shared" si="6"/>
        <v>913.19999999999993</v>
      </c>
      <c r="V50" s="60">
        <f t="shared" si="6"/>
        <v>873.29999999999984</v>
      </c>
      <c r="W50" s="60">
        <f t="shared" si="6"/>
        <v>912</v>
      </c>
      <c r="X50" s="60">
        <f t="shared" si="6"/>
        <v>909</v>
      </c>
      <c r="Y50" s="60">
        <f t="shared" ref="Y50" si="8">SUM(Y11:Y48)</f>
        <v>909.9</v>
      </c>
      <c r="Z50" s="60">
        <f t="shared" si="6"/>
        <v>917.5</v>
      </c>
      <c r="AA50" s="60">
        <f t="shared" si="6"/>
        <v>126.2</v>
      </c>
      <c r="AB50" s="60">
        <f t="shared" si="6"/>
        <v>878.29999999999984</v>
      </c>
      <c r="AC50" s="60">
        <f t="shared" si="6"/>
        <v>0</v>
      </c>
      <c r="AD50" s="60">
        <f t="shared" si="6"/>
        <v>900.29999999999984</v>
      </c>
      <c r="AE50" s="60">
        <f t="shared" si="6"/>
        <v>928.19999999999993</v>
      </c>
      <c r="AF50" s="60">
        <f t="shared" si="6"/>
        <v>65</v>
      </c>
      <c r="AG50" s="61">
        <f>SUM(AG13:AG48)</f>
        <v>922.14</v>
      </c>
      <c r="AH50" s="47">
        <f t="shared" si="2"/>
        <v>958.4</v>
      </c>
      <c r="AI50" s="48">
        <f t="shared" si="3"/>
        <v>0</v>
      </c>
      <c r="AK50" s="45"/>
    </row>
    <row r="51" spans="1:41" x14ac:dyDescent="0.25">
      <c r="A51" s="62" t="s">
        <v>57</v>
      </c>
      <c r="B51" s="45">
        <v>320</v>
      </c>
      <c r="C51" s="45">
        <v>350</v>
      </c>
      <c r="D51" s="45">
        <v>310</v>
      </c>
      <c r="E51" s="45">
        <v>335</v>
      </c>
      <c r="F51" s="45"/>
      <c r="G51" s="45">
        <v>270</v>
      </c>
      <c r="H51" s="45">
        <v>270</v>
      </c>
      <c r="I51" s="45">
        <v>270</v>
      </c>
      <c r="J51" s="45">
        <v>300</v>
      </c>
      <c r="K51" s="45">
        <v>350</v>
      </c>
      <c r="L51" s="45">
        <v>350</v>
      </c>
      <c r="M51" s="45">
        <v>350</v>
      </c>
      <c r="N51" s="63">
        <v>400</v>
      </c>
      <c r="O51" s="63">
        <v>400</v>
      </c>
      <c r="P51" s="63">
        <v>400</v>
      </c>
      <c r="Q51" s="63">
        <v>430</v>
      </c>
      <c r="R51" s="63">
        <v>432</v>
      </c>
      <c r="S51" s="45">
        <v>400</v>
      </c>
      <c r="T51" s="45">
        <v>380</v>
      </c>
      <c r="U51" s="45">
        <v>340</v>
      </c>
      <c r="V51" s="45">
        <v>315</v>
      </c>
      <c r="W51" s="45">
        <v>315</v>
      </c>
      <c r="X51" s="45">
        <v>315</v>
      </c>
      <c r="Y51" s="45">
        <v>315</v>
      </c>
      <c r="Z51" s="45">
        <v>350</v>
      </c>
      <c r="AA51" s="45"/>
      <c r="AB51" s="45">
        <v>370</v>
      </c>
      <c r="AC51" s="45"/>
      <c r="AD51" s="45">
        <v>320</v>
      </c>
      <c r="AE51" s="45">
        <v>370</v>
      </c>
      <c r="AF51" s="45"/>
      <c r="AG51" s="51">
        <v>456</v>
      </c>
      <c r="AH51" s="47">
        <f t="shared" si="2"/>
        <v>432</v>
      </c>
      <c r="AI51" s="48">
        <f t="shared" si="3"/>
        <v>270</v>
      </c>
      <c r="AK51" s="45">
        <v>456</v>
      </c>
    </row>
    <row r="52" spans="1:41" x14ac:dyDescent="0.25">
      <c r="A52" s="64" t="s">
        <v>58</v>
      </c>
      <c r="B52" s="65">
        <v>60</v>
      </c>
      <c r="C52" s="65">
        <v>60</v>
      </c>
      <c r="D52" s="65">
        <v>60</v>
      </c>
      <c r="E52" s="65">
        <v>60</v>
      </c>
      <c r="F52" s="65"/>
      <c r="G52" s="65">
        <v>60</v>
      </c>
      <c r="H52" s="65">
        <v>60</v>
      </c>
      <c r="I52" s="65">
        <v>60</v>
      </c>
      <c r="J52" s="65">
        <v>60</v>
      </c>
      <c r="K52" s="65">
        <v>60</v>
      </c>
      <c r="L52" s="65">
        <v>60</v>
      </c>
      <c r="M52" s="65">
        <v>60</v>
      </c>
      <c r="N52" s="65">
        <v>60</v>
      </c>
      <c r="O52" s="65">
        <v>60</v>
      </c>
      <c r="P52" s="65">
        <v>60</v>
      </c>
      <c r="Q52" s="65">
        <v>60</v>
      </c>
      <c r="R52" s="65">
        <v>60</v>
      </c>
      <c r="S52" s="65">
        <v>60</v>
      </c>
      <c r="T52" s="65">
        <v>60</v>
      </c>
      <c r="U52" s="65">
        <v>61</v>
      </c>
      <c r="V52" s="65">
        <v>61</v>
      </c>
      <c r="W52" s="65">
        <v>50</v>
      </c>
      <c r="X52" s="65">
        <v>55</v>
      </c>
      <c r="Y52" s="65">
        <v>55</v>
      </c>
      <c r="Z52" s="65">
        <v>60</v>
      </c>
      <c r="AA52" s="65"/>
      <c r="AB52" s="65">
        <v>60</v>
      </c>
      <c r="AC52" s="65"/>
      <c r="AD52" s="65">
        <v>60</v>
      </c>
      <c r="AE52" s="65">
        <v>60</v>
      </c>
      <c r="AF52" s="65"/>
      <c r="AG52" s="54">
        <v>60</v>
      </c>
      <c r="AH52" s="47">
        <f t="shared" si="2"/>
        <v>61</v>
      </c>
      <c r="AI52" s="48">
        <f t="shared" si="3"/>
        <v>50</v>
      </c>
      <c r="AK52" s="45">
        <v>60</v>
      </c>
    </row>
    <row r="53" spans="1:41" ht="15.75" thickBot="1" x14ac:dyDescent="0.3">
      <c r="A53" s="66" t="s">
        <v>59</v>
      </c>
      <c r="B53" s="67">
        <v>22.5</v>
      </c>
      <c r="C53" s="67">
        <v>22.4</v>
      </c>
      <c r="D53" s="67">
        <v>22.4</v>
      </c>
      <c r="E53" s="67">
        <v>22.4</v>
      </c>
      <c r="F53" s="67"/>
      <c r="G53" s="67">
        <v>22.4</v>
      </c>
      <c r="H53" s="67">
        <v>22.4</v>
      </c>
      <c r="I53" s="67">
        <v>22.4</v>
      </c>
      <c r="J53" s="67">
        <v>22.5</v>
      </c>
      <c r="K53" s="67">
        <v>22.4</v>
      </c>
      <c r="L53" s="67">
        <v>22.4</v>
      </c>
      <c r="M53" s="67">
        <v>22.4</v>
      </c>
      <c r="N53" s="67">
        <v>22.4</v>
      </c>
      <c r="O53" s="67">
        <v>22.4</v>
      </c>
      <c r="P53" s="67">
        <v>22.4</v>
      </c>
      <c r="Q53" s="67">
        <v>22.4</v>
      </c>
      <c r="R53" s="67">
        <v>22.4</v>
      </c>
      <c r="S53" s="67">
        <v>22.4</v>
      </c>
      <c r="T53" s="67">
        <v>22.4</v>
      </c>
      <c r="U53" s="67">
        <v>22.5</v>
      </c>
      <c r="V53" s="67">
        <v>22.4</v>
      </c>
      <c r="W53" s="67">
        <v>22.2</v>
      </c>
      <c r="X53" s="67">
        <v>22.2</v>
      </c>
      <c r="Y53" s="67">
        <v>22.2</v>
      </c>
      <c r="Z53" s="67">
        <v>22.2</v>
      </c>
      <c r="AA53" s="67"/>
      <c r="AB53" s="67">
        <v>17.2</v>
      </c>
      <c r="AC53" s="67"/>
      <c r="AD53" s="67">
        <v>17.2</v>
      </c>
      <c r="AE53" s="67">
        <v>17.2</v>
      </c>
      <c r="AF53" s="67"/>
      <c r="AG53" s="68">
        <v>22.1</v>
      </c>
      <c r="AH53" s="47">
        <f t="shared" si="2"/>
        <v>22.5</v>
      </c>
      <c r="AI53" s="48">
        <f t="shared" si="3"/>
        <v>17.2</v>
      </c>
      <c r="AK53" s="45">
        <v>22.1</v>
      </c>
    </row>
    <row r="54" spans="1:41" ht="15.75" thickBot="1" x14ac:dyDescent="0.3">
      <c r="A54" s="69" t="s">
        <v>60</v>
      </c>
      <c r="B54" s="60">
        <f t="shared" ref="B54:C54" si="9">SUM(B51:B53)</f>
        <v>402.5</v>
      </c>
      <c r="C54" s="60">
        <f t="shared" si="9"/>
        <v>432.4</v>
      </c>
      <c r="D54" s="60">
        <f t="shared" ref="D54" si="10">SUM(D51:D53)</f>
        <v>392.4</v>
      </c>
      <c r="E54" s="60">
        <f t="shared" ref="E54:AG54" si="11">SUM(E51:E53)</f>
        <v>417.4</v>
      </c>
      <c r="F54" s="60">
        <f t="shared" si="11"/>
        <v>0</v>
      </c>
      <c r="G54" s="60">
        <f t="shared" si="11"/>
        <v>352.4</v>
      </c>
      <c r="H54" s="60">
        <f t="shared" si="11"/>
        <v>352.4</v>
      </c>
      <c r="I54" s="60">
        <f t="shared" si="11"/>
        <v>352.4</v>
      </c>
      <c r="J54" s="60">
        <f t="shared" si="11"/>
        <v>382.5</v>
      </c>
      <c r="K54" s="60">
        <f t="shared" si="11"/>
        <v>432.4</v>
      </c>
      <c r="L54" s="60">
        <f t="shared" si="11"/>
        <v>432.4</v>
      </c>
      <c r="M54" s="60">
        <f t="shared" si="11"/>
        <v>432.4</v>
      </c>
      <c r="N54" s="60">
        <f t="shared" si="11"/>
        <v>482.4</v>
      </c>
      <c r="O54" s="60">
        <f t="shared" si="11"/>
        <v>482.4</v>
      </c>
      <c r="P54" s="60">
        <f t="shared" si="11"/>
        <v>482.4</v>
      </c>
      <c r="Q54" s="60">
        <f t="shared" si="11"/>
        <v>512.4</v>
      </c>
      <c r="R54" s="60">
        <f t="shared" si="11"/>
        <v>514.4</v>
      </c>
      <c r="S54" s="60">
        <f t="shared" si="11"/>
        <v>482.4</v>
      </c>
      <c r="T54" s="60">
        <f t="shared" si="11"/>
        <v>462.4</v>
      </c>
      <c r="U54" s="60">
        <f t="shared" si="11"/>
        <v>423.5</v>
      </c>
      <c r="V54" s="60">
        <f t="shared" si="11"/>
        <v>398.4</v>
      </c>
      <c r="W54" s="60">
        <f t="shared" si="11"/>
        <v>387.2</v>
      </c>
      <c r="X54" s="60">
        <f t="shared" si="11"/>
        <v>392.2</v>
      </c>
      <c r="Y54" s="60">
        <f t="shared" ref="Y54" si="12">SUM(Y51:Y53)</f>
        <v>392.2</v>
      </c>
      <c r="Z54" s="60">
        <f t="shared" si="11"/>
        <v>432.2</v>
      </c>
      <c r="AA54" s="60">
        <f t="shared" si="11"/>
        <v>0</v>
      </c>
      <c r="AB54" s="60">
        <f t="shared" si="11"/>
        <v>447.2</v>
      </c>
      <c r="AC54" s="60">
        <f t="shared" si="11"/>
        <v>0</v>
      </c>
      <c r="AD54" s="60">
        <f t="shared" si="11"/>
        <v>397.2</v>
      </c>
      <c r="AE54" s="60">
        <f t="shared" si="11"/>
        <v>447.2</v>
      </c>
      <c r="AF54" s="60">
        <f t="shared" si="11"/>
        <v>0</v>
      </c>
      <c r="AG54" s="61">
        <f t="shared" si="11"/>
        <v>538.1</v>
      </c>
      <c r="AH54" s="47">
        <f t="shared" si="2"/>
        <v>514.4</v>
      </c>
      <c r="AI54" s="48">
        <f t="shared" si="3"/>
        <v>0</v>
      </c>
      <c r="AK54" s="45">
        <f>SUM(AK51:AK53)</f>
        <v>538.1</v>
      </c>
    </row>
    <row r="55" spans="1:41" x14ac:dyDescent="0.25">
      <c r="A55" s="44" t="s">
        <v>61</v>
      </c>
      <c r="B55" s="45">
        <v>97.4</v>
      </c>
      <c r="C55" s="45">
        <v>97.4</v>
      </c>
      <c r="D55" s="45">
        <v>97.1</v>
      </c>
      <c r="E55" s="45">
        <v>97.1</v>
      </c>
      <c r="F55" s="45"/>
      <c r="G55" s="45">
        <v>74.8</v>
      </c>
      <c r="H55" s="45">
        <v>97.6</v>
      </c>
      <c r="I55" s="45">
        <v>97.1</v>
      </c>
      <c r="J55" s="45">
        <v>97</v>
      </c>
      <c r="K55" s="45">
        <v>97.1</v>
      </c>
      <c r="L55" s="45">
        <v>97</v>
      </c>
      <c r="M55" s="45">
        <v>97.4</v>
      </c>
      <c r="N55" s="45">
        <v>96.6</v>
      </c>
      <c r="O55" s="45">
        <v>49.2</v>
      </c>
      <c r="P55" s="45">
        <v>97.7</v>
      </c>
      <c r="Q55" s="45">
        <v>97.1</v>
      </c>
      <c r="R55" s="45">
        <v>97.1</v>
      </c>
      <c r="S55" s="45">
        <v>97.1</v>
      </c>
      <c r="T55" s="45">
        <v>97.1</v>
      </c>
      <c r="U55" s="45">
        <v>97.1</v>
      </c>
      <c r="V55" s="45">
        <v>0</v>
      </c>
      <c r="W55" s="45">
        <v>85</v>
      </c>
      <c r="X55" s="45">
        <v>145.30000000000001</v>
      </c>
      <c r="Y55" s="45">
        <v>145.30000000000001</v>
      </c>
      <c r="Z55" s="45">
        <v>145.5</v>
      </c>
      <c r="AA55" s="45"/>
      <c r="AB55" s="45">
        <v>48.4</v>
      </c>
      <c r="AC55" s="45"/>
      <c r="AD55" s="45">
        <v>120.5</v>
      </c>
      <c r="AE55" s="45">
        <v>142.69999999999999</v>
      </c>
      <c r="AF55" s="45"/>
      <c r="AG55" s="51">
        <v>144</v>
      </c>
      <c r="AH55" s="47">
        <f t="shared" si="2"/>
        <v>145.5</v>
      </c>
      <c r="AI55" s="48">
        <f t="shared" si="3"/>
        <v>0</v>
      </c>
      <c r="AK55" s="45">
        <v>144</v>
      </c>
    </row>
    <row r="56" spans="1:41" x14ac:dyDescent="0.25">
      <c r="A56" s="53" t="s">
        <v>62</v>
      </c>
      <c r="B56" s="45">
        <v>69.5</v>
      </c>
      <c r="C56" s="45">
        <v>70.5</v>
      </c>
      <c r="D56" s="45">
        <v>69.7</v>
      </c>
      <c r="E56" s="45">
        <v>69.7</v>
      </c>
      <c r="F56" s="65"/>
      <c r="G56" s="65">
        <v>69.5</v>
      </c>
      <c r="H56" s="65">
        <v>70.599999999999994</v>
      </c>
      <c r="I56" s="65">
        <v>70.2</v>
      </c>
      <c r="J56" s="65">
        <v>70.099999999999994</v>
      </c>
      <c r="K56" s="65">
        <v>70.099999999999994</v>
      </c>
      <c r="L56" s="65">
        <v>70.099999999999994</v>
      </c>
      <c r="M56" s="65">
        <v>70.099999999999994</v>
      </c>
      <c r="N56" s="65">
        <v>72.7</v>
      </c>
      <c r="O56" s="65">
        <v>59.7</v>
      </c>
      <c r="P56" s="65">
        <v>59.7</v>
      </c>
      <c r="Q56" s="65">
        <v>70.599999999999994</v>
      </c>
      <c r="R56" s="65">
        <v>68.900000000000006</v>
      </c>
      <c r="S56" s="65">
        <v>70</v>
      </c>
      <c r="T56" s="45">
        <v>71.5</v>
      </c>
      <c r="U56" s="45">
        <v>71.400000000000006</v>
      </c>
      <c r="V56" s="45">
        <v>71.400000000000006</v>
      </c>
      <c r="W56" s="45">
        <v>71.2</v>
      </c>
      <c r="X56" s="45">
        <v>71.599999999999994</v>
      </c>
      <c r="Y56" s="45">
        <v>71.599999999999994</v>
      </c>
      <c r="Z56" s="45">
        <v>71.900000000000006</v>
      </c>
      <c r="AA56" s="45"/>
      <c r="AB56" s="45">
        <v>70.8</v>
      </c>
      <c r="AC56" s="45"/>
      <c r="AD56" s="45">
        <v>70.8</v>
      </c>
      <c r="AE56" s="45">
        <v>70.8</v>
      </c>
      <c r="AF56" s="45"/>
      <c r="AG56" s="54">
        <v>70</v>
      </c>
      <c r="AH56" s="47">
        <f t="shared" si="2"/>
        <v>72.7</v>
      </c>
      <c r="AI56" s="48">
        <f t="shared" si="3"/>
        <v>59.7</v>
      </c>
      <c r="AK56" s="45">
        <v>70</v>
      </c>
    </row>
    <row r="57" spans="1:41" x14ac:dyDescent="0.25">
      <c r="A57" s="53" t="s">
        <v>63</v>
      </c>
      <c r="B57" s="45">
        <v>68</v>
      </c>
      <c r="C57" s="45">
        <v>68.5</v>
      </c>
      <c r="D57" s="45">
        <v>69</v>
      </c>
      <c r="E57" s="45">
        <v>69</v>
      </c>
      <c r="F57" s="65"/>
      <c r="G57" s="65">
        <v>44.8</v>
      </c>
      <c r="H57" s="65">
        <v>62.4</v>
      </c>
      <c r="I57" s="65">
        <v>67</v>
      </c>
      <c r="J57" s="65">
        <v>66.400000000000006</v>
      </c>
      <c r="K57" s="65">
        <v>66.400000000000006</v>
      </c>
      <c r="L57" s="65">
        <v>66.400000000000006</v>
      </c>
      <c r="M57" s="65">
        <v>66.400000000000006</v>
      </c>
      <c r="N57" s="65">
        <v>68</v>
      </c>
      <c r="O57" s="65">
        <v>63.7</v>
      </c>
      <c r="P57" s="65">
        <v>63.7</v>
      </c>
      <c r="Q57" s="65">
        <v>63.7</v>
      </c>
      <c r="R57" s="65">
        <v>68.3</v>
      </c>
      <c r="S57" s="65">
        <v>68.3</v>
      </c>
      <c r="T57" s="45">
        <v>69</v>
      </c>
      <c r="U57" s="45">
        <v>69.900000000000006</v>
      </c>
      <c r="V57" s="45">
        <v>68.400000000000006</v>
      </c>
      <c r="W57" s="45">
        <v>69.099999999999994</v>
      </c>
      <c r="X57" s="45">
        <v>69.3</v>
      </c>
      <c r="Y57" s="45">
        <v>69.3</v>
      </c>
      <c r="Z57" s="45">
        <v>69.099999999999994</v>
      </c>
      <c r="AA57" s="45"/>
      <c r="AB57" s="45">
        <v>21.8</v>
      </c>
      <c r="AC57" s="45"/>
      <c r="AD57" s="45">
        <v>45.4</v>
      </c>
      <c r="AE57" s="45">
        <v>66</v>
      </c>
      <c r="AF57" s="45"/>
      <c r="AG57" s="54">
        <v>69</v>
      </c>
      <c r="AH57" s="47">
        <f t="shared" si="2"/>
        <v>69.900000000000006</v>
      </c>
      <c r="AI57" s="48">
        <f t="shared" si="3"/>
        <v>21.8</v>
      </c>
      <c r="AK57" s="45">
        <v>69</v>
      </c>
    </row>
    <row r="58" spans="1:41" x14ac:dyDescent="0.25">
      <c r="A58" s="53" t="s">
        <v>64</v>
      </c>
      <c r="B58" s="45">
        <v>60.4</v>
      </c>
      <c r="C58" s="45">
        <v>60.2</v>
      </c>
      <c r="D58" s="45">
        <v>60</v>
      </c>
      <c r="E58" s="45">
        <v>60</v>
      </c>
      <c r="F58" s="56"/>
      <c r="G58" s="56">
        <v>49.5</v>
      </c>
      <c r="H58" s="56">
        <v>61.5</v>
      </c>
      <c r="I58" s="56">
        <v>61.4</v>
      </c>
      <c r="J58" s="56">
        <v>61.4</v>
      </c>
      <c r="K58" s="56">
        <v>61.4</v>
      </c>
      <c r="L58" s="56">
        <v>61.4</v>
      </c>
      <c r="M58" s="56">
        <v>61.4</v>
      </c>
      <c r="N58" s="65">
        <v>28.2</v>
      </c>
      <c r="O58" s="65">
        <v>28.2</v>
      </c>
      <c r="P58" s="65">
        <v>28.2</v>
      </c>
      <c r="Q58" s="65">
        <v>58</v>
      </c>
      <c r="R58" s="65">
        <v>58</v>
      </c>
      <c r="S58" s="65">
        <v>58</v>
      </c>
      <c r="T58" s="45">
        <v>58</v>
      </c>
      <c r="U58" s="45">
        <v>58.2</v>
      </c>
      <c r="V58" s="45">
        <v>58.2</v>
      </c>
      <c r="W58" s="45">
        <v>55</v>
      </c>
      <c r="X58" s="45">
        <v>60.4</v>
      </c>
      <c r="Y58" s="45">
        <v>60.4</v>
      </c>
      <c r="Z58" s="45">
        <v>60.4</v>
      </c>
      <c r="AA58" s="45"/>
      <c r="AB58" s="45">
        <v>59.7</v>
      </c>
      <c r="AC58" s="45"/>
      <c r="AD58" s="45">
        <v>59.7</v>
      </c>
      <c r="AE58" s="45">
        <v>59.7</v>
      </c>
      <c r="AF58" s="45"/>
      <c r="AG58" s="54">
        <v>60</v>
      </c>
      <c r="AH58" s="47">
        <f t="shared" si="2"/>
        <v>61.5</v>
      </c>
      <c r="AI58" s="48">
        <f t="shared" si="3"/>
        <v>28.2</v>
      </c>
      <c r="AK58" s="45">
        <v>60</v>
      </c>
    </row>
    <row r="59" spans="1:41" x14ac:dyDescent="0.25">
      <c r="A59" s="53" t="s">
        <v>65</v>
      </c>
      <c r="B59" s="45">
        <v>30</v>
      </c>
      <c r="C59" s="45">
        <v>30</v>
      </c>
      <c r="D59" s="45">
        <v>30</v>
      </c>
      <c r="E59" s="45">
        <v>30</v>
      </c>
      <c r="F59" s="56"/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56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/>
      <c r="AB59" s="45">
        <v>30</v>
      </c>
      <c r="AC59" s="45"/>
      <c r="AD59" s="45">
        <v>30</v>
      </c>
      <c r="AE59" s="45">
        <v>30</v>
      </c>
      <c r="AF59" s="45"/>
      <c r="AG59" s="54">
        <v>30</v>
      </c>
      <c r="AH59" s="47">
        <f t="shared" si="2"/>
        <v>30</v>
      </c>
      <c r="AI59" s="48">
        <f t="shared" si="3"/>
        <v>30</v>
      </c>
      <c r="AK59" s="45">
        <v>30</v>
      </c>
    </row>
    <row r="60" spans="1:41" x14ac:dyDescent="0.25">
      <c r="A60" s="53" t="s">
        <v>66</v>
      </c>
      <c r="B60" s="45">
        <v>0</v>
      </c>
      <c r="C60" s="45">
        <v>0</v>
      </c>
      <c r="D60" s="45">
        <v>0</v>
      </c>
      <c r="E60" s="45">
        <v>0</v>
      </c>
      <c r="F60" s="65"/>
      <c r="G60" s="65">
        <v>0</v>
      </c>
      <c r="H60" s="65">
        <v>0</v>
      </c>
      <c r="I60" s="65">
        <v>1.4</v>
      </c>
      <c r="J60" s="65">
        <v>1.6</v>
      </c>
      <c r="K60" s="65">
        <v>1.8</v>
      </c>
      <c r="L60" s="65">
        <v>1.8</v>
      </c>
      <c r="M60" s="65">
        <v>1.8</v>
      </c>
      <c r="N60" s="65">
        <v>1.8</v>
      </c>
      <c r="O60" s="65">
        <v>1.8</v>
      </c>
      <c r="P60" s="65">
        <v>1.8</v>
      </c>
      <c r="Q60" s="65">
        <v>1.8</v>
      </c>
      <c r="R60" s="65">
        <v>1.8</v>
      </c>
      <c r="S60" s="65">
        <v>1.8</v>
      </c>
      <c r="T60" s="45">
        <v>1.8</v>
      </c>
      <c r="U60" s="45">
        <v>1.8</v>
      </c>
      <c r="V60" s="45">
        <v>1.8</v>
      </c>
      <c r="W60" s="45">
        <v>1.8</v>
      </c>
      <c r="X60" s="45">
        <v>1.8</v>
      </c>
      <c r="Y60" s="45">
        <v>1.8</v>
      </c>
      <c r="Z60" s="45">
        <v>1.8</v>
      </c>
      <c r="AA60" s="45"/>
      <c r="AB60" s="45">
        <v>0</v>
      </c>
      <c r="AC60" s="45"/>
      <c r="AD60" s="45">
        <v>0</v>
      </c>
      <c r="AE60" s="45">
        <v>0</v>
      </c>
      <c r="AF60" s="45"/>
      <c r="AG60" s="54">
        <v>25</v>
      </c>
      <c r="AH60" s="47">
        <f t="shared" si="2"/>
        <v>1.8</v>
      </c>
      <c r="AI60" s="48">
        <f t="shared" si="3"/>
        <v>0</v>
      </c>
      <c r="AK60" s="45">
        <v>25</v>
      </c>
    </row>
    <row r="61" spans="1:41" x14ac:dyDescent="0.25">
      <c r="A61" s="53" t="s">
        <v>67</v>
      </c>
      <c r="B61" s="65">
        <v>15</v>
      </c>
      <c r="C61" s="65">
        <v>15</v>
      </c>
      <c r="D61" s="65">
        <v>15</v>
      </c>
      <c r="E61" s="65">
        <v>15</v>
      </c>
      <c r="F61" s="65"/>
      <c r="G61" s="65">
        <v>15</v>
      </c>
      <c r="H61" s="65">
        <v>15</v>
      </c>
      <c r="I61" s="65">
        <v>15</v>
      </c>
      <c r="J61" s="65">
        <v>15</v>
      </c>
      <c r="K61" s="65">
        <v>15</v>
      </c>
      <c r="L61" s="65">
        <v>15</v>
      </c>
      <c r="M61" s="65">
        <v>15</v>
      </c>
      <c r="N61" s="65">
        <v>15</v>
      </c>
      <c r="O61" s="65">
        <v>15</v>
      </c>
      <c r="P61" s="65">
        <v>15</v>
      </c>
      <c r="Q61" s="65">
        <v>15</v>
      </c>
      <c r="R61" s="65">
        <v>15</v>
      </c>
      <c r="S61" s="65">
        <v>17.5</v>
      </c>
      <c r="T61" s="65">
        <v>17.5</v>
      </c>
      <c r="U61" s="65">
        <v>18</v>
      </c>
      <c r="V61" s="65">
        <v>18</v>
      </c>
      <c r="W61" s="65">
        <v>18</v>
      </c>
      <c r="X61" s="65">
        <v>18</v>
      </c>
      <c r="Y61" s="65">
        <v>18</v>
      </c>
      <c r="Z61" s="65">
        <v>18</v>
      </c>
      <c r="AA61" s="65"/>
      <c r="AB61" s="65">
        <v>18</v>
      </c>
      <c r="AC61" s="65"/>
      <c r="AD61" s="65">
        <v>18</v>
      </c>
      <c r="AE61" s="65">
        <v>18</v>
      </c>
      <c r="AF61" s="65"/>
      <c r="AG61" s="54">
        <v>24</v>
      </c>
      <c r="AH61" s="47">
        <f t="shared" si="2"/>
        <v>18</v>
      </c>
      <c r="AI61" s="48">
        <f t="shared" si="3"/>
        <v>15</v>
      </c>
      <c r="AK61" s="45">
        <v>24</v>
      </c>
    </row>
    <row r="62" spans="1:41" x14ac:dyDescent="0.25">
      <c r="A62" s="53" t="s">
        <v>68</v>
      </c>
      <c r="B62" s="65">
        <v>1.4</v>
      </c>
      <c r="C62" s="65">
        <v>1.4</v>
      </c>
      <c r="D62" s="65">
        <v>1.4</v>
      </c>
      <c r="E62" s="65">
        <v>1.4</v>
      </c>
      <c r="F62" s="65"/>
      <c r="G62" s="65">
        <v>1.4</v>
      </c>
      <c r="H62" s="65">
        <v>1.4</v>
      </c>
      <c r="I62" s="65">
        <v>1.4</v>
      </c>
      <c r="J62" s="65">
        <v>1.4</v>
      </c>
      <c r="K62" s="65">
        <v>1.4</v>
      </c>
      <c r="L62" s="65">
        <v>1.4</v>
      </c>
      <c r="M62" s="65">
        <v>1.4</v>
      </c>
      <c r="N62" s="65">
        <v>1.4</v>
      </c>
      <c r="O62" s="65">
        <v>1.4</v>
      </c>
      <c r="P62" s="65">
        <v>1.4</v>
      </c>
      <c r="Q62" s="65">
        <v>1.4</v>
      </c>
      <c r="R62" s="65">
        <v>1.4</v>
      </c>
      <c r="S62" s="65">
        <v>1.4</v>
      </c>
      <c r="T62" s="65">
        <v>1.4</v>
      </c>
      <c r="U62" s="65">
        <v>1.4</v>
      </c>
      <c r="V62" s="65">
        <v>1.4</v>
      </c>
      <c r="W62" s="65">
        <v>1.4</v>
      </c>
      <c r="X62" s="65">
        <v>1.4</v>
      </c>
      <c r="Y62" s="65">
        <v>1.4</v>
      </c>
      <c r="Z62" s="65">
        <v>1.4</v>
      </c>
      <c r="AA62" s="65"/>
      <c r="AB62" s="65">
        <v>1.4</v>
      </c>
      <c r="AC62" s="65"/>
      <c r="AD62" s="65">
        <v>1.4</v>
      </c>
      <c r="AE62" s="65">
        <v>1.4</v>
      </c>
      <c r="AF62" s="65"/>
      <c r="AG62" s="54">
        <v>15</v>
      </c>
      <c r="AH62" s="47">
        <f t="shared" si="2"/>
        <v>1.4</v>
      </c>
      <c r="AI62" s="48">
        <f t="shared" si="3"/>
        <v>1.4</v>
      </c>
      <c r="AK62" s="45">
        <v>15</v>
      </c>
      <c r="AL62" s="70"/>
      <c r="AO62" s="70"/>
    </row>
    <row r="63" spans="1:41" s="70" customFormat="1" x14ac:dyDescent="0.25">
      <c r="A63" s="53" t="s">
        <v>69</v>
      </c>
      <c r="B63" s="65">
        <v>13.4</v>
      </c>
      <c r="C63" s="65">
        <v>13.4</v>
      </c>
      <c r="D63" s="65">
        <v>13.4</v>
      </c>
      <c r="E63" s="65">
        <v>13.4</v>
      </c>
      <c r="F63" s="65"/>
      <c r="G63" s="65">
        <v>13.9</v>
      </c>
      <c r="H63" s="65">
        <v>13.9</v>
      </c>
      <c r="I63" s="65">
        <v>13.2</v>
      </c>
      <c r="J63" s="65">
        <v>13.2</v>
      </c>
      <c r="K63" s="65">
        <v>13.2</v>
      </c>
      <c r="L63" s="65">
        <v>13.2</v>
      </c>
      <c r="M63" s="65">
        <v>13.2</v>
      </c>
      <c r="N63" s="65">
        <v>13.2</v>
      </c>
      <c r="O63" s="65">
        <v>13.2</v>
      </c>
      <c r="P63" s="65">
        <v>13.2</v>
      </c>
      <c r="Q63" s="65">
        <v>13.2</v>
      </c>
      <c r="R63" s="65">
        <v>13.2</v>
      </c>
      <c r="S63" s="65">
        <v>13.2</v>
      </c>
      <c r="T63" s="65">
        <v>13.2</v>
      </c>
      <c r="U63" s="65">
        <v>12.4</v>
      </c>
      <c r="V63" s="65">
        <v>12.4</v>
      </c>
      <c r="W63" s="65">
        <v>12.4</v>
      </c>
      <c r="X63" s="65">
        <v>12.4</v>
      </c>
      <c r="Y63" s="65">
        <v>12.4</v>
      </c>
      <c r="Z63" s="65">
        <v>12.4</v>
      </c>
      <c r="AA63" s="65"/>
      <c r="AB63" s="65">
        <v>12.4</v>
      </c>
      <c r="AC63" s="65"/>
      <c r="AD63" s="65">
        <v>12.4</v>
      </c>
      <c r="AE63" s="65">
        <v>12.4</v>
      </c>
      <c r="AF63" s="65"/>
      <c r="AG63" s="54">
        <v>14.1</v>
      </c>
      <c r="AH63" s="47">
        <f t="shared" si="2"/>
        <v>13.9</v>
      </c>
      <c r="AI63" s="48">
        <f t="shared" si="3"/>
        <v>12.4</v>
      </c>
      <c r="AJ63" s="1"/>
      <c r="AK63" s="45">
        <v>14.1</v>
      </c>
      <c r="AL63" s="1"/>
      <c r="AM63" s="1"/>
      <c r="AN63" s="1"/>
      <c r="AO63" s="1"/>
    </row>
    <row r="64" spans="1:41" x14ac:dyDescent="0.25">
      <c r="A64" s="71" t="s">
        <v>70</v>
      </c>
      <c r="B64" s="65">
        <v>14.3</v>
      </c>
      <c r="C64" s="65">
        <v>14.3</v>
      </c>
      <c r="D64" s="65">
        <v>14.3</v>
      </c>
      <c r="E64" s="65">
        <v>14.3</v>
      </c>
      <c r="F64" s="65"/>
      <c r="G64" s="65">
        <v>14.2</v>
      </c>
      <c r="H64" s="65">
        <v>14.2</v>
      </c>
      <c r="I64" s="65">
        <v>14.3</v>
      </c>
      <c r="J64" s="65">
        <v>14.3</v>
      </c>
      <c r="K64" s="65">
        <v>14.3</v>
      </c>
      <c r="L64" s="65">
        <v>14.3</v>
      </c>
      <c r="M64" s="65">
        <v>14.3</v>
      </c>
      <c r="N64" s="65">
        <v>14.3</v>
      </c>
      <c r="O64" s="65">
        <v>14.3</v>
      </c>
      <c r="P64" s="65">
        <v>14.3</v>
      </c>
      <c r="Q64" s="65">
        <v>14.3</v>
      </c>
      <c r="R64" s="65">
        <v>14.3</v>
      </c>
      <c r="S64" s="65">
        <v>14.3</v>
      </c>
      <c r="T64" s="65">
        <v>14.3</v>
      </c>
      <c r="U64" s="65">
        <v>14.1</v>
      </c>
      <c r="V64" s="65">
        <v>0</v>
      </c>
      <c r="W64" s="65">
        <v>14.1</v>
      </c>
      <c r="X64" s="65">
        <v>14</v>
      </c>
      <c r="Y64" s="65">
        <v>14</v>
      </c>
      <c r="Z64" s="65">
        <v>14</v>
      </c>
      <c r="AA64" s="65"/>
      <c r="AB64" s="65">
        <v>14</v>
      </c>
      <c r="AC64" s="65"/>
      <c r="AD64" s="65">
        <v>14</v>
      </c>
      <c r="AE64" s="65">
        <v>14.2</v>
      </c>
      <c r="AF64" s="65"/>
      <c r="AG64" s="54">
        <v>14</v>
      </c>
      <c r="AH64" s="47">
        <f t="shared" si="2"/>
        <v>14.3</v>
      </c>
      <c r="AI64" s="48">
        <f t="shared" si="3"/>
        <v>0</v>
      </c>
      <c r="AK64" s="45">
        <v>14</v>
      </c>
    </row>
    <row r="65" spans="1:40" x14ac:dyDescent="0.25">
      <c r="A65" s="53" t="s">
        <v>71</v>
      </c>
      <c r="B65" s="65">
        <v>7</v>
      </c>
      <c r="C65" s="65">
        <v>7</v>
      </c>
      <c r="D65" s="65">
        <v>7</v>
      </c>
      <c r="E65" s="65">
        <v>7</v>
      </c>
      <c r="F65" s="65"/>
      <c r="G65" s="65">
        <v>7</v>
      </c>
      <c r="H65" s="65">
        <v>7</v>
      </c>
      <c r="I65" s="65">
        <v>7</v>
      </c>
      <c r="J65" s="65">
        <v>7</v>
      </c>
      <c r="K65" s="65">
        <v>7</v>
      </c>
      <c r="L65" s="65">
        <v>7</v>
      </c>
      <c r="M65" s="65">
        <v>7</v>
      </c>
      <c r="N65" s="65">
        <v>7</v>
      </c>
      <c r="O65" s="65">
        <v>7</v>
      </c>
      <c r="P65" s="65">
        <v>7</v>
      </c>
      <c r="Q65" s="65">
        <v>7</v>
      </c>
      <c r="R65" s="65">
        <v>7</v>
      </c>
      <c r="S65" s="65">
        <v>7</v>
      </c>
      <c r="T65" s="65">
        <v>7</v>
      </c>
      <c r="U65" s="65">
        <v>7</v>
      </c>
      <c r="V65" s="65">
        <v>7</v>
      </c>
      <c r="W65" s="65">
        <v>7</v>
      </c>
      <c r="X65" s="65">
        <v>7.5</v>
      </c>
      <c r="Y65" s="65">
        <v>7.5</v>
      </c>
      <c r="Z65" s="65">
        <v>7.5</v>
      </c>
      <c r="AA65" s="65"/>
      <c r="AB65" s="65">
        <v>7.5</v>
      </c>
      <c r="AC65" s="65"/>
      <c r="AD65" s="65">
        <v>7.5</v>
      </c>
      <c r="AE65" s="65">
        <v>7.5</v>
      </c>
      <c r="AF65" s="65"/>
      <c r="AG65" s="54">
        <v>10.050000000000001</v>
      </c>
      <c r="AH65" s="47">
        <f t="shared" si="2"/>
        <v>7.5</v>
      </c>
      <c r="AI65" s="48">
        <f t="shared" si="3"/>
        <v>7</v>
      </c>
      <c r="AK65" s="45">
        <v>10.050000000000001</v>
      </c>
    </row>
    <row r="66" spans="1:40" x14ac:dyDescent="0.25">
      <c r="A66" s="53" t="s">
        <v>72</v>
      </c>
      <c r="B66" s="65">
        <v>2.2000000000000002</v>
      </c>
      <c r="C66" s="65">
        <v>2.2000000000000002</v>
      </c>
      <c r="D66" s="65">
        <v>2.2000000000000002</v>
      </c>
      <c r="E66" s="65">
        <v>2.2000000000000002</v>
      </c>
      <c r="F66" s="65"/>
      <c r="G66" s="65">
        <v>2.2000000000000002</v>
      </c>
      <c r="H66" s="65">
        <v>2.2000000000000002</v>
      </c>
      <c r="I66" s="65">
        <v>2.2000000000000002</v>
      </c>
      <c r="J66" s="65">
        <v>2.2000000000000002</v>
      </c>
      <c r="K66" s="65">
        <v>2.2000000000000002</v>
      </c>
      <c r="L66" s="65">
        <v>2.2000000000000002</v>
      </c>
      <c r="M66" s="65">
        <v>2.2000000000000002</v>
      </c>
      <c r="N66" s="65">
        <v>2.2000000000000002</v>
      </c>
      <c r="O66" s="65">
        <v>2.2000000000000002</v>
      </c>
      <c r="P66" s="65">
        <v>2.2000000000000002</v>
      </c>
      <c r="Q66" s="65">
        <v>2.2000000000000002</v>
      </c>
      <c r="R66" s="65">
        <v>2.2000000000000002</v>
      </c>
      <c r="S66" s="65">
        <v>2.2000000000000002</v>
      </c>
      <c r="T66" s="65">
        <v>2.2000000000000002</v>
      </c>
      <c r="U66" s="65">
        <v>2.2000000000000002</v>
      </c>
      <c r="V66" s="65">
        <v>2.2000000000000002</v>
      </c>
      <c r="W66" s="65">
        <v>2.2000000000000002</v>
      </c>
      <c r="X66" s="65">
        <v>2.2000000000000002</v>
      </c>
      <c r="Y66" s="65">
        <v>2.2000000000000002</v>
      </c>
      <c r="Z66" s="65">
        <v>2.2000000000000002</v>
      </c>
      <c r="AA66" s="65"/>
      <c r="AB66" s="65">
        <v>2.2000000000000002</v>
      </c>
      <c r="AC66" s="65"/>
      <c r="AD66" s="65">
        <v>2.2000000000000002</v>
      </c>
      <c r="AE66" s="65">
        <v>2.2000000000000002</v>
      </c>
      <c r="AF66" s="65"/>
      <c r="AG66" s="54">
        <v>6.2</v>
      </c>
      <c r="AH66" s="47">
        <f t="shared" si="2"/>
        <v>2.2000000000000002</v>
      </c>
      <c r="AI66" s="48">
        <f t="shared" si="3"/>
        <v>2.2000000000000002</v>
      </c>
      <c r="AK66" s="45">
        <v>6.2</v>
      </c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5">
        <f>SUM(AK55:AK66)</f>
        <v>481.35</v>
      </c>
    </row>
    <row r="68" spans="1:40" ht="15.75" thickBot="1" x14ac:dyDescent="0.3">
      <c r="A68" s="74" t="s">
        <v>74</v>
      </c>
      <c r="B68" s="60">
        <f t="shared" ref="B68:C68" si="13">SUM(B55:B67)</f>
        <v>382.14</v>
      </c>
      <c r="C68" s="60">
        <f t="shared" si="13"/>
        <v>383.44</v>
      </c>
      <c r="D68" s="60">
        <f t="shared" ref="D68" si="14">SUM(D55:D67)</f>
        <v>382.64</v>
      </c>
      <c r="E68" s="60">
        <f t="shared" ref="E68:AG68" si="15">SUM(E55:E67)</f>
        <v>382.64</v>
      </c>
      <c r="F68" s="60">
        <f t="shared" si="15"/>
        <v>3.54</v>
      </c>
      <c r="G68" s="60">
        <f t="shared" si="15"/>
        <v>325.83999999999997</v>
      </c>
      <c r="H68" s="60">
        <f t="shared" si="15"/>
        <v>379.34</v>
      </c>
      <c r="I68" s="60">
        <f t="shared" si="15"/>
        <v>383.73999999999995</v>
      </c>
      <c r="J68" s="60">
        <f t="shared" si="15"/>
        <v>383.14</v>
      </c>
      <c r="K68" s="60">
        <f t="shared" si="15"/>
        <v>383.44</v>
      </c>
      <c r="L68" s="60">
        <f t="shared" si="15"/>
        <v>383.34</v>
      </c>
      <c r="M68" s="60">
        <f t="shared" si="15"/>
        <v>383.74</v>
      </c>
      <c r="N68" s="60">
        <f t="shared" si="15"/>
        <v>353.94</v>
      </c>
      <c r="O68" s="60">
        <f t="shared" si="15"/>
        <v>289.24000000000007</v>
      </c>
      <c r="P68" s="60">
        <f t="shared" si="15"/>
        <v>337.74</v>
      </c>
      <c r="Q68" s="60">
        <f t="shared" si="15"/>
        <v>377.84</v>
      </c>
      <c r="R68" s="60">
        <f t="shared" si="15"/>
        <v>380.74</v>
      </c>
      <c r="S68" s="60">
        <f t="shared" si="15"/>
        <v>384.34</v>
      </c>
      <c r="T68" s="60">
        <f t="shared" si="15"/>
        <v>386.54</v>
      </c>
      <c r="U68" s="60">
        <f t="shared" si="15"/>
        <v>387.04</v>
      </c>
      <c r="V68" s="60">
        <f t="shared" si="15"/>
        <v>274.34000000000003</v>
      </c>
      <c r="W68" s="60">
        <f t="shared" si="15"/>
        <v>370.73999999999995</v>
      </c>
      <c r="X68" s="60">
        <f t="shared" si="15"/>
        <v>437.43999999999994</v>
      </c>
      <c r="Y68" s="60">
        <f t="shared" si="15"/>
        <v>437.43999999999994</v>
      </c>
      <c r="Z68" s="60">
        <f t="shared" si="15"/>
        <v>437.73999999999995</v>
      </c>
      <c r="AA68" s="60">
        <f t="shared" si="15"/>
        <v>3.54</v>
      </c>
      <c r="AB68" s="60">
        <f t="shared" si="15"/>
        <v>289.74</v>
      </c>
      <c r="AC68" s="60">
        <f t="shared" si="15"/>
        <v>3.54</v>
      </c>
      <c r="AD68" s="60">
        <f t="shared" si="15"/>
        <v>385.44</v>
      </c>
      <c r="AE68" s="60">
        <f t="shared" si="15"/>
        <v>428.43999999999994</v>
      </c>
      <c r="AF68" s="60">
        <f t="shared" si="15"/>
        <v>3.54</v>
      </c>
      <c r="AG68" s="61">
        <f t="shared" si="15"/>
        <v>489.91</v>
      </c>
      <c r="AH68" s="47">
        <f t="shared" si="2"/>
        <v>437.73999999999995</v>
      </c>
      <c r="AI68" s="48">
        <f t="shared" si="3"/>
        <v>3.54</v>
      </c>
      <c r="AK68" s="45"/>
    </row>
    <row r="69" spans="1:40" x14ac:dyDescent="0.25">
      <c r="A69" s="44" t="s">
        <v>75</v>
      </c>
      <c r="B69" s="45">
        <v>10.6</v>
      </c>
      <c r="C69" s="45">
        <v>10.6</v>
      </c>
      <c r="D69" s="45">
        <v>29.4</v>
      </c>
      <c r="E69" s="45">
        <v>39.799999999999997</v>
      </c>
      <c r="F69" s="45"/>
      <c r="G69" s="45">
        <v>10.7</v>
      </c>
      <c r="H69" s="45">
        <v>28.8</v>
      </c>
      <c r="I69" s="45">
        <v>28.8</v>
      </c>
      <c r="J69" s="45">
        <v>28.8</v>
      </c>
      <c r="K69" s="45">
        <v>29.1</v>
      </c>
      <c r="L69" s="45">
        <v>28</v>
      </c>
      <c r="M69" s="45">
        <v>13.7</v>
      </c>
      <c r="N69" s="45">
        <v>19.7</v>
      </c>
      <c r="O69" s="45">
        <v>28.9</v>
      </c>
      <c r="P69" s="45">
        <v>28.9</v>
      </c>
      <c r="Q69" s="45">
        <v>10.199999999999999</v>
      </c>
      <c r="R69" s="45">
        <v>24</v>
      </c>
      <c r="S69" s="45">
        <v>23.6</v>
      </c>
      <c r="T69" s="45">
        <v>10.3</v>
      </c>
      <c r="U69" s="45">
        <v>13.9</v>
      </c>
      <c r="V69" s="45">
        <v>60</v>
      </c>
      <c r="W69" s="45">
        <v>0</v>
      </c>
      <c r="X69" s="45">
        <v>0</v>
      </c>
      <c r="Y69" s="45">
        <v>0</v>
      </c>
      <c r="Z69" s="45">
        <v>0</v>
      </c>
      <c r="AA69" s="45"/>
      <c r="AB69" s="45">
        <v>57.9</v>
      </c>
      <c r="AC69" s="45"/>
      <c r="AD69" s="45">
        <v>58</v>
      </c>
      <c r="AE69" s="45">
        <v>14</v>
      </c>
      <c r="AF69" s="45"/>
      <c r="AG69" s="51">
        <v>60</v>
      </c>
      <c r="AH69" s="47">
        <f t="shared" si="2"/>
        <v>60</v>
      </c>
      <c r="AI69" s="48">
        <f t="shared" si="3"/>
        <v>0</v>
      </c>
      <c r="AK69" s="45"/>
    </row>
    <row r="70" spans="1:40" x14ac:dyDescent="0.25">
      <c r="A70" s="53" t="s">
        <v>76</v>
      </c>
      <c r="B70" s="65">
        <v>5.5</v>
      </c>
      <c r="C70" s="65">
        <v>5.5</v>
      </c>
      <c r="D70" s="65">
        <v>15.6</v>
      </c>
      <c r="E70" s="65">
        <v>21.3</v>
      </c>
      <c r="F70" s="65"/>
      <c r="G70" s="65">
        <v>9.4</v>
      </c>
      <c r="H70" s="65">
        <v>16.3</v>
      </c>
      <c r="I70" s="65">
        <v>16.3</v>
      </c>
      <c r="J70" s="65">
        <v>16.399999999999999</v>
      </c>
      <c r="K70" s="65">
        <v>16.2</v>
      </c>
      <c r="L70" s="65">
        <v>16</v>
      </c>
      <c r="M70" s="65">
        <v>12.2</v>
      </c>
      <c r="N70" s="65">
        <v>11</v>
      </c>
      <c r="O70" s="65">
        <v>9.6999999999999993</v>
      </c>
      <c r="P70" s="65">
        <v>5.8</v>
      </c>
      <c r="Q70" s="65">
        <v>4.5999999999999996</v>
      </c>
      <c r="R70" s="65">
        <v>15</v>
      </c>
      <c r="S70" s="65">
        <v>13.1</v>
      </c>
      <c r="T70" s="65">
        <v>6.3</v>
      </c>
      <c r="U70" s="65">
        <v>6.4</v>
      </c>
      <c r="V70" s="65">
        <v>16.8</v>
      </c>
      <c r="W70" s="65">
        <v>0</v>
      </c>
      <c r="X70" s="65">
        <v>0</v>
      </c>
      <c r="Y70" s="65">
        <v>0</v>
      </c>
      <c r="Z70" s="65">
        <v>0</v>
      </c>
      <c r="AA70" s="65"/>
      <c r="AB70" s="65">
        <v>30.6</v>
      </c>
      <c r="AC70" s="65"/>
      <c r="AD70" s="65">
        <v>29</v>
      </c>
      <c r="AE70" s="65">
        <v>12</v>
      </c>
      <c r="AF70" s="65"/>
      <c r="AG70" s="54">
        <v>32</v>
      </c>
      <c r="AH70" s="47">
        <f t="shared" si="2"/>
        <v>30.6</v>
      </c>
      <c r="AI70" s="48">
        <f t="shared" si="3"/>
        <v>0</v>
      </c>
      <c r="AK70" s="45"/>
    </row>
    <row r="71" spans="1:40" ht="15.75" thickBot="1" x14ac:dyDescent="0.3">
      <c r="A71" s="71" t="s">
        <v>77</v>
      </c>
      <c r="B71" s="67">
        <v>2</v>
      </c>
      <c r="C71" s="67">
        <v>2</v>
      </c>
      <c r="D71" s="67">
        <v>5.7</v>
      </c>
      <c r="E71" s="67">
        <v>8</v>
      </c>
      <c r="F71" s="67"/>
      <c r="G71" s="67">
        <v>3.4</v>
      </c>
      <c r="H71" s="67">
        <v>5.9</v>
      </c>
      <c r="I71" s="67">
        <v>6</v>
      </c>
      <c r="J71" s="67">
        <v>6</v>
      </c>
      <c r="K71" s="67">
        <v>5.9</v>
      </c>
      <c r="L71" s="67">
        <v>5.8</v>
      </c>
      <c r="M71" s="67">
        <v>4.4000000000000004</v>
      </c>
      <c r="N71" s="67">
        <v>4</v>
      </c>
      <c r="O71" s="67">
        <v>3.6</v>
      </c>
      <c r="P71" s="67">
        <v>2.1</v>
      </c>
      <c r="Q71" s="67">
        <v>1.7</v>
      </c>
      <c r="R71" s="67">
        <v>5.4</v>
      </c>
      <c r="S71" s="67">
        <v>4.8</v>
      </c>
      <c r="T71" s="67">
        <v>2.2999999999999998</v>
      </c>
      <c r="U71" s="67">
        <v>2.2999999999999998</v>
      </c>
      <c r="V71" s="67">
        <v>6.2</v>
      </c>
      <c r="W71" s="67">
        <v>0</v>
      </c>
      <c r="X71" s="67">
        <v>0</v>
      </c>
      <c r="Y71" s="67">
        <v>0</v>
      </c>
      <c r="Z71" s="67">
        <v>0</v>
      </c>
      <c r="AA71" s="67"/>
      <c r="AB71" s="67">
        <v>11.2</v>
      </c>
      <c r="AC71" s="67"/>
      <c r="AD71" s="67">
        <v>10</v>
      </c>
      <c r="AE71" s="67">
        <v>4.5999999999999996</v>
      </c>
      <c r="AF71" s="67"/>
      <c r="AG71" s="68">
        <v>14</v>
      </c>
      <c r="AH71" s="47">
        <f t="shared" si="2"/>
        <v>11.2</v>
      </c>
      <c r="AI71" s="48">
        <f t="shared" si="3"/>
        <v>0</v>
      </c>
      <c r="AK71" s="45"/>
    </row>
    <row r="72" spans="1:40" ht="15.75" thickBot="1" x14ac:dyDescent="0.3">
      <c r="A72" s="74" t="s">
        <v>78</v>
      </c>
      <c r="B72" s="60">
        <f t="shared" ref="B72:C72" si="16">B69+B70+B71</f>
        <v>18.100000000000001</v>
      </c>
      <c r="C72" s="60">
        <f t="shared" si="16"/>
        <v>18.100000000000001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49.8</v>
      </c>
      <c r="M72" s="60">
        <f t="shared" ref="M72:AF72" si="17">M69+M70+M71</f>
        <v>30.299999999999997</v>
      </c>
      <c r="N72" s="60">
        <f t="shared" si="17"/>
        <v>34.700000000000003</v>
      </c>
      <c r="O72" s="60">
        <f t="shared" si="17"/>
        <v>42.199999999999996</v>
      </c>
      <c r="P72" s="60">
        <f t="shared" si="17"/>
        <v>36.799999999999997</v>
      </c>
      <c r="Q72" s="60">
        <f t="shared" si="17"/>
        <v>16.5</v>
      </c>
      <c r="R72" s="60">
        <f t="shared" si="17"/>
        <v>44.4</v>
      </c>
      <c r="S72" s="60">
        <f t="shared" si="17"/>
        <v>41.5</v>
      </c>
      <c r="T72" s="60">
        <f t="shared" si="17"/>
        <v>18.900000000000002</v>
      </c>
      <c r="U72" s="60">
        <f t="shared" si="17"/>
        <v>22.6</v>
      </c>
      <c r="V72" s="60">
        <f t="shared" si="17"/>
        <v>83</v>
      </c>
      <c r="W72" s="60">
        <f t="shared" si="17"/>
        <v>0</v>
      </c>
      <c r="X72" s="60">
        <f>Y69+Y70+Y71</f>
        <v>0</v>
      </c>
      <c r="Y72" s="60">
        <f>Z69+Z70+Z71</f>
        <v>0</v>
      </c>
      <c r="Z72" s="60">
        <f t="shared" si="17"/>
        <v>0</v>
      </c>
      <c r="AA72" s="60">
        <f t="shared" si="17"/>
        <v>0</v>
      </c>
      <c r="AB72" s="60">
        <f t="shared" si="17"/>
        <v>99.7</v>
      </c>
      <c r="AC72" s="60">
        <f t="shared" si="17"/>
        <v>0</v>
      </c>
      <c r="AD72" s="60">
        <f t="shared" si="17"/>
        <v>97</v>
      </c>
      <c r="AE72" s="60">
        <f t="shared" si="17"/>
        <v>30.6</v>
      </c>
      <c r="AF72" s="60">
        <f t="shared" si="17"/>
        <v>0</v>
      </c>
      <c r="AG72" s="61">
        <f>SUM(AG69:AG71)</f>
        <v>106</v>
      </c>
      <c r="AH72" s="47">
        <f t="shared" si="2"/>
        <v>99.7</v>
      </c>
      <c r="AI72" s="48">
        <f t="shared" si="3"/>
        <v>0</v>
      </c>
      <c r="AK72" s="49"/>
    </row>
    <row r="73" spans="1:40" x14ac:dyDescent="0.25">
      <c r="A73" s="44" t="s">
        <v>79</v>
      </c>
      <c r="B73" s="45">
        <v>49</v>
      </c>
      <c r="C73" s="45">
        <v>39</v>
      </c>
      <c r="D73" s="45">
        <v>71</v>
      </c>
      <c r="E73" s="45">
        <v>36.5</v>
      </c>
      <c r="F73" s="45"/>
      <c r="G73" s="45">
        <v>58.2</v>
      </c>
      <c r="H73" s="45">
        <v>59.2</v>
      </c>
      <c r="I73" s="45">
        <v>57.6</v>
      </c>
      <c r="J73" s="45">
        <v>59.1</v>
      </c>
      <c r="K73" s="45">
        <v>46.2</v>
      </c>
      <c r="L73" s="45">
        <v>42.8</v>
      </c>
      <c r="M73" s="45">
        <v>42</v>
      </c>
      <c r="N73" s="45">
        <v>56</v>
      </c>
      <c r="O73" s="45">
        <v>61.8</v>
      </c>
      <c r="P73" s="45">
        <v>62.3</v>
      </c>
      <c r="Q73" s="45">
        <v>43</v>
      </c>
      <c r="R73" s="45">
        <v>39</v>
      </c>
      <c r="S73" s="45">
        <v>59.8</v>
      </c>
      <c r="T73" s="45">
        <v>62.6</v>
      </c>
      <c r="U73" s="45">
        <v>64.400000000000006</v>
      </c>
      <c r="V73" s="45">
        <v>73.099999999999994</v>
      </c>
      <c r="W73" s="45">
        <v>79</v>
      </c>
      <c r="X73" s="45">
        <v>32</v>
      </c>
      <c r="Y73" s="45">
        <v>52.1</v>
      </c>
      <c r="Z73" s="45">
        <v>42</v>
      </c>
      <c r="AA73" s="45"/>
      <c r="AB73" s="45">
        <v>52</v>
      </c>
      <c r="AC73" s="45"/>
      <c r="AD73" s="45">
        <v>55.2</v>
      </c>
      <c r="AE73" s="45">
        <v>51</v>
      </c>
      <c r="AF73" s="45"/>
      <c r="AG73" s="51"/>
      <c r="AH73" s="47">
        <f t="shared" si="2"/>
        <v>79</v>
      </c>
      <c r="AI73" s="48">
        <f t="shared" si="3"/>
        <v>32</v>
      </c>
      <c r="AK73" s="49"/>
    </row>
    <row r="74" spans="1:40" x14ac:dyDescent="0.25">
      <c r="A74" s="53" t="s">
        <v>80</v>
      </c>
      <c r="B74" s="65">
        <v>0</v>
      </c>
      <c r="C74" s="65">
        <v>0</v>
      </c>
      <c r="D74" s="65">
        <v>0</v>
      </c>
      <c r="E74" s="65">
        <v>0</v>
      </c>
      <c r="F74" s="65"/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/>
      <c r="AB74" s="65">
        <v>0</v>
      </c>
      <c r="AC74" s="65"/>
      <c r="AD74" s="65">
        <v>0</v>
      </c>
      <c r="AE74" s="65">
        <v>0</v>
      </c>
      <c r="AF74" s="65"/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>
        <v>-363.7</v>
      </c>
      <c r="C75" s="65">
        <v>-352</v>
      </c>
      <c r="D75" s="65">
        <v>-375</v>
      </c>
      <c r="E75" s="65">
        <v>-396.5</v>
      </c>
      <c r="F75" s="65"/>
      <c r="G75" s="65">
        <v>-350.1</v>
      </c>
      <c r="H75" s="65">
        <v>-372.8</v>
      </c>
      <c r="I75" s="65">
        <v>-360.3</v>
      </c>
      <c r="J75" s="65">
        <v>-326.7</v>
      </c>
      <c r="K75" s="65">
        <v>-322</v>
      </c>
      <c r="L75" s="65">
        <v>-319</v>
      </c>
      <c r="M75" s="65">
        <v>-319.5</v>
      </c>
      <c r="N75" s="65">
        <v>-284</v>
      </c>
      <c r="O75" s="65">
        <v>-208</v>
      </c>
      <c r="P75" s="65">
        <v>-269.89999999999998</v>
      </c>
      <c r="Q75" s="65">
        <v>-291</v>
      </c>
      <c r="R75" s="65">
        <v>-293</v>
      </c>
      <c r="S75" s="65">
        <v>-316</v>
      </c>
      <c r="T75" s="65">
        <v>-289</v>
      </c>
      <c r="U75" s="65">
        <v>-223.6</v>
      </c>
      <c r="V75" s="65">
        <v>-302</v>
      </c>
      <c r="W75" s="65">
        <v>-280</v>
      </c>
      <c r="X75" s="65">
        <v>-285</v>
      </c>
      <c r="Y75" s="65">
        <v>-208</v>
      </c>
      <c r="Z75" s="65">
        <v>-185</v>
      </c>
      <c r="AA75" s="65"/>
      <c r="AB75" s="65">
        <v>-110.7</v>
      </c>
      <c r="AC75" s="65"/>
      <c r="AD75" s="65">
        <v>-189</v>
      </c>
      <c r="AE75" s="65">
        <v>-302</v>
      </c>
      <c r="AF75" s="65"/>
      <c r="AG75" s="75"/>
      <c r="AH75" s="47">
        <f t="shared" si="2"/>
        <v>-110.7</v>
      </c>
      <c r="AI75" s="48">
        <f t="shared" si="3"/>
        <v>-396.5</v>
      </c>
      <c r="AK75" s="49"/>
    </row>
    <row r="76" spans="1:40" x14ac:dyDescent="0.25">
      <c r="A76" s="53" t="s">
        <v>82</v>
      </c>
      <c r="B76" s="76">
        <v>10</v>
      </c>
      <c r="C76" s="76">
        <v>10</v>
      </c>
      <c r="D76" s="76">
        <v>10</v>
      </c>
      <c r="E76" s="76">
        <v>10</v>
      </c>
      <c r="F76" s="76"/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/>
      <c r="AB76" s="76">
        <v>0</v>
      </c>
      <c r="AC76" s="76"/>
      <c r="AD76" s="76">
        <v>12</v>
      </c>
      <c r="AE76" s="76">
        <v>12</v>
      </c>
      <c r="AF76" s="76"/>
      <c r="AG76" s="75"/>
      <c r="AH76" s="47">
        <f t="shared" si="2"/>
        <v>12</v>
      </c>
      <c r="AI76" s="48">
        <f t="shared" si="3"/>
        <v>0</v>
      </c>
      <c r="AK76" s="49"/>
    </row>
    <row r="77" spans="1:40" x14ac:dyDescent="0.25">
      <c r="A77" s="53" t="s">
        <v>83</v>
      </c>
      <c r="B77" s="45">
        <v>0</v>
      </c>
      <c r="C77" s="45">
        <v>0</v>
      </c>
      <c r="D77" s="45">
        <v>0</v>
      </c>
      <c r="E77" s="45">
        <v>0</v>
      </c>
      <c r="F77" s="45"/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/>
      <c r="AB77" s="45">
        <v>0</v>
      </c>
      <c r="AC77" s="45"/>
      <c r="AD77" s="45">
        <v>0</v>
      </c>
      <c r="AE77" s="45">
        <v>0</v>
      </c>
      <c r="AF77" s="45"/>
      <c r="AG77" s="75"/>
      <c r="AH77" s="47">
        <f t="shared" ref="AH77:AH120" si="18">MAX(B77:AF77)</f>
        <v>0</v>
      </c>
      <c r="AI77" s="48">
        <f t="shared" ref="AI77:AI120" si="19">MIN(B77:AF77)</f>
        <v>0</v>
      </c>
      <c r="AK77" s="49"/>
    </row>
    <row r="78" spans="1:40" x14ac:dyDescent="0.25">
      <c r="A78" s="53" t="s">
        <v>84</v>
      </c>
      <c r="B78" s="77">
        <v>5</v>
      </c>
      <c r="C78" s="77">
        <v>5</v>
      </c>
      <c r="D78" s="77">
        <v>5</v>
      </c>
      <c r="E78" s="77">
        <v>5</v>
      </c>
      <c r="F78" s="77"/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/>
      <c r="AB78" s="77">
        <v>5</v>
      </c>
      <c r="AC78" s="77">
        <v>5</v>
      </c>
      <c r="AD78" s="77">
        <v>5</v>
      </c>
      <c r="AE78" s="77">
        <v>5</v>
      </c>
      <c r="AF78" s="77"/>
      <c r="AG78" s="75"/>
      <c r="AH78" s="47">
        <f t="shared" si="18"/>
        <v>5</v>
      </c>
      <c r="AI78" s="48">
        <f t="shared" si="19"/>
        <v>0</v>
      </c>
      <c r="AK78" s="49"/>
    </row>
    <row r="79" spans="1:40" ht="15.75" thickBot="1" x14ac:dyDescent="0.3">
      <c r="A79" s="53" t="s">
        <v>85</v>
      </c>
      <c r="B79" s="77">
        <v>0</v>
      </c>
      <c r="C79" s="77">
        <v>0</v>
      </c>
      <c r="D79" s="77">
        <v>0</v>
      </c>
      <c r="E79" s="77">
        <v>0</v>
      </c>
      <c r="F79" s="77"/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/>
      <c r="AB79" s="77">
        <v>0</v>
      </c>
      <c r="AC79" s="77"/>
      <c r="AD79" s="77">
        <v>0</v>
      </c>
      <c r="AE79" s="77">
        <v>0</v>
      </c>
      <c r="AF79" s="77"/>
      <c r="AG79" s="75"/>
      <c r="AH79" s="47">
        <f t="shared" si="18"/>
        <v>0</v>
      </c>
      <c r="AI79" s="48">
        <f t="shared" si="1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77">
        <v>0</v>
      </c>
      <c r="C80" s="77">
        <v>0</v>
      </c>
      <c r="D80" s="77">
        <v>0</v>
      </c>
      <c r="E80" s="77">
        <v>0</v>
      </c>
      <c r="F80" s="77"/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/>
      <c r="AB80" s="77">
        <v>0</v>
      </c>
      <c r="AC80" s="77"/>
      <c r="AD80" s="77">
        <v>0</v>
      </c>
      <c r="AE80" s="77">
        <v>0</v>
      </c>
      <c r="AF80" s="77"/>
      <c r="AG80" s="75"/>
      <c r="AH80" s="47">
        <f t="shared" si="18"/>
        <v>0</v>
      </c>
      <c r="AI80" s="48">
        <f t="shared" si="1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77">
        <v>0</v>
      </c>
      <c r="C81" s="77">
        <v>0</v>
      </c>
      <c r="D81" s="77">
        <v>0</v>
      </c>
      <c r="E81" s="77">
        <v>0</v>
      </c>
      <c r="F81" s="77"/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/>
      <c r="AB81" s="77">
        <v>0</v>
      </c>
      <c r="AC81" s="77"/>
      <c r="AD81" s="77">
        <v>0</v>
      </c>
      <c r="AE81" s="77">
        <v>0</v>
      </c>
      <c r="AF81" s="77"/>
      <c r="AG81" s="75"/>
      <c r="AH81" s="47">
        <f t="shared" si="18"/>
        <v>0</v>
      </c>
      <c r="AI81" s="48">
        <f t="shared" si="1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77">
        <v>0</v>
      </c>
      <c r="C82" s="77">
        <v>0</v>
      </c>
      <c r="D82" s="77">
        <v>0</v>
      </c>
      <c r="E82" s="77">
        <v>0</v>
      </c>
      <c r="F82" s="77"/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/>
      <c r="AB82" s="77">
        <v>0</v>
      </c>
      <c r="AC82" s="77"/>
      <c r="AD82" s="77">
        <v>0</v>
      </c>
      <c r="AE82" s="77">
        <v>0</v>
      </c>
      <c r="AF82" s="77"/>
      <c r="AG82" s="85"/>
      <c r="AH82" s="47">
        <f t="shared" si="18"/>
        <v>0</v>
      </c>
      <c r="AI82" s="48">
        <f t="shared" si="1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77">
        <v>0</v>
      </c>
      <c r="C83" s="77">
        <v>0</v>
      </c>
      <c r="D83" s="77">
        <v>0</v>
      </c>
      <c r="E83" s="77">
        <v>0</v>
      </c>
      <c r="F83" s="77"/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/>
      <c r="Z83" s="77">
        <v>0</v>
      </c>
      <c r="AA83" s="77"/>
      <c r="AB83" s="77">
        <v>0</v>
      </c>
      <c r="AC83" s="77"/>
      <c r="AD83" s="77">
        <v>0</v>
      </c>
      <c r="AE83" s="77">
        <v>0</v>
      </c>
      <c r="AF83" s="77"/>
      <c r="AG83" s="85"/>
      <c r="AH83" s="47">
        <f t="shared" si="18"/>
        <v>0</v>
      </c>
      <c r="AI83" s="48">
        <f t="shared" si="1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 t="shared" ref="B84:C84" si="20">SUMIF(B73:B83,"&gt;0")</f>
        <v>64</v>
      </c>
      <c r="C84" s="60">
        <f t="shared" si="20"/>
        <v>54</v>
      </c>
      <c r="D84" s="60">
        <f t="shared" ref="D84:AF84" si="21">SUMIF(D73:D83,"&gt;0")</f>
        <v>86</v>
      </c>
      <c r="E84" s="60">
        <f t="shared" si="21"/>
        <v>51.5</v>
      </c>
      <c r="F84" s="60">
        <f t="shared" si="21"/>
        <v>0</v>
      </c>
      <c r="G84" s="60">
        <f t="shared" si="21"/>
        <v>73.2</v>
      </c>
      <c r="H84" s="60">
        <f t="shared" si="21"/>
        <v>74.2</v>
      </c>
      <c r="I84" s="60">
        <f t="shared" si="21"/>
        <v>72.599999999999994</v>
      </c>
      <c r="J84" s="60">
        <f t="shared" si="21"/>
        <v>74.099999999999994</v>
      </c>
      <c r="K84" s="60">
        <f t="shared" si="21"/>
        <v>61.2</v>
      </c>
      <c r="L84" s="60">
        <f t="shared" si="21"/>
        <v>57.8</v>
      </c>
      <c r="M84" s="60">
        <f t="shared" si="21"/>
        <v>57</v>
      </c>
      <c r="N84" s="60">
        <f t="shared" si="21"/>
        <v>71</v>
      </c>
      <c r="O84" s="60">
        <f t="shared" si="21"/>
        <v>76.8</v>
      </c>
      <c r="P84" s="60">
        <f t="shared" si="21"/>
        <v>77.3</v>
      </c>
      <c r="Q84" s="60">
        <f t="shared" si="21"/>
        <v>58</v>
      </c>
      <c r="R84" s="60">
        <f t="shared" si="21"/>
        <v>54</v>
      </c>
      <c r="S84" s="60">
        <f t="shared" si="21"/>
        <v>74.8</v>
      </c>
      <c r="T84" s="60">
        <f t="shared" si="21"/>
        <v>77.599999999999994</v>
      </c>
      <c r="U84" s="60">
        <f t="shared" si="21"/>
        <v>79.400000000000006</v>
      </c>
      <c r="V84" s="60">
        <f t="shared" si="21"/>
        <v>73.099999999999994</v>
      </c>
      <c r="W84" s="60">
        <f t="shared" si="21"/>
        <v>79</v>
      </c>
      <c r="X84" s="60">
        <f t="shared" si="21"/>
        <v>32</v>
      </c>
      <c r="Y84" s="60">
        <f t="shared" si="21"/>
        <v>52.1</v>
      </c>
      <c r="Z84" s="60">
        <f t="shared" si="21"/>
        <v>42</v>
      </c>
      <c r="AA84" s="60">
        <f t="shared" si="21"/>
        <v>0</v>
      </c>
      <c r="AB84" s="60">
        <f t="shared" si="21"/>
        <v>57</v>
      </c>
      <c r="AC84" s="60">
        <f t="shared" si="21"/>
        <v>5</v>
      </c>
      <c r="AD84" s="60">
        <f t="shared" si="21"/>
        <v>72.2</v>
      </c>
      <c r="AE84" s="60">
        <f t="shared" si="21"/>
        <v>68</v>
      </c>
      <c r="AF84" s="60">
        <f t="shared" si="21"/>
        <v>0</v>
      </c>
      <c r="AG84" s="88">
        <f>SUM(AG73:AG83)</f>
        <v>0</v>
      </c>
      <c r="AH84" s="47">
        <f t="shared" si="18"/>
        <v>86</v>
      </c>
      <c r="AI84" s="48">
        <f t="shared" si="19"/>
        <v>0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8"/>
        <v>0</v>
      </c>
      <c r="AI85" s="48">
        <f t="shared" si="1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8"/>
        <v>0</v>
      </c>
      <c r="AI86" s="48">
        <f t="shared" si="1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8"/>
        <v>0</v>
      </c>
      <c r="AI87" s="48">
        <f t="shared" si="1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18"/>
        <v>0</v>
      </c>
      <c r="AI88" s="48">
        <f t="shared" si="19"/>
        <v>0</v>
      </c>
    </row>
    <row r="89" spans="1:40" ht="15.75" thickBot="1" x14ac:dyDescent="0.3">
      <c r="A89" s="74" t="s">
        <v>98</v>
      </c>
      <c r="B89" s="95">
        <f t="shared" ref="B89:C89" si="22">B50+B54+B72+B68+B84+B88</f>
        <v>1825.1399999999999</v>
      </c>
      <c r="C89" s="95">
        <f t="shared" si="22"/>
        <v>1814.84</v>
      </c>
      <c r="D89" s="95">
        <f t="shared" ref="D89:AG89" si="23">D50+D54+D72+D68+D84+D88</f>
        <v>1779.6399999999999</v>
      </c>
      <c r="E89" s="95">
        <f t="shared" si="23"/>
        <v>1770.1399999999999</v>
      </c>
      <c r="F89" s="95">
        <f t="shared" si="23"/>
        <v>68.540000000000006</v>
      </c>
      <c r="G89" s="95">
        <f t="shared" si="23"/>
        <v>1670.7399999999998</v>
      </c>
      <c r="H89" s="95">
        <f t="shared" si="23"/>
        <v>1725.2399999999998</v>
      </c>
      <c r="I89" s="95">
        <f t="shared" si="23"/>
        <v>1728.0399999999997</v>
      </c>
      <c r="J89" s="95">
        <f t="shared" si="23"/>
        <v>1759.04</v>
      </c>
      <c r="K89" s="95">
        <f t="shared" si="23"/>
        <v>1796.34</v>
      </c>
      <c r="L89" s="95">
        <f t="shared" si="23"/>
        <v>1842.6399999999996</v>
      </c>
      <c r="M89" s="95">
        <f t="shared" si="23"/>
        <v>1822.7399999999998</v>
      </c>
      <c r="N89" s="95">
        <f t="shared" si="23"/>
        <v>1847.34</v>
      </c>
      <c r="O89" s="95">
        <f t="shared" si="23"/>
        <v>1795.9399999999998</v>
      </c>
      <c r="P89" s="95">
        <f t="shared" si="23"/>
        <v>1839.5399999999997</v>
      </c>
      <c r="Q89" s="95">
        <f t="shared" si="23"/>
        <v>1870.9399999999998</v>
      </c>
      <c r="R89" s="95">
        <f t="shared" si="23"/>
        <v>1908.74</v>
      </c>
      <c r="S89" s="95">
        <f t="shared" si="23"/>
        <v>1897.54</v>
      </c>
      <c r="T89" s="95">
        <f t="shared" si="23"/>
        <v>1860.1399999999999</v>
      </c>
      <c r="U89" s="95">
        <f t="shared" si="23"/>
        <v>1825.7399999999998</v>
      </c>
      <c r="V89" s="95">
        <f t="shared" si="23"/>
        <v>1702.1399999999999</v>
      </c>
      <c r="W89" s="95">
        <f t="shared" si="23"/>
        <v>1748.94</v>
      </c>
      <c r="X89" s="95">
        <f t="shared" si="23"/>
        <v>1770.6399999999999</v>
      </c>
      <c r="Y89" s="95">
        <f t="shared" si="23"/>
        <v>1791.6399999999999</v>
      </c>
      <c r="Z89" s="95">
        <f t="shared" si="23"/>
        <v>1829.44</v>
      </c>
      <c r="AA89" s="95">
        <f t="shared" si="23"/>
        <v>129.74</v>
      </c>
      <c r="AB89" s="95">
        <f t="shared" si="23"/>
        <v>1771.9399999999998</v>
      </c>
      <c r="AC89" s="95">
        <f t="shared" si="23"/>
        <v>8.5399999999999991</v>
      </c>
      <c r="AD89" s="95">
        <f t="shared" si="23"/>
        <v>1852.1399999999999</v>
      </c>
      <c r="AE89" s="95">
        <f t="shared" si="23"/>
        <v>1902.4399999999996</v>
      </c>
      <c r="AF89" s="95">
        <f t="shared" si="23"/>
        <v>68.540000000000006</v>
      </c>
      <c r="AG89" s="61">
        <f t="shared" si="23"/>
        <v>2111.5500000000002</v>
      </c>
      <c r="AH89" s="47">
        <f t="shared" si="18"/>
        <v>1908.74</v>
      </c>
      <c r="AI89" s="48">
        <f t="shared" si="19"/>
        <v>8.5399999999999991</v>
      </c>
    </row>
    <row r="90" spans="1:40" ht="15.75" thickBot="1" x14ac:dyDescent="0.3">
      <c r="A90" s="96" t="s">
        <v>99</v>
      </c>
      <c r="B90" s="97">
        <v>50</v>
      </c>
      <c r="C90" s="97">
        <v>50</v>
      </c>
      <c r="D90" s="97">
        <v>50</v>
      </c>
      <c r="E90" s="97">
        <v>50</v>
      </c>
      <c r="F90" s="97"/>
      <c r="G90" s="97">
        <v>100</v>
      </c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>
        <v>150</v>
      </c>
      <c r="AE90" s="97">
        <v>150</v>
      </c>
      <c r="AF90" s="97"/>
      <c r="AG90" s="88"/>
      <c r="AH90" s="47">
        <f t="shared" si="18"/>
        <v>150</v>
      </c>
      <c r="AI90" s="48">
        <f t="shared" si="19"/>
        <v>50</v>
      </c>
    </row>
    <row r="91" spans="1:40" ht="15.75" thickBot="1" x14ac:dyDescent="0.3">
      <c r="A91" s="74" t="s">
        <v>100</v>
      </c>
      <c r="B91" s="95">
        <f t="shared" ref="B91" si="24">B89+B90</f>
        <v>1875.1399999999999</v>
      </c>
      <c r="C91" s="95">
        <f t="shared" ref="C91:AF91" si="25">C89+C90</f>
        <v>1864.84</v>
      </c>
      <c r="D91" s="95">
        <f t="shared" si="25"/>
        <v>1829.6399999999999</v>
      </c>
      <c r="E91" s="95">
        <f t="shared" si="25"/>
        <v>1820.1399999999999</v>
      </c>
      <c r="F91" s="95">
        <f t="shared" si="25"/>
        <v>68.540000000000006</v>
      </c>
      <c r="G91" s="95">
        <f t="shared" si="25"/>
        <v>1770.7399999999998</v>
      </c>
      <c r="H91" s="95">
        <f t="shared" si="25"/>
        <v>1725.2399999999998</v>
      </c>
      <c r="I91" s="95">
        <f t="shared" si="25"/>
        <v>1728.0399999999997</v>
      </c>
      <c r="J91" s="95">
        <f t="shared" si="25"/>
        <v>1759.04</v>
      </c>
      <c r="K91" s="95">
        <f t="shared" si="25"/>
        <v>1796.34</v>
      </c>
      <c r="L91" s="95">
        <f t="shared" si="25"/>
        <v>1842.6399999999996</v>
      </c>
      <c r="M91" s="95">
        <f t="shared" si="25"/>
        <v>1822.7399999999998</v>
      </c>
      <c r="N91" s="95">
        <f t="shared" si="25"/>
        <v>1847.34</v>
      </c>
      <c r="O91" s="95">
        <f t="shared" si="25"/>
        <v>1795.9399999999998</v>
      </c>
      <c r="P91" s="95">
        <f t="shared" si="25"/>
        <v>1839.5399999999997</v>
      </c>
      <c r="Q91" s="95">
        <f t="shared" si="25"/>
        <v>1870.9399999999998</v>
      </c>
      <c r="R91" s="95">
        <f t="shared" si="25"/>
        <v>1908.74</v>
      </c>
      <c r="S91" s="95">
        <f t="shared" si="25"/>
        <v>1897.54</v>
      </c>
      <c r="T91" s="95">
        <f t="shared" si="25"/>
        <v>1860.1399999999999</v>
      </c>
      <c r="U91" s="95">
        <f t="shared" si="25"/>
        <v>1825.7399999999998</v>
      </c>
      <c r="V91" s="95">
        <f t="shared" si="25"/>
        <v>1702.1399999999999</v>
      </c>
      <c r="W91" s="95">
        <f t="shared" si="25"/>
        <v>1748.94</v>
      </c>
      <c r="X91" s="95">
        <f t="shared" si="25"/>
        <v>1770.6399999999999</v>
      </c>
      <c r="Y91" s="95">
        <f t="shared" si="25"/>
        <v>1791.6399999999999</v>
      </c>
      <c r="Z91" s="95">
        <f t="shared" si="25"/>
        <v>1829.44</v>
      </c>
      <c r="AA91" s="95">
        <f t="shared" si="25"/>
        <v>129.74</v>
      </c>
      <c r="AB91" s="95">
        <f t="shared" si="25"/>
        <v>1771.9399999999998</v>
      </c>
      <c r="AC91" s="95">
        <f t="shared" si="25"/>
        <v>8.5399999999999991</v>
      </c>
      <c r="AD91" s="95">
        <f t="shared" si="25"/>
        <v>2002.1399999999999</v>
      </c>
      <c r="AE91" s="95">
        <f t="shared" si="25"/>
        <v>2052.4399999999996</v>
      </c>
      <c r="AF91" s="95">
        <f t="shared" si="25"/>
        <v>68.540000000000006</v>
      </c>
      <c r="AG91" s="88">
        <f>AG88+AG84+AG72+AG68+AG50+AG90</f>
        <v>1573.45</v>
      </c>
      <c r="AH91" s="47">
        <f t="shared" si="18"/>
        <v>2052.4399999999996</v>
      </c>
      <c r="AI91" s="48">
        <f t="shared" si="19"/>
        <v>8.5399999999999991</v>
      </c>
    </row>
    <row r="92" spans="1:40" ht="15.75" thickBot="1" x14ac:dyDescent="0.3">
      <c r="A92" s="74" t="s">
        <v>101</v>
      </c>
      <c r="B92" s="95">
        <f t="shared" ref="B92" si="26">B91-B99</f>
        <v>1875.1399999999999</v>
      </c>
      <c r="C92" s="95">
        <f t="shared" ref="C92:AF92" si="27">C91-C99</f>
        <v>1864.84</v>
      </c>
      <c r="D92" s="95">
        <f t="shared" si="27"/>
        <v>1829.6399999999999</v>
      </c>
      <c r="E92" s="95">
        <f t="shared" si="27"/>
        <v>1820.1399999999999</v>
      </c>
      <c r="F92" s="95">
        <f t="shared" si="27"/>
        <v>68.540000000000006</v>
      </c>
      <c r="G92" s="95">
        <f t="shared" si="27"/>
        <v>1770.7399999999998</v>
      </c>
      <c r="H92" s="95">
        <f t="shared" si="27"/>
        <v>1725.2399999999998</v>
      </c>
      <c r="I92" s="95">
        <f t="shared" si="27"/>
        <v>1728.0399999999997</v>
      </c>
      <c r="J92" s="95">
        <f t="shared" si="27"/>
        <v>1759.04</v>
      </c>
      <c r="K92" s="95">
        <f t="shared" si="27"/>
        <v>1796.34</v>
      </c>
      <c r="L92" s="95">
        <f t="shared" si="27"/>
        <v>1842.6399999999996</v>
      </c>
      <c r="M92" s="95">
        <f t="shared" si="27"/>
        <v>1822.7399999999998</v>
      </c>
      <c r="N92" s="95">
        <f t="shared" si="27"/>
        <v>1847.34</v>
      </c>
      <c r="O92" s="95">
        <f t="shared" si="27"/>
        <v>1795.9399999999998</v>
      </c>
      <c r="P92" s="95">
        <f t="shared" si="27"/>
        <v>1839.5399999999997</v>
      </c>
      <c r="Q92" s="95">
        <f t="shared" si="27"/>
        <v>1870.9399999999998</v>
      </c>
      <c r="R92" s="95">
        <f t="shared" si="27"/>
        <v>1908.74</v>
      </c>
      <c r="S92" s="95">
        <f t="shared" si="27"/>
        <v>1897.54</v>
      </c>
      <c r="T92" s="95">
        <f t="shared" si="27"/>
        <v>1860.1399999999999</v>
      </c>
      <c r="U92" s="95">
        <f t="shared" si="27"/>
        <v>1825.7399999999998</v>
      </c>
      <c r="V92" s="95">
        <f t="shared" si="27"/>
        <v>1702.1399999999999</v>
      </c>
      <c r="W92" s="95">
        <f t="shared" si="27"/>
        <v>1748.94</v>
      </c>
      <c r="X92" s="95">
        <f t="shared" si="27"/>
        <v>1770.6399999999999</v>
      </c>
      <c r="Y92" s="95">
        <f t="shared" si="27"/>
        <v>1791.6399999999999</v>
      </c>
      <c r="Z92" s="95">
        <f t="shared" si="27"/>
        <v>1829.44</v>
      </c>
      <c r="AA92" s="95">
        <f t="shared" si="27"/>
        <v>129.74</v>
      </c>
      <c r="AB92" s="95">
        <f t="shared" si="27"/>
        <v>1771.9399999999998</v>
      </c>
      <c r="AC92" s="95">
        <f t="shared" si="27"/>
        <v>8.5399999999999991</v>
      </c>
      <c r="AD92" s="95">
        <f t="shared" si="27"/>
        <v>2002.1399999999999</v>
      </c>
      <c r="AE92" s="95">
        <f t="shared" si="27"/>
        <v>2052.4399999999996</v>
      </c>
      <c r="AF92" s="95">
        <f t="shared" si="27"/>
        <v>68.540000000000006</v>
      </c>
      <c r="AG92" s="88"/>
      <c r="AH92" s="47">
        <f t="shared" si="18"/>
        <v>2052.4399999999996</v>
      </c>
      <c r="AI92" s="48">
        <f t="shared" si="19"/>
        <v>8.5399999999999991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8"/>
        <v>0</v>
      </c>
      <c r="AI93" s="48">
        <f t="shared" si="1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8"/>
        <v>0</v>
      </c>
      <c r="AI94" s="48">
        <f t="shared" si="1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8"/>
        <v>0</v>
      </c>
      <c r="AI95" s="48">
        <f t="shared" si="1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8"/>
        <v>0</v>
      </c>
      <c r="AI96" s="48">
        <f t="shared" si="1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8"/>
        <v>0</v>
      </c>
      <c r="AI97" s="48">
        <f t="shared" si="1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8"/>
        <v>0</v>
      </c>
      <c r="AI98" s="48">
        <f t="shared" si="1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18"/>
        <v>0</v>
      </c>
      <c r="AI99" s="48">
        <f t="shared" si="19"/>
        <v>0</v>
      </c>
      <c r="AK99" s="49"/>
    </row>
    <row r="100" spans="1:37" ht="15.75" thickBot="1" x14ac:dyDescent="0.3">
      <c r="A100" s="74" t="s">
        <v>106</v>
      </c>
      <c r="B100" s="60">
        <f t="shared" ref="B100" si="28">B84-B99</f>
        <v>64</v>
      </c>
      <c r="C100" s="60">
        <f t="shared" ref="C100:AF100" si="29">C84-C99</f>
        <v>54</v>
      </c>
      <c r="D100" s="60">
        <f t="shared" si="29"/>
        <v>86</v>
      </c>
      <c r="E100" s="60">
        <f t="shared" si="29"/>
        <v>51.5</v>
      </c>
      <c r="F100" s="60">
        <f t="shared" si="29"/>
        <v>0</v>
      </c>
      <c r="G100" s="60">
        <f t="shared" si="29"/>
        <v>73.2</v>
      </c>
      <c r="H100" s="60">
        <f t="shared" si="29"/>
        <v>74.2</v>
      </c>
      <c r="I100" s="60">
        <f t="shared" si="29"/>
        <v>72.599999999999994</v>
      </c>
      <c r="J100" s="60">
        <f t="shared" si="29"/>
        <v>74.099999999999994</v>
      </c>
      <c r="K100" s="60">
        <f t="shared" si="29"/>
        <v>61.2</v>
      </c>
      <c r="L100" s="60">
        <f t="shared" si="29"/>
        <v>57.8</v>
      </c>
      <c r="M100" s="60">
        <f t="shared" si="29"/>
        <v>57</v>
      </c>
      <c r="N100" s="60">
        <f t="shared" si="29"/>
        <v>71</v>
      </c>
      <c r="O100" s="60">
        <f t="shared" si="29"/>
        <v>76.8</v>
      </c>
      <c r="P100" s="60">
        <f t="shared" si="29"/>
        <v>77.3</v>
      </c>
      <c r="Q100" s="60">
        <f t="shared" si="29"/>
        <v>58</v>
      </c>
      <c r="R100" s="60">
        <f t="shared" si="29"/>
        <v>54</v>
      </c>
      <c r="S100" s="60">
        <f t="shared" si="29"/>
        <v>74.8</v>
      </c>
      <c r="T100" s="60">
        <f t="shared" si="29"/>
        <v>77.599999999999994</v>
      </c>
      <c r="U100" s="60">
        <f t="shared" si="29"/>
        <v>79.400000000000006</v>
      </c>
      <c r="V100" s="60">
        <f t="shared" si="29"/>
        <v>73.099999999999994</v>
      </c>
      <c r="W100" s="60">
        <f t="shared" si="29"/>
        <v>79</v>
      </c>
      <c r="X100" s="60">
        <f t="shared" si="29"/>
        <v>32</v>
      </c>
      <c r="Y100" s="60">
        <f t="shared" si="29"/>
        <v>52.1</v>
      </c>
      <c r="Z100" s="60">
        <f t="shared" si="29"/>
        <v>42</v>
      </c>
      <c r="AA100" s="60">
        <f t="shared" si="29"/>
        <v>0</v>
      </c>
      <c r="AB100" s="60">
        <f t="shared" si="29"/>
        <v>57</v>
      </c>
      <c r="AC100" s="60">
        <f t="shared" si="29"/>
        <v>5</v>
      </c>
      <c r="AD100" s="60">
        <f t="shared" si="29"/>
        <v>72.2</v>
      </c>
      <c r="AE100" s="60">
        <f t="shared" si="29"/>
        <v>68</v>
      </c>
      <c r="AF100" s="60">
        <f t="shared" si="29"/>
        <v>0</v>
      </c>
      <c r="AG100" s="88"/>
      <c r="AH100" s="47">
        <f t="shared" si="18"/>
        <v>86</v>
      </c>
      <c r="AI100" s="48">
        <f t="shared" si="19"/>
        <v>0</v>
      </c>
    </row>
    <row r="101" spans="1:37" x14ac:dyDescent="0.25">
      <c r="A101" s="100" t="s">
        <v>107</v>
      </c>
      <c r="B101" s="101">
        <v>50.07</v>
      </c>
      <c r="C101" s="101">
        <v>50.04</v>
      </c>
      <c r="D101" s="101">
        <v>49.99</v>
      </c>
      <c r="E101" s="101">
        <v>49.948999999999998</v>
      </c>
      <c r="F101" s="101"/>
      <c r="G101" s="101">
        <v>49.976999999999997</v>
      </c>
      <c r="H101" s="101">
        <v>49.994999999999997</v>
      </c>
      <c r="I101" s="101">
        <v>49.959000000000003</v>
      </c>
      <c r="J101" s="101">
        <v>49.987000000000002</v>
      </c>
      <c r="K101" s="101">
        <v>49.993000000000002</v>
      </c>
      <c r="L101" s="101">
        <v>50.12</v>
      </c>
      <c r="M101" s="101">
        <v>50.131999999999998</v>
      </c>
      <c r="N101" s="101">
        <v>49.835999999999999</v>
      </c>
      <c r="O101" s="101">
        <v>49.996000000000002</v>
      </c>
      <c r="P101" s="101">
        <v>50.000999999999998</v>
      </c>
      <c r="Q101" s="101">
        <v>49.984999999999999</v>
      </c>
      <c r="R101" s="101">
        <v>50.002000000000002</v>
      </c>
      <c r="S101" s="101">
        <v>49.85</v>
      </c>
      <c r="T101" s="101">
        <v>49.829000000000001</v>
      </c>
      <c r="U101" s="101">
        <v>49.991999999999997</v>
      </c>
      <c r="V101" s="101">
        <v>50.078899999999997</v>
      </c>
      <c r="W101" s="101">
        <v>50.054000000000002</v>
      </c>
      <c r="X101" s="101">
        <v>50.027000000000001</v>
      </c>
      <c r="Y101" s="101">
        <v>50.113999999999997</v>
      </c>
      <c r="Z101" s="101">
        <v>49.948999999999998</v>
      </c>
      <c r="AA101" s="101"/>
      <c r="AB101" s="101">
        <v>49.847999999999999</v>
      </c>
      <c r="AC101" s="101">
        <v>49.847999999999999</v>
      </c>
      <c r="AD101" s="101">
        <v>49.847999999999999</v>
      </c>
      <c r="AE101" s="101">
        <v>49.726999999999997</v>
      </c>
      <c r="AF101" s="101"/>
      <c r="AG101" s="102"/>
      <c r="AH101" s="47">
        <f t="shared" si="18"/>
        <v>50.131999999999998</v>
      </c>
      <c r="AI101" s="48">
        <f t="shared" si="19"/>
        <v>49.726999999999997</v>
      </c>
    </row>
    <row r="102" spans="1:37" x14ac:dyDescent="0.25">
      <c r="A102" s="103" t="s">
        <v>108</v>
      </c>
      <c r="B102" s="65">
        <v>121.8</v>
      </c>
      <c r="C102" s="65">
        <v>122.7</v>
      </c>
      <c r="D102" s="65">
        <v>122.7</v>
      </c>
      <c r="E102" s="65">
        <v>122.9</v>
      </c>
      <c r="F102" s="65"/>
      <c r="G102" s="65">
        <v>122.4</v>
      </c>
      <c r="H102" s="65">
        <v>123.1</v>
      </c>
      <c r="I102" s="65">
        <v>122.7</v>
      </c>
      <c r="J102" s="65">
        <v>122.6</v>
      </c>
      <c r="K102" s="65">
        <v>122.9</v>
      </c>
      <c r="L102" s="65">
        <v>123.6</v>
      </c>
      <c r="M102" s="65">
        <v>121.3</v>
      </c>
      <c r="N102" s="65">
        <v>119.5</v>
      </c>
      <c r="O102" s="65">
        <v>120</v>
      </c>
      <c r="P102" s="65">
        <v>120</v>
      </c>
      <c r="Q102" s="65">
        <v>117.5</v>
      </c>
      <c r="R102" s="65">
        <v>121</v>
      </c>
      <c r="S102" s="65">
        <v>121.4</v>
      </c>
      <c r="T102" s="65">
        <v>118.3</v>
      </c>
      <c r="U102" s="65">
        <v>119.7</v>
      </c>
      <c r="V102" s="65">
        <v>123.5</v>
      </c>
      <c r="W102" s="65">
        <v>125.2</v>
      </c>
      <c r="X102" s="65">
        <v>124.5</v>
      </c>
      <c r="Y102" s="65">
        <v>123.9</v>
      </c>
      <c r="Z102" s="65">
        <v>125</v>
      </c>
      <c r="AA102" s="65"/>
      <c r="AB102" s="65">
        <v>124.5</v>
      </c>
      <c r="AC102" s="65">
        <v>124.5</v>
      </c>
      <c r="AD102" s="65">
        <v>124.5</v>
      </c>
      <c r="AE102" s="65">
        <v>123.3</v>
      </c>
      <c r="AF102" s="65"/>
      <c r="AG102" s="104"/>
      <c r="AH102" s="47">
        <f t="shared" si="18"/>
        <v>125.2</v>
      </c>
      <c r="AI102" s="48">
        <f t="shared" si="19"/>
        <v>117.5</v>
      </c>
    </row>
    <row r="103" spans="1:37" x14ac:dyDescent="0.25">
      <c r="A103" s="103" t="s">
        <v>109</v>
      </c>
      <c r="B103" s="65">
        <v>128.30000000000001</v>
      </c>
      <c r="C103" s="65">
        <v>128.69999999999999</v>
      </c>
      <c r="D103" s="65">
        <v>129.19999999999999</v>
      </c>
      <c r="E103" s="65">
        <v>128.69999999999999</v>
      </c>
      <c r="F103" s="65"/>
      <c r="G103" s="65">
        <v>127.9</v>
      </c>
      <c r="H103" s="65">
        <v>128.4</v>
      </c>
      <c r="I103" s="65">
        <v>127.7</v>
      </c>
      <c r="J103" s="65">
        <v>127.2</v>
      </c>
      <c r="K103" s="65">
        <v>128</v>
      </c>
      <c r="L103" s="65">
        <v>127.1</v>
      </c>
      <c r="M103" s="65">
        <v>125.4</v>
      </c>
      <c r="N103" s="65">
        <v>123.7</v>
      </c>
      <c r="O103" s="65">
        <v>124.2</v>
      </c>
      <c r="P103" s="65">
        <v>124.2</v>
      </c>
      <c r="Q103" s="65">
        <v>122.4</v>
      </c>
      <c r="R103" s="65">
        <v>125.3</v>
      </c>
      <c r="S103" s="65">
        <v>125.4</v>
      </c>
      <c r="T103" s="65">
        <v>123.2</v>
      </c>
      <c r="U103" s="65">
        <v>124.2</v>
      </c>
      <c r="V103" s="65">
        <v>127.5</v>
      </c>
      <c r="W103" s="65">
        <v>128.19999999999999</v>
      </c>
      <c r="X103" s="65">
        <v>127.9</v>
      </c>
      <c r="Y103" s="65">
        <v>127.3</v>
      </c>
      <c r="Z103" s="65">
        <v>127.8</v>
      </c>
      <c r="AA103" s="65"/>
      <c r="AB103" s="65">
        <v>127.1</v>
      </c>
      <c r="AC103" s="65">
        <v>127.1</v>
      </c>
      <c r="AD103" s="65">
        <v>127.1</v>
      </c>
      <c r="AE103" s="65">
        <v>128.1</v>
      </c>
      <c r="AF103" s="65"/>
      <c r="AG103" s="104"/>
      <c r="AH103" s="47">
        <f t="shared" si="18"/>
        <v>129.19999999999999</v>
      </c>
      <c r="AI103" s="48">
        <f t="shared" si="19"/>
        <v>122.4</v>
      </c>
    </row>
    <row r="104" spans="1:37" x14ac:dyDescent="0.25">
      <c r="A104" s="103" t="s">
        <v>110</v>
      </c>
      <c r="B104" s="65">
        <v>128.4</v>
      </c>
      <c r="C104" s="65">
        <v>127.9</v>
      </c>
      <c r="D104" s="65">
        <v>127.7</v>
      </c>
      <c r="E104" s="65">
        <v>128</v>
      </c>
      <c r="F104" s="65"/>
      <c r="G104" s="65">
        <v>127.2</v>
      </c>
      <c r="H104" s="65">
        <v>128.5</v>
      </c>
      <c r="I104" s="65">
        <v>128.5</v>
      </c>
      <c r="J104" s="65">
        <v>128</v>
      </c>
      <c r="K104" s="65">
        <v>130.19999999999999</v>
      </c>
      <c r="L104" s="65">
        <v>127.5</v>
      </c>
      <c r="M104" s="65">
        <v>126.8</v>
      </c>
      <c r="N104" s="65">
        <v>128.1</v>
      </c>
      <c r="O104" s="65">
        <v>125.7</v>
      </c>
      <c r="P104" s="65">
        <v>125.7</v>
      </c>
      <c r="Q104" s="65">
        <v>127.1</v>
      </c>
      <c r="R104" s="65">
        <v>125.2</v>
      </c>
      <c r="S104" s="65">
        <v>127.1</v>
      </c>
      <c r="T104" s="65">
        <v>127.3</v>
      </c>
      <c r="U104" s="65">
        <v>126.4</v>
      </c>
      <c r="V104" s="65">
        <v>126.8</v>
      </c>
      <c r="W104" s="65">
        <v>127.1</v>
      </c>
      <c r="X104" s="65">
        <v>129.80000000000001</v>
      </c>
      <c r="Y104" s="65">
        <v>129.4</v>
      </c>
      <c r="Z104" s="65">
        <v>126.5</v>
      </c>
      <c r="AA104" s="65"/>
      <c r="AB104" s="65">
        <v>124.8</v>
      </c>
      <c r="AC104" s="65">
        <v>124.8</v>
      </c>
      <c r="AD104" s="65">
        <v>124.8</v>
      </c>
      <c r="AE104" s="65">
        <v>127.2</v>
      </c>
      <c r="AF104" s="65"/>
      <c r="AG104" s="104"/>
      <c r="AH104" s="47">
        <f t="shared" si="18"/>
        <v>130.19999999999999</v>
      </c>
      <c r="AI104" s="48">
        <f t="shared" si="19"/>
        <v>124.8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18"/>
        <v>0</v>
      </c>
      <c r="AI105" s="48">
        <f t="shared" si="19"/>
        <v>0</v>
      </c>
    </row>
    <row r="106" spans="1:37" x14ac:dyDescent="0.25">
      <c r="A106" s="105" t="s">
        <v>112</v>
      </c>
      <c r="B106" s="106">
        <v>127.5</v>
      </c>
      <c r="C106" s="106">
        <v>129.30000000000001</v>
      </c>
      <c r="D106" s="106">
        <v>129.5</v>
      </c>
      <c r="E106" s="106">
        <v>125.4</v>
      </c>
      <c r="F106" s="106"/>
      <c r="G106" s="106">
        <v>126.2</v>
      </c>
      <c r="H106" s="106">
        <v>128</v>
      </c>
      <c r="I106" s="106">
        <v>128.6</v>
      </c>
      <c r="J106" s="106">
        <v>124.3</v>
      </c>
      <c r="K106" s="106">
        <v>122.5</v>
      </c>
      <c r="L106" s="106">
        <v>125</v>
      </c>
      <c r="M106" s="106">
        <v>127</v>
      </c>
      <c r="N106" s="106">
        <v>124.2</v>
      </c>
      <c r="O106" s="106">
        <v>131.69999999999999</v>
      </c>
      <c r="P106" s="106">
        <v>131.69999999999999</v>
      </c>
      <c r="Q106" s="106">
        <v>126.5</v>
      </c>
      <c r="R106" s="106">
        <v>131</v>
      </c>
      <c r="S106" s="106">
        <v>127.2</v>
      </c>
      <c r="T106" s="106">
        <v>129.9</v>
      </c>
      <c r="U106" s="106">
        <v>135.5</v>
      </c>
      <c r="V106" s="106">
        <v>131.6</v>
      </c>
      <c r="W106" s="106">
        <v>133.6</v>
      </c>
      <c r="X106" s="106">
        <v>130.9</v>
      </c>
      <c r="Y106" s="106">
        <v>130.69999999999999</v>
      </c>
      <c r="Z106" s="106">
        <v>129.69999999999999</v>
      </c>
      <c r="AA106" s="106"/>
      <c r="AB106" s="106">
        <v>128.80000000000001</v>
      </c>
      <c r="AC106" s="106">
        <v>128.80000000000001</v>
      </c>
      <c r="AD106" s="106">
        <v>128.80000000000001</v>
      </c>
      <c r="AE106" s="106">
        <v>129.30000000000001</v>
      </c>
      <c r="AF106" s="106"/>
      <c r="AG106" s="107"/>
      <c r="AH106" s="47">
        <f t="shared" si="18"/>
        <v>135.5</v>
      </c>
      <c r="AI106" s="48">
        <f t="shared" si="19"/>
        <v>122.5</v>
      </c>
    </row>
    <row r="107" spans="1:37" x14ac:dyDescent="0.25">
      <c r="A107" s="103" t="s">
        <v>113</v>
      </c>
      <c r="B107" s="65">
        <v>126.4</v>
      </c>
      <c r="C107" s="65">
        <v>129.80000000000001</v>
      </c>
      <c r="D107" s="65">
        <v>129.69999999999999</v>
      </c>
      <c r="E107" s="65">
        <v>126.8</v>
      </c>
      <c r="F107" s="65"/>
      <c r="G107" s="65">
        <v>129.4</v>
      </c>
      <c r="H107" s="65">
        <v>130.4</v>
      </c>
      <c r="I107" s="65">
        <v>131.1</v>
      </c>
      <c r="J107" s="65">
        <v>130.1</v>
      </c>
      <c r="K107" s="65">
        <v>129</v>
      </c>
      <c r="L107" s="65">
        <v>130</v>
      </c>
      <c r="M107" s="65">
        <v>134</v>
      </c>
      <c r="N107" s="65">
        <v>123.5</v>
      </c>
      <c r="O107" s="65">
        <v>130.9</v>
      </c>
      <c r="P107" s="65">
        <v>130.9</v>
      </c>
      <c r="Q107" s="65">
        <v>133.1</v>
      </c>
      <c r="R107" s="65">
        <v>126.7</v>
      </c>
      <c r="S107" s="65">
        <v>133</v>
      </c>
      <c r="T107" s="65">
        <v>128.30000000000001</v>
      </c>
      <c r="U107" s="65">
        <v>131.5</v>
      </c>
      <c r="V107" s="65">
        <v>126.3</v>
      </c>
      <c r="W107" s="65">
        <v>127.2</v>
      </c>
      <c r="X107" s="65">
        <v>130.4</v>
      </c>
      <c r="Y107" s="65">
        <v>130.1</v>
      </c>
      <c r="Z107" s="65">
        <v>128.69999999999999</v>
      </c>
      <c r="AA107" s="65"/>
      <c r="AB107" s="65">
        <v>129.9</v>
      </c>
      <c r="AC107" s="65">
        <v>129.9</v>
      </c>
      <c r="AD107" s="65">
        <v>129.9</v>
      </c>
      <c r="AE107" s="65">
        <v>128.6</v>
      </c>
      <c r="AF107" s="65"/>
      <c r="AG107" s="104"/>
      <c r="AH107" s="47">
        <f t="shared" si="18"/>
        <v>134</v>
      </c>
      <c r="AI107" s="48">
        <f t="shared" si="19"/>
        <v>123.5</v>
      </c>
    </row>
    <row r="108" spans="1:37" ht="15.75" thickBot="1" x14ac:dyDescent="0.3">
      <c r="A108" s="103" t="s">
        <v>114</v>
      </c>
      <c r="B108" s="92">
        <v>64.900000000000006</v>
      </c>
      <c r="C108" s="92">
        <v>65</v>
      </c>
      <c r="D108" s="92">
        <v>65.099999999999994</v>
      </c>
      <c r="E108" s="92">
        <v>65</v>
      </c>
      <c r="F108" s="92"/>
      <c r="G108" s="92">
        <v>64.400000000000006</v>
      </c>
      <c r="H108" s="92">
        <v>64.3</v>
      </c>
      <c r="I108" s="92">
        <v>64</v>
      </c>
      <c r="J108" s="92">
        <v>63.7</v>
      </c>
      <c r="K108" s="92">
        <v>64.7</v>
      </c>
      <c r="L108" s="92">
        <v>63.4</v>
      </c>
      <c r="M108" s="92">
        <v>63.3</v>
      </c>
      <c r="N108" s="92">
        <v>62.3</v>
      </c>
      <c r="O108" s="92">
        <v>62.2</v>
      </c>
      <c r="P108" s="92">
        <v>62.2</v>
      </c>
      <c r="Q108" s="92">
        <v>61.2</v>
      </c>
      <c r="R108" s="92">
        <v>62.8</v>
      </c>
      <c r="S108" s="92">
        <v>62.8</v>
      </c>
      <c r="T108" s="92">
        <v>61.5</v>
      </c>
      <c r="U108" s="92">
        <v>62</v>
      </c>
      <c r="V108" s="92">
        <v>64.099999999999994</v>
      </c>
      <c r="W108" s="92">
        <v>64.3</v>
      </c>
      <c r="X108" s="92">
        <v>64.3</v>
      </c>
      <c r="Y108" s="92">
        <v>63.8</v>
      </c>
      <c r="Z108" s="92">
        <v>64.2</v>
      </c>
      <c r="AA108" s="92"/>
      <c r="AB108" s="92">
        <v>63.5</v>
      </c>
      <c r="AC108" s="92">
        <v>63.5</v>
      </c>
      <c r="AD108" s="92">
        <v>63.5</v>
      </c>
      <c r="AE108" s="92">
        <v>64.2</v>
      </c>
      <c r="AF108" s="92"/>
      <c r="AG108" s="108"/>
      <c r="AH108" s="47">
        <f t="shared" si="18"/>
        <v>65.099999999999994</v>
      </c>
      <c r="AI108" s="48">
        <f t="shared" si="19"/>
        <v>61.2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8"/>
        <v>0</v>
      </c>
      <c r="AI109" s="48">
        <f t="shared" si="19"/>
        <v>0</v>
      </c>
    </row>
    <row r="110" spans="1:37" ht="15.75" thickBot="1" x14ac:dyDescent="0.3">
      <c r="A110" s="110" t="s">
        <v>116</v>
      </c>
      <c r="B110" s="111">
        <f t="shared" ref="B110" si="30">SUM(B20,B26,B29:B30,B58,B60:B61,B63,B65,B111:B115,B138,B144,B150,B159,B161,B173,B180,B183:B184,B191,B193,B195,B199:B201,B203:B205,B210,B216:B217,B219:B221,B229,B234)</f>
        <v>81.300000000000011</v>
      </c>
      <c r="C110" s="111">
        <f t="shared" ref="C110:O110" si="31">SUM(C20,C26,C29:C30,C58,C60:C61,C63,C65,C111:C115,C138,C144,C150,C159,C161,C173,C180,C183:C184,C191,C193,C195,C199:C201,C203:C205,C210,C216:C217,C219:C221,C229,C234)</f>
        <v>63.940000000000033</v>
      </c>
      <c r="D110" s="111">
        <f t="shared" si="31"/>
        <v>50.739999999999988</v>
      </c>
      <c r="E110" s="111">
        <f t="shared" si="31"/>
        <v>25.84</v>
      </c>
      <c r="F110" s="111">
        <f t="shared" si="31"/>
        <v>0.94</v>
      </c>
      <c r="G110" s="111">
        <f t="shared" si="31"/>
        <v>56.739999999999988</v>
      </c>
      <c r="H110" s="111">
        <f t="shared" si="31"/>
        <v>78.740000000000009</v>
      </c>
      <c r="I110" s="111">
        <f t="shared" si="31"/>
        <v>98.54000000000002</v>
      </c>
      <c r="J110" s="111">
        <f t="shared" si="31"/>
        <v>136.23999999999998</v>
      </c>
      <c r="K110" s="111">
        <f t="shared" si="31"/>
        <v>167.73999999999995</v>
      </c>
      <c r="L110" s="111">
        <f t="shared" si="31"/>
        <v>264.23999999999995</v>
      </c>
      <c r="M110" s="111">
        <f t="shared" si="31"/>
        <v>215.94</v>
      </c>
      <c r="N110" s="111">
        <f t="shared" si="31"/>
        <v>204.54</v>
      </c>
      <c r="O110" s="111">
        <f t="shared" si="31"/>
        <v>220.94</v>
      </c>
      <c r="P110" s="111">
        <v>42</v>
      </c>
      <c r="Q110" s="111">
        <f t="shared" ref="Q110:AF110" si="32">SUM(Q20,Q26,Q29:Q30,Q58,Q60:Q61,Q63,Q65,Q111:Q115,Q138,Q144,Q150,Q159,Q161,Q173,Q180,Q183:Q184,Q191,Q193,Q195,Q199:Q201,Q203:Q205,Q210,Q216:Q217,Q219:Q221,Q229,Q234)</f>
        <v>219.99999999999997</v>
      </c>
      <c r="R110" s="111">
        <f t="shared" si="32"/>
        <v>209.9</v>
      </c>
      <c r="S110" s="111">
        <f t="shared" si="32"/>
        <v>213.1</v>
      </c>
      <c r="T110" s="111">
        <f t="shared" si="32"/>
        <v>222.4</v>
      </c>
      <c r="U110" s="111">
        <f t="shared" si="32"/>
        <v>203.60000000000002</v>
      </c>
      <c r="V110" s="111">
        <f t="shared" si="32"/>
        <v>234.4</v>
      </c>
      <c r="W110" s="111">
        <f t="shared" si="32"/>
        <v>222.7</v>
      </c>
      <c r="X110" s="111">
        <f t="shared" si="32"/>
        <v>230.99999999999997</v>
      </c>
      <c r="Y110" s="111">
        <f t="shared" si="32"/>
        <v>265.5</v>
      </c>
      <c r="Z110" s="111">
        <f t="shared" si="32"/>
        <v>270.60000000000002</v>
      </c>
      <c r="AA110" s="111">
        <f t="shared" si="32"/>
        <v>61.2</v>
      </c>
      <c r="AB110" s="111">
        <f t="shared" si="32"/>
        <v>302.7</v>
      </c>
      <c r="AC110" s="111">
        <f t="shared" si="32"/>
        <v>136.10000000000002</v>
      </c>
      <c r="AD110" s="111"/>
      <c r="AE110" s="111">
        <f t="shared" si="32"/>
        <v>136.40000000000003</v>
      </c>
      <c r="AF110" s="111">
        <f t="shared" si="32"/>
        <v>0</v>
      </c>
      <c r="AG110" s="112"/>
      <c r="AH110" s="47">
        <f t="shared" si="18"/>
        <v>302.7</v>
      </c>
      <c r="AI110" s="48">
        <f t="shared" si="19"/>
        <v>0</v>
      </c>
    </row>
    <row r="111" spans="1:37" x14ac:dyDescent="0.25">
      <c r="A111" s="100" t="s">
        <v>117</v>
      </c>
      <c r="B111" s="113">
        <v>27</v>
      </c>
      <c r="C111" s="113">
        <v>23.3</v>
      </c>
      <c r="D111" s="113">
        <v>22.1</v>
      </c>
      <c r="E111" s="113">
        <v>14.1</v>
      </c>
      <c r="F111" s="113"/>
      <c r="G111" s="113">
        <v>42</v>
      </c>
      <c r="H111" s="113">
        <v>43.9</v>
      </c>
      <c r="I111" s="113">
        <v>39.4</v>
      </c>
      <c r="J111" s="113">
        <v>28.5</v>
      </c>
      <c r="K111" s="113">
        <v>23.7</v>
      </c>
      <c r="L111" s="113">
        <v>24.7</v>
      </c>
      <c r="M111" s="113">
        <v>47.9</v>
      </c>
      <c r="N111" s="113">
        <v>37.6</v>
      </c>
      <c r="O111" s="113">
        <v>33.299999999999997</v>
      </c>
      <c r="P111" s="113">
        <v>41.8</v>
      </c>
      <c r="Q111" s="113">
        <v>50.9</v>
      </c>
      <c r="R111" s="113">
        <v>30.8</v>
      </c>
      <c r="S111" s="113">
        <v>35.6</v>
      </c>
      <c r="T111" s="113">
        <v>50.8</v>
      </c>
      <c r="U111" s="113">
        <v>71</v>
      </c>
      <c r="V111" s="113">
        <v>69.099999999999994</v>
      </c>
      <c r="W111" s="113">
        <v>53.8</v>
      </c>
      <c r="X111" s="113">
        <v>70.2</v>
      </c>
      <c r="Y111" s="113">
        <v>58.9</v>
      </c>
      <c r="Z111" s="113">
        <v>36.9</v>
      </c>
      <c r="AA111" s="113"/>
      <c r="AB111" s="113">
        <v>20.6</v>
      </c>
      <c r="AC111" s="113">
        <v>20.6</v>
      </c>
      <c r="AD111" s="113">
        <v>20.6</v>
      </c>
      <c r="AE111" s="113">
        <v>21.4</v>
      </c>
      <c r="AF111" s="113"/>
      <c r="AG111" s="114">
        <v>75</v>
      </c>
      <c r="AH111" s="47">
        <f t="shared" si="18"/>
        <v>71</v>
      </c>
      <c r="AI111" s="48">
        <f t="shared" si="19"/>
        <v>14.1</v>
      </c>
    </row>
    <row r="112" spans="1:37" x14ac:dyDescent="0.25">
      <c r="A112" s="103" t="s">
        <v>118</v>
      </c>
      <c r="B112" s="115">
        <v>54.6</v>
      </c>
      <c r="C112" s="115">
        <v>45.8</v>
      </c>
      <c r="D112" s="115">
        <v>43</v>
      </c>
      <c r="E112" s="115">
        <v>34</v>
      </c>
      <c r="F112" s="115"/>
      <c r="G112" s="115">
        <v>66.599999999999994</v>
      </c>
      <c r="H112" s="115">
        <v>72.8</v>
      </c>
      <c r="I112" s="115">
        <v>65.5</v>
      </c>
      <c r="J112" s="115">
        <v>52</v>
      </c>
      <c r="K112" s="115">
        <v>43.3</v>
      </c>
      <c r="L112" s="115">
        <v>30.6</v>
      </c>
      <c r="M112" s="115">
        <v>71.400000000000006</v>
      </c>
      <c r="N112" s="115">
        <v>61.6</v>
      </c>
      <c r="O112" s="115">
        <v>56.3</v>
      </c>
      <c r="P112" s="115">
        <v>66.7</v>
      </c>
      <c r="Q112" s="115">
        <v>82.3</v>
      </c>
      <c r="R112" s="115">
        <v>56</v>
      </c>
      <c r="S112" s="115">
        <v>63.2</v>
      </c>
      <c r="T112" s="115">
        <v>83.2</v>
      </c>
      <c r="U112" s="115">
        <v>113</v>
      </c>
      <c r="V112" s="115">
        <v>111.1</v>
      </c>
      <c r="W112" s="115">
        <v>80.599999999999994</v>
      </c>
      <c r="X112" s="115">
        <v>104.2</v>
      </c>
      <c r="Y112" s="115">
        <v>88.4</v>
      </c>
      <c r="Z112" s="115">
        <v>58.6</v>
      </c>
      <c r="AA112" s="115"/>
      <c r="AB112" s="115">
        <v>33</v>
      </c>
      <c r="AC112" s="115">
        <v>33</v>
      </c>
      <c r="AD112" s="115">
        <v>33</v>
      </c>
      <c r="AE112" s="115">
        <v>44.9</v>
      </c>
      <c r="AF112" s="115"/>
      <c r="AG112" s="114">
        <v>240</v>
      </c>
      <c r="AH112" s="47">
        <f t="shared" si="18"/>
        <v>113</v>
      </c>
      <c r="AI112" s="48">
        <f t="shared" si="19"/>
        <v>30.6</v>
      </c>
    </row>
    <row r="113" spans="1:37" x14ac:dyDescent="0.25">
      <c r="A113" s="103" t="s">
        <v>119</v>
      </c>
      <c r="B113" s="115">
        <f>-100.7-106.8</f>
        <v>-207.5</v>
      </c>
      <c r="C113" s="115">
        <f>-92.4-98.6</f>
        <v>-191</v>
      </c>
      <c r="D113" s="115">
        <f>-95-97.8</f>
        <v>-192.8</v>
      </c>
      <c r="E113" s="115">
        <v>-212</v>
      </c>
      <c r="F113" s="115"/>
      <c r="G113" s="115">
        <v>-197</v>
      </c>
      <c r="H113" s="115">
        <v>-213</v>
      </c>
      <c r="I113" s="115">
        <v>-186</v>
      </c>
      <c r="J113" s="115">
        <v>-130</v>
      </c>
      <c r="K113" s="115">
        <v>-92</v>
      </c>
      <c r="L113" s="115">
        <v>-62.3</v>
      </c>
      <c r="M113" s="115">
        <v>-128</v>
      </c>
      <c r="N113" s="115">
        <v>-101</v>
      </c>
      <c r="O113" s="115">
        <v>-100</v>
      </c>
      <c r="P113" s="115">
        <v>-142</v>
      </c>
      <c r="Q113" s="115">
        <v>-145</v>
      </c>
      <c r="R113" s="115">
        <v>-120</v>
      </c>
      <c r="S113" s="115">
        <v>-126.9</v>
      </c>
      <c r="T113" s="115">
        <v>-145.6</v>
      </c>
      <c r="U113" s="115">
        <v>-192</v>
      </c>
      <c r="V113" s="115">
        <v>-179</v>
      </c>
      <c r="W113" s="115">
        <v>-132.6</v>
      </c>
      <c r="X113" s="115">
        <v>-148.30000000000001</v>
      </c>
      <c r="Y113" s="115">
        <v>-124.8</v>
      </c>
      <c r="Z113" s="115">
        <v>-98</v>
      </c>
      <c r="AA113" s="115"/>
      <c r="AB113" s="115">
        <f>-16-26.8</f>
        <v>-42.8</v>
      </c>
      <c r="AC113" s="115">
        <f t="shared" ref="AC113:AD113" si="33">-16-26.8</f>
        <v>-42.8</v>
      </c>
      <c r="AD113" s="115">
        <f t="shared" si="33"/>
        <v>-42.8</v>
      </c>
      <c r="AE113" s="115">
        <v>-135</v>
      </c>
      <c r="AF113" s="115"/>
      <c r="AG113" s="114">
        <v>240</v>
      </c>
      <c r="AH113" s="47">
        <f t="shared" si="18"/>
        <v>-42.8</v>
      </c>
      <c r="AI113" s="48">
        <f t="shared" si="19"/>
        <v>-213</v>
      </c>
    </row>
    <row r="114" spans="1:37" x14ac:dyDescent="0.25">
      <c r="A114" s="103" t="s">
        <v>120</v>
      </c>
      <c r="B114" s="115">
        <v>-15.6</v>
      </c>
      <c r="C114" s="115">
        <v>-31.5</v>
      </c>
      <c r="D114" s="115">
        <v>-8.4</v>
      </c>
      <c r="E114" s="115">
        <v>2.9</v>
      </c>
      <c r="F114" s="115"/>
      <c r="G114" s="115">
        <v>-17.399999999999999</v>
      </c>
      <c r="H114" s="115">
        <v>0.5</v>
      </c>
      <c r="I114" s="115">
        <v>4.5</v>
      </c>
      <c r="J114" s="115">
        <v>10.4</v>
      </c>
      <c r="K114" s="115">
        <v>17.2</v>
      </c>
      <c r="L114" s="115">
        <v>23.1</v>
      </c>
      <c r="M114" s="115">
        <v>3.9</v>
      </c>
      <c r="N114" s="115">
        <v>8.9</v>
      </c>
      <c r="O114" s="115">
        <v>20</v>
      </c>
      <c r="P114" s="115">
        <v>6.5</v>
      </c>
      <c r="Q114" s="115">
        <v>8.5</v>
      </c>
      <c r="R114" s="115">
        <v>16.399999999999999</v>
      </c>
      <c r="S114" s="115">
        <v>18</v>
      </c>
      <c r="T114" s="115">
        <v>14.4</v>
      </c>
      <c r="U114" s="115">
        <v>7.5</v>
      </c>
      <c r="V114" s="115">
        <v>34</v>
      </c>
      <c r="W114" s="115">
        <v>2.8</v>
      </c>
      <c r="X114" s="115">
        <v>0.4</v>
      </c>
      <c r="Y114" s="115">
        <v>3.8</v>
      </c>
      <c r="Z114" s="115">
        <v>30.9</v>
      </c>
      <c r="AA114" s="115"/>
      <c r="AB114" s="115">
        <v>54.1</v>
      </c>
      <c r="AC114" s="115">
        <v>54.1</v>
      </c>
      <c r="AD114" s="115">
        <v>54.1</v>
      </c>
      <c r="AE114" s="115">
        <v>0.3</v>
      </c>
      <c r="AF114" s="115"/>
      <c r="AG114" s="114">
        <v>60</v>
      </c>
      <c r="AH114" s="47">
        <f t="shared" si="18"/>
        <v>54.1</v>
      </c>
      <c r="AI114" s="48">
        <f t="shared" si="19"/>
        <v>-31.5</v>
      </c>
    </row>
    <row r="115" spans="1:37" x14ac:dyDescent="0.25">
      <c r="A115" s="116" t="s">
        <v>121</v>
      </c>
      <c r="B115" s="117">
        <v>36.799999999999997</v>
      </c>
      <c r="C115" s="117">
        <v>30.6</v>
      </c>
      <c r="D115" s="117">
        <v>0</v>
      </c>
      <c r="E115" s="117">
        <v>0</v>
      </c>
      <c r="F115" s="117"/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72.599999999999994</v>
      </c>
      <c r="M115" s="117">
        <v>45.2</v>
      </c>
      <c r="N115" s="117">
        <v>55.1</v>
      </c>
      <c r="O115" s="117">
        <v>69</v>
      </c>
      <c r="P115" s="117">
        <v>43.4</v>
      </c>
      <c r="Q115" s="117">
        <v>52.1</v>
      </c>
      <c r="R115" s="117">
        <v>55.5</v>
      </c>
      <c r="S115" s="117">
        <v>49.5</v>
      </c>
      <c r="T115" s="117">
        <v>45.9</v>
      </c>
      <c r="U115" s="117">
        <v>30.5</v>
      </c>
      <c r="V115" s="117">
        <v>25.6</v>
      </c>
      <c r="W115" s="117">
        <v>47.7</v>
      </c>
      <c r="X115" s="117">
        <v>28.2</v>
      </c>
      <c r="Y115" s="117">
        <v>62.9</v>
      </c>
      <c r="Z115" s="117">
        <v>65.900000000000006</v>
      </c>
      <c r="AA115" s="117"/>
      <c r="AB115" s="117">
        <v>71.2</v>
      </c>
      <c r="AC115" s="117">
        <v>71.2</v>
      </c>
      <c r="AD115" s="117">
        <v>71.2</v>
      </c>
      <c r="AE115" s="117">
        <v>20</v>
      </c>
      <c r="AF115" s="117"/>
      <c r="AG115" s="118">
        <v>120</v>
      </c>
      <c r="AH115" s="47">
        <f t="shared" si="18"/>
        <v>72.599999999999994</v>
      </c>
      <c r="AI115" s="48">
        <f t="shared" si="19"/>
        <v>0</v>
      </c>
    </row>
    <row r="116" spans="1:37" x14ac:dyDescent="0.25">
      <c r="A116" s="116" t="s">
        <v>122</v>
      </c>
      <c r="B116" s="117">
        <v>34.6</v>
      </c>
      <c r="C116" s="117">
        <v>40</v>
      </c>
      <c r="D116" s="117">
        <v>36.4</v>
      </c>
      <c r="E116" s="117">
        <v>21.8</v>
      </c>
      <c r="F116" s="117"/>
      <c r="G116" s="117">
        <v>26.9</v>
      </c>
      <c r="H116" s="117">
        <v>15.8</v>
      </c>
      <c r="I116" s="117">
        <v>24.4</v>
      </c>
      <c r="J116" s="117">
        <v>62.2</v>
      </c>
      <c r="K116" s="117">
        <v>81.900000000000006</v>
      </c>
      <c r="L116" s="117">
        <v>71.8</v>
      </c>
      <c r="M116" s="117">
        <v>62.3</v>
      </c>
      <c r="N116" s="117">
        <v>71.900000000000006</v>
      </c>
      <c r="O116" s="117">
        <v>79.400000000000006</v>
      </c>
      <c r="P116" s="117">
        <v>70</v>
      </c>
      <c r="Q116" s="117">
        <v>79.2</v>
      </c>
      <c r="R116" s="117">
        <v>72.3</v>
      </c>
      <c r="S116" s="117">
        <v>59.8</v>
      </c>
      <c r="T116" s="117">
        <v>65.900000000000006</v>
      </c>
      <c r="U116" s="117">
        <v>50.4</v>
      </c>
      <c r="V116" s="117">
        <v>29.5</v>
      </c>
      <c r="W116" s="117">
        <v>45.9</v>
      </c>
      <c r="X116" s="117">
        <v>26.5</v>
      </c>
      <c r="Y116" s="117">
        <v>52.9</v>
      </c>
      <c r="Z116" s="117">
        <v>43.5</v>
      </c>
      <c r="AA116" s="117"/>
      <c r="AB116" s="117">
        <v>53.2</v>
      </c>
      <c r="AC116" s="117">
        <v>53.2</v>
      </c>
      <c r="AD116" s="117">
        <v>53.2</v>
      </c>
      <c r="AE116" s="117">
        <v>16</v>
      </c>
      <c r="AF116" s="117"/>
      <c r="AG116" s="118"/>
      <c r="AH116" s="47">
        <f t="shared" si="18"/>
        <v>81.900000000000006</v>
      </c>
      <c r="AI116" s="48">
        <f t="shared" si="19"/>
        <v>15.8</v>
      </c>
    </row>
    <row r="117" spans="1:37" x14ac:dyDescent="0.25">
      <c r="A117" s="116" t="s">
        <v>123</v>
      </c>
      <c r="B117" s="117">
        <v>60.6</v>
      </c>
      <c r="C117" s="117">
        <v>60.9</v>
      </c>
      <c r="D117" s="117">
        <v>58.9</v>
      </c>
      <c r="E117" s="117">
        <v>50.3</v>
      </c>
      <c r="F117" s="117"/>
      <c r="G117" s="117">
        <v>26.8</v>
      </c>
      <c r="H117" s="117">
        <v>26.6</v>
      </c>
      <c r="I117" s="117">
        <v>39.4</v>
      </c>
      <c r="J117" s="117">
        <v>40</v>
      </c>
      <c r="K117" s="117">
        <v>45.3</v>
      </c>
      <c r="L117" s="117">
        <v>21.5</v>
      </c>
      <c r="M117" s="117">
        <v>20.100000000000001</v>
      </c>
      <c r="N117" s="117">
        <v>33.1</v>
      </c>
      <c r="O117" s="117">
        <v>42.4</v>
      </c>
      <c r="P117" s="117">
        <v>33.1</v>
      </c>
      <c r="Q117" s="117">
        <v>22.3</v>
      </c>
      <c r="R117" s="117">
        <v>38.9</v>
      </c>
      <c r="S117" s="117">
        <v>34.6</v>
      </c>
      <c r="T117" s="117">
        <v>21.1</v>
      </c>
      <c r="U117" s="117">
        <v>7.9</v>
      </c>
      <c r="V117" s="117">
        <v>-4.7</v>
      </c>
      <c r="W117" s="117">
        <v>22.9</v>
      </c>
      <c r="X117" s="117">
        <v>-2.1</v>
      </c>
      <c r="Y117" s="117">
        <v>17.8</v>
      </c>
      <c r="Z117" s="117">
        <v>49.7</v>
      </c>
      <c r="AA117" s="117"/>
      <c r="AB117" s="117"/>
      <c r="AC117" s="117"/>
      <c r="AD117" s="117"/>
      <c r="AE117" s="117">
        <v>29</v>
      </c>
      <c r="AF117" s="117"/>
      <c r="AG117" s="119"/>
      <c r="AH117" s="47">
        <f t="shared" si="18"/>
        <v>60.9</v>
      </c>
      <c r="AI117" s="48">
        <f t="shared" si="19"/>
        <v>-4.7</v>
      </c>
    </row>
    <row r="118" spans="1:37" x14ac:dyDescent="0.25">
      <c r="A118" s="120" t="s">
        <v>124</v>
      </c>
      <c r="B118" s="106">
        <v>66.099999999999994</v>
      </c>
      <c r="C118" s="106"/>
      <c r="D118" s="106"/>
      <c r="E118" s="106"/>
      <c r="F118" s="106"/>
      <c r="G118" s="106"/>
      <c r="H118" s="106"/>
      <c r="I118" s="106"/>
      <c r="J118" s="106"/>
      <c r="K118" s="106">
        <v>62.8</v>
      </c>
      <c r="L118" s="106">
        <v>64.900000000000006</v>
      </c>
      <c r="M118" s="106">
        <v>60.5</v>
      </c>
      <c r="N118" s="106">
        <v>38.299999999999997</v>
      </c>
      <c r="O118" s="106">
        <v>24.8</v>
      </c>
      <c r="P118" s="106">
        <v>42.9</v>
      </c>
      <c r="Q118" s="106">
        <v>46.1</v>
      </c>
      <c r="R118" s="106">
        <v>51</v>
      </c>
      <c r="S118" s="106">
        <v>50.1</v>
      </c>
      <c r="T118" s="106">
        <v>44.5</v>
      </c>
      <c r="U118" s="106">
        <v>48.1</v>
      </c>
      <c r="V118" s="106">
        <v>49.2</v>
      </c>
      <c r="W118" s="106">
        <v>40.5</v>
      </c>
      <c r="X118" s="106">
        <v>45.5</v>
      </c>
      <c r="Y118" s="106">
        <v>43.6</v>
      </c>
      <c r="Z118" s="106">
        <v>36</v>
      </c>
      <c r="AA118" s="106"/>
      <c r="AB118" s="106">
        <v>25.8</v>
      </c>
      <c r="AC118" s="106">
        <v>25.8</v>
      </c>
      <c r="AD118" s="106">
        <v>25.8</v>
      </c>
      <c r="AE118" s="106">
        <v>25</v>
      </c>
      <c r="AF118" s="106"/>
      <c r="AG118" s="119"/>
      <c r="AH118" s="47">
        <f t="shared" si="18"/>
        <v>66.099999999999994</v>
      </c>
      <c r="AI118" s="48">
        <f t="shared" si="19"/>
        <v>24.8</v>
      </c>
    </row>
    <row r="119" spans="1:37" x14ac:dyDescent="0.25">
      <c r="A119" s="175" t="s">
        <v>265</v>
      </c>
      <c r="B119" s="106">
        <v>106.3</v>
      </c>
      <c r="C119" s="106">
        <v>96.5</v>
      </c>
      <c r="D119" s="106">
        <v>102.8</v>
      </c>
      <c r="E119" s="106">
        <v>117</v>
      </c>
      <c r="F119" s="106"/>
      <c r="G119" s="106">
        <v>95.6</v>
      </c>
      <c r="H119" s="106">
        <v>110</v>
      </c>
      <c r="I119" s="106">
        <v>89.3</v>
      </c>
      <c r="J119" s="106">
        <v>63</v>
      </c>
      <c r="K119" s="106">
        <v>58</v>
      </c>
      <c r="L119" s="106">
        <v>22</v>
      </c>
      <c r="M119" s="106">
        <v>16.5</v>
      </c>
      <c r="N119" s="106">
        <v>24.2</v>
      </c>
      <c r="O119" s="106">
        <v>20.100000000000001</v>
      </c>
      <c r="P119" s="106">
        <v>21.1</v>
      </c>
      <c r="Q119" s="106">
        <v>20.3</v>
      </c>
      <c r="R119" s="106">
        <v>24.1</v>
      </c>
      <c r="S119" s="106">
        <v>24.3</v>
      </c>
      <c r="T119" s="106">
        <v>24.7</v>
      </c>
      <c r="U119" s="106">
        <v>22.6</v>
      </c>
      <c r="V119" s="106">
        <v>89.2</v>
      </c>
      <c r="W119" s="106">
        <v>53</v>
      </c>
      <c r="X119" s="106">
        <v>64.400000000000006</v>
      </c>
      <c r="Y119" s="106">
        <v>49.9</v>
      </c>
      <c r="Z119" s="106">
        <v>45.9</v>
      </c>
      <c r="AA119" s="106"/>
      <c r="AB119" s="106">
        <v>43.3</v>
      </c>
      <c r="AC119" s="106">
        <v>43.3</v>
      </c>
      <c r="AD119" s="106">
        <v>43.3</v>
      </c>
      <c r="AE119" s="106">
        <v>85</v>
      </c>
      <c r="AF119" s="106"/>
      <c r="AG119" s="119"/>
      <c r="AH119" s="47">
        <f t="shared" si="18"/>
        <v>117</v>
      </c>
      <c r="AI119" s="48">
        <f t="shared" si="19"/>
        <v>16.5</v>
      </c>
    </row>
    <row r="120" spans="1:37" ht="15.75" thickBot="1" x14ac:dyDescent="0.3">
      <c r="A120" s="120" t="s">
        <v>125</v>
      </c>
      <c r="B120" s="106">
        <v>-38.9</v>
      </c>
      <c r="C120" s="106">
        <v>-35.200000000000003</v>
      </c>
      <c r="D120" s="106">
        <v>-27</v>
      </c>
      <c r="E120" s="106">
        <v>-29</v>
      </c>
      <c r="F120" s="106"/>
      <c r="G120" s="106">
        <v>-41.1</v>
      </c>
      <c r="H120" s="106">
        <v>-38.1</v>
      </c>
      <c r="I120" s="106">
        <v>42.1</v>
      </c>
      <c r="J120" s="106">
        <v>-37.1</v>
      </c>
      <c r="K120" s="106">
        <v>-24.4</v>
      </c>
      <c r="L120" s="106">
        <v>-20.8</v>
      </c>
      <c r="M120" s="106">
        <v>-19</v>
      </c>
      <c r="N120" s="106">
        <v>-0.5</v>
      </c>
      <c r="O120" s="106">
        <v>11.5</v>
      </c>
      <c r="P120" s="106">
        <v>12</v>
      </c>
      <c r="Q120" s="106">
        <v>4.7</v>
      </c>
      <c r="R120" s="106">
        <v>21.7</v>
      </c>
      <c r="S120" s="106">
        <v>27</v>
      </c>
      <c r="T120" s="106">
        <v>19.100000000000001</v>
      </c>
      <c r="U120" s="106">
        <v>32</v>
      </c>
      <c r="V120" s="106">
        <v>15.2</v>
      </c>
      <c r="W120" s="106">
        <v>21</v>
      </c>
      <c r="X120" s="106">
        <v>18.100000000000001</v>
      </c>
      <c r="Y120" s="106">
        <v>19.899999999999999</v>
      </c>
      <c r="Z120" s="106">
        <v>45.5</v>
      </c>
      <c r="AA120" s="106"/>
      <c r="AB120" s="106">
        <v>70.900000000000006</v>
      </c>
      <c r="AC120" s="106">
        <v>70.900000000000006</v>
      </c>
      <c r="AD120" s="106">
        <v>70.900000000000006</v>
      </c>
      <c r="AE120" s="106">
        <v>60</v>
      </c>
      <c r="AF120" s="106"/>
      <c r="AG120" s="119"/>
      <c r="AH120" s="47">
        <f t="shared" si="18"/>
        <v>70.900000000000006</v>
      </c>
      <c r="AI120" s="48">
        <f t="shared" si="19"/>
        <v>-41.1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34">SUM(B122:B226)</f>
        <v>0</v>
      </c>
      <c r="C227" s="136">
        <f t="shared" si="34"/>
        <v>0</v>
      </c>
      <c r="D227" s="136">
        <f t="shared" si="34"/>
        <v>0</v>
      </c>
      <c r="E227" s="136">
        <f t="shared" si="34"/>
        <v>0</v>
      </c>
      <c r="F227" s="136">
        <f t="shared" si="34"/>
        <v>0</v>
      </c>
      <c r="G227" s="136">
        <f t="shared" si="34"/>
        <v>0</v>
      </c>
      <c r="H227" s="136">
        <f t="shared" si="34"/>
        <v>0</v>
      </c>
      <c r="I227" s="136">
        <f t="shared" si="34"/>
        <v>0</v>
      </c>
      <c r="J227" s="136">
        <f t="shared" si="34"/>
        <v>0</v>
      </c>
      <c r="K227" s="136">
        <f t="shared" si="34"/>
        <v>0</v>
      </c>
      <c r="L227" s="136">
        <f t="shared" si="34"/>
        <v>0</v>
      </c>
      <c r="M227" s="136">
        <f t="shared" si="34"/>
        <v>0</v>
      </c>
      <c r="N227" s="136">
        <f t="shared" si="34"/>
        <v>0</v>
      </c>
      <c r="O227" s="136">
        <f t="shared" si="34"/>
        <v>0</v>
      </c>
      <c r="P227" s="136">
        <f t="shared" si="34"/>
        <v>0</v>
      </c>
      <c r="Q227" s="136">
        <f t="shared" si="34"/>
        <v>0</v>
      </c>
      <c r="R227" s="136">
        <f t="shared" si="34"/>
        <v>0</v>
      </c>
      <c r="S227" s="136">
        <f t="shared" si="34"/>
        <v>0</v>
      </c>
      <c r="T227" s="136">
        <f t="shared" si="34"/>
        <v>0</v>
      </c>
      <c r="U227" s="136">
        <f t="shared" si="34"/>
        <v>0</v>
      </c>
      <c r="V227" s="136">
        <f t="shared" si="34"/>
        <v>0</v>
      </c>
      <c r="W227" s="136">
        <f t="shared" si="34"/>
        <v>0</v>
      </c>
      <c r="X227" s="136">
        <f t="shared" si="34"/>
        <v>0</v>
      </c>
      <c r="Y227" s="136">
        <f t="shared" si="34"/>
        <v>0</v>
      </c>
      <c r="Z227" s="136">
        <f t="shared" si="34"/>
        <v>0</v>
      </c>
      <c r="AA227" s="136">
        <f t="shared" si="34"/>
        <v>0</v>
      </c>
      <c r="AB227" s="136">
        <f t="shared" si="34"/>
        <v>0</v>
      </c>
      <c r="AC227" s="136">
        <f t="shared" si="34"/>
        <v>0</v>
      </c>
      <c r="AD227" s="136">
        <f t="shared" si="34"/>
        <v>0</v>
      </c>
      <c r="AE227" s="136">
        <f t="shared" si="34"/>
        <v>0</v>
      </c>
      <c r="AF227" s="137">
        <f t="shared" si="34"/>
        <v>0</v>
      </c>
      <c r="AG227" s="138">
        <f t="shared" si="34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35">AF229</f>
        <v>0</v>
      </c>
      <c r="C229" s="140">
        <v>0.3</v>
      </c>
      <c r="D229" s="140">
        <f t="shared" ref="D229:P234" si="36">C229</f>
        <v>0.3</v>
      </c>
      <c r="E229" s="140">
        <f t="shared" si="36"/>
        <v>0.3</v>
      </c>
      <c r="F229" s="140">
        <f t="shared" si="36"/>
        <v>0.3</v>
      </c>
      <c r="G229" s="140">
        <f t="shared" si="36"/>
        <v>0.3</v>
      </c>
      <c r="H229" s="140">
        <f t="shared" si="36"/>
        <v>0.3</v>
      </c>
      <c r="I229" s="140">
        <f t="shared" si="36"/>
        <v>0.3</v>
      </c>
      <c r="J229" s="140">
        <f t="shared" si="36"/>
        <v>0.3</v>
      </c>
      <c r="K229" s="140">
        <f t="shared" si="36"/>
        <v>0.3</v>
      </c>
      <c r="L229" s="140">
        <f t="shared" si="36"/>
        <v>0.3</v>
      </c>
      <c r="M229" s="140">
        <f t="shared" si="36"/>
        <v>0.3</v>
      </c>
      <c r="N229" s="140">
        <f t="shared" si="36"/>
        <v>0.3</v>
      </c>
      <c r="O229" s="140">
        <f t="shared" si="36"/>
        <v>0.3</v>
      </c>
      <c r="P229" s="140">
        <f t="shared" si="36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35"/>
        <v>0</v>
      </c>
      <c r="C230" s="128">
        <v>0.4</v>
      </c>
      <c r="D230" s="128">
        <f t="shared" si="36"/>
        <v>0.4</v>
      </c>
      <c r="E230" s="128">
        <f t="shared" si="36"/>
        <v>0.4</v>
      </c>
      <c r="F230" s="128">
        <f t="shared" si="36"/>
        <v>0.4</v>
      </c>
      <c r="G230" s="128">
        <f t="shared" si="36"/>
        <v>0.4</v>
      </c>
      <c r="H230" s="128">
        <f t="shared" si="36"/>
        <v>0.4</v>
      </c>
      <c r="I230" s="128">
        <f t="shared" si="36"/>
        <v>0.4</v>
      </c>
      <c r="J230" s="128">
        <f t="shared" si="36"/>
        <v>0.4</v>
      </c>
      <c r="K230" s="128">
        <f t="shared" si="36"/>
        <v>0.4</v>
      </c>
      <c r="L230" s="128">
        <f t="shared" si="36"/>
        <v>0.4</v>
      </c>
      <c r="M230" s="128">
        <f t="shared" si="36"/>
        <v>0.4</v>
      </c>
      <c r="N230" s="128">
        <f t="shared" si="36"/>
        <v>0.4</v>
      </c>
      <c r="O230" s="128">
        <f t="shared" si="36"/>
        <v>0.4</v>
      </c>
      <c r="P230" s="128">
        <f t="shared" si="36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35"/>
        <v>0</v>
      </c>
      <c r="C231" s="128">
        <v>1.5</v>
      </c>
      <c r="D231" s="128">
        <f t="shared" si="36"/>
        <v>1.5</v>
      </c>
      <c r="E231" s="128">
        <f t="shared" si="36"/>
        <v>1.5</v>
      </c>
      <c r="F231" s="128">
        <f t="shared" si="36"/>
        <v>1.5</v>
      </c>
      <c r="G231" s="128">
        <f t="shared" si="36"/>
        <v>1.5</v>
      </c>
      <c r="H231" s="128">
        <f t="shared" si="36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36"/>
        <v>123.21900000000009</v>
      </c>
      <c r="K231" s="128">
        <f t="shared" ca="1" si="36"/>
        <v>123.21900000000009</v>
      </c>
      <c r="L231" s="128">
        <f t="shared" ca="1" si="36"/>
        <v>123.21900000000009</v>
      </c>
      <c r="M231" s="128">
        <f t="shared" ca="1" si="36"/>
        <v>119.19900000000008</v>
      </c>
      <c r="N231" s="128">
        <f t="shared" ca="1" si="36"/>
        <v>119.19900000000008</v>
      </c>
      <c r="O231" s="128">
        <f t="shared" ca="1" si="36"/>
        <v>119.19900000000008</v>
      </c>
      <c r="P231" s="128">
        <f t="shared" ca="1" si="36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35"/>
        <v>0</v>
      </c>
      <c r="C232" s="128">
        <v>0.3</v>
      </c>
      <c r="D232" s="128">
        <f t="shared" si="36"/>
        <v>0.3</v>
      </c>
      <c r="E232" s="128">
        <f t="shared" si="36"/>
        <v>0.3</v>
      </c>
      <c r="F232" s="128">
        <f t="shared" si="36"/>
        <v>0.3</v>
      </c>
      <c r="G232" s="128">
        <f t="shared" si="36"/>
        <v>0.3</v>
      </c>
      <c r="H232" s="128">
        <f t="shared" si="36"/>
        <v>0.3</v>
      </c>
      <c r="I232" s="128">
        <f t="shared" si="36"/>
        <v>0.3</v>
      </c>
      <c r="J232" s="128">
        <f t="shared" si="36"/>
        <v>0.3</v>
      </c>
      <c r="K232" s="128">
        <f t="shared" si="36"/>
        <v>0.3</v>
      </c>
      <c r="L232" s="128">
        <f t="shared" si="36"/>
        <v>0.3</v>
      </c>
      <c r="M232" s="128">
        <f t="shared" si="36"/>
        <v>0.3</v>
      </c>
      <c r="N232" s="128">
        <f t="shared" si="36"/>
        <v>0.3</v>
      </c>
      <c r="O232" s="128">
        <f t="shared" si="36"/>
        <v>0.3</v>
      </c>
      <c r="P232" s="128">
        <f t="shared" si="36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35"/>
        <v>0</v>
      </c>
      <c r="C233" s="128">
        <v>0.4</v>
      </c>
      <c r="D233" s="128">
        <f t="shared" si="36"/>
        <v>0.4</v>
      </c>
      <c r="E233" s="128">
        <f t="shared" si="36"/>
        <v>0.4</v>
      </c>
      <c r="F233" s="128">
        <f t="shared" si="36"/>
        <v>0.4</v>
      </c>
      <c r="G233" s="128">
        <f t="shared" si="36"/>
        <v>0.4</v>
      </c>
      <c r="H233" s="128">
        <f t="shared" si="36"/>
        <v>0.4</v>
      </c>
      <c r="I233" s="128">
        <f t="shared" si="36"/>
        <v>0.4</v>
      </c>
      <c r="J233" s="128">
        <f t="shared" si="36"/>
        <v>0.4</v>
      </c>
      <c r="K233" s="128">
        <f t="shared" si="36"/>
        <v>0.4</v>
      </c>
      <c r="L233" s="128">
        <f t="shared" si="36"/>
        <v>0.4</v>
      </c>
      <c r="M233" s="128">
        <f t="shared" si="36"/>
        <v>0.4</v>
      </c>
      <c r="N233" s="128">
        <f t="shared" si="36"/>
        <v>0.4</v>
      </c>
      <c r="O233" s="128">
        <f t="shared" si="36"/>
        <v>0.4</v>
      </c>
      <c r="P233" s="128">
        <f t="shared" si="36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35"/>
        <v>0</v>
      </c>
      <c r="C234" s="132">
        <v>0.64</v>
      </c>
      <c r="D234" s="132">
        <f t="shared" si="36"/>
        <v>0.64</v>
      </c>
      <c r="E234" s="132">
        <f t="shared" si="36"/>
        <v>0.64</v>
      </c>
      <c r="F234" s="132">
        <f t="shared" si="36"/>
        <v>0.64</v>
      </c>
      <c r="G234" s="132">
        <f t="shared" si="36"/>
        <v>0.64</v>
      </c>
      <c r="H234" s="132">
        <f t="shared" si="36"/>
        <v>0.64</v>
      </c>
      <c r="I234" s="132">
        <f t="shared" si="36"/>
        <v>0.64</v>
      </c>
      <c r="J234" s="132">
        <f t="shared" si="36"/>
        <v>0.64</v>
      </c>
      <c r="K234" s="132">
        <f t="shared" si="36"/>
        <v>0.64</v>
      </c>
      <c r="L234" s="132">
        <f t="shared" si="36"/>
        <v>0.64</v>
      </c>
      <c r="M234" s="132">
        <f t="shared" si="36"/>
        <v>0.64</v>
      </c>
      <c r="N234" s="132">
        <f t="shared" si="36"/>
        <v>0.64</v>
      </c>
      <c r="O234" s="132">
        <f t="shared" si="36"/>
        <v>0.64</v>
      </c>
      <c r="P234" s="132">
        <f t="shared" si="36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37">SUM(B229:B234)</f>
        <v>0</v>
      </c>
      <c r="C235" s="136">
        <f t="shared" si="37"/>
        <v>3.54</v>
      </c>
      <c r="D235" s="136">
        <f t="shared" si="37"/>
        <v>3.54</v>
      </c>
      <c r="E235" s="136">
        <f t="shared" si="37"/>
        <v>3.54</v>
      </c>
      <c r="F235" s="136">
        <f t="shared" si="37"/>
        <v>3.54</v>
      </c>
      <c r="G235" s="136">
        <f t="shared" si="37"/>
        <v>3.54</v>
      </c>
      <c r="H235" s="136">
        <f t="shared" si="37"/>
        <v>3.54</v>
      </c>
      <c r="I235" s="136">
        <f t="shared" ca="1" si="37"/>
        <v>121.23900000000009</v>
      </c>
      <c r="J235" s="136">
        <f t="shared" ca="1" si="37"/>
        <v>121.23900000000009</v>
      </c>
      <c r="K235" s="136">
        <f t="shared" ca="1" si="37"/>
        <v>121.23900000000009</v>
      </c>
      <c r="L235" s="136">
        <f t="shared" ca="1" si="37"/>
        <v>125.2590000000001</v>
      </c>
      <c r="M235" s="136">
        <f t="shared" ca="1" si="37"/>
        <v>121.23900000000009</v>
      </c>
      <c r="N235" s="136">
        <f t="shared" ca="1" si="37"/>
        <v>121.23900000000009</v>
      </c>
      <c r="O235" s="136">
        <f t="shared" ca="1" si="37"/>
        <v>121.23900000000009</v>
      </c>
      <c r="P235" s="136">
        <f t="shared" ca="1" si="37"/>
        <v>121.23900000000009</v>
      </c>
      <c r="Q235" s="136">
        <f t="shared" si="37"/>
        <v>0</v>
      </c>
      <c r="R235" s="136">
        <f t="shared" si="37"/>
        <v>0</v>
      </c>
      <c r="S235" s="136">
        <f t="shared" si="37"/>
        <v>0</v>
      </c>
      <c r="T235" s="136">
        <f t="shared" si="37"/>
        <v>0</v>
      </c>
      <c r="U235" s="136">
        <f t="shared" si="37"/>
        <v>0</v>
      </c>
      <c r="V235" s="136">
        <f t="shared" si="37"/>
        <v>0</v>
      </c>
      <c r="W235" s="136">
        <f t="shared" si="37"/>
        <v>0</v>
      </c>
      <c r="X235" s="136">
        <f t="shared" si="37"/>
        <v>0</v>
      </c>
      <c r="Y235" s="136">
        <f t="shared" si="37"/>
        <v>0</v>
      </c>
      <c r="Z235" s="136">
        <f t="shared" si="37"/>
        <v>0</v>
      </c>
      <c r="AA235" s="136">
        <f t="shared" si="37"/>
        <v>0</v>
      </c>
      <c r="AB235" s="136">
        <f t="shared" si="37"/>
        <v>0</v>
      </c>
      <c r="AC235" s="136">
        <f t="shared" si="37"/>
        <v>0</v>
      </c>
      <c r="AD235" s="136">
        <f t="shared" si="37"/>
        <v>0</v>
      </c>
      <c r="AE235" s="136">
        <f t="shared" si="37"/>
        <v>0</v>
      </c>
      <c r="AF235" s="136">
        <f t="shared" si="37"/>
        <v>0</v>
      </c>
      <c r="AG235" s="145">
        <f t="shared" si="37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1847.34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32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str">
        <f ca="1">"Pie Chart of Daily Peak Demand(Inclusive of Export) of Nepal ("&amp;A4&amp;" "&amp;B4&amp;")"</f>
        <v>Pie Chart of Daily Peak Demand(Inclusive of Export) of Nepal (Nepali Date: 2080/02/32)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2080/02/32)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38">B91</f>
        <v>1875.1399999999999</v>
      </c>
      <c r="U249" s="170">
        <f t="shared" si="38"/>
        <v>1864.84</v>
      </c>
      <c r="V249" s="170">
        <f t="shared" si="38"/>
        <v>1829.6399999999999</v>
      </c>
      <c r="W249" s="170">
        <f t="shared" si="38"/>
        <v>1820.1399999999999</v>
      </c>
      <c r="X249" s="170">
        <f t="shared" si="38"/>
        <v>68.540000000000006</v>
      </c>
      <c r="Y249" s="170">
        <f t="shared" si="38"/>
        <v>1770.7399999999998</v>
      </c>
      <c r="Z249" s="170">
        <f t="shared" si="38"/>
        <v>1725.2399999999998</v>
      </c>
      <c r="AA249" s="170">
        <f t="shared" si="38"/>
        <v>1728.0399999999997</v>
      </c>
      <c r="AB249" s="170">
        <f t="shared" si="38"/>
        <v>1759.04</v>
      </c>
      <c r="AC249" s="170">
        <f t="shared" si="38"/>
        <v>1796.34</v>
      </c>
      <c r="AD249" s="170">
        <f t="shared" si="38"/>
        <v>1842.6399999999996</v>
      </c>
      <c r="AE249" s="170">
        <f t="shared" si="38"/>
        <v>1822.7399999999998</v>
      </c>
      <c r="AF249" s="170">
        <f t="shared" si="38"/>
        <v>1847.34</v>
      </c>
      <c r="AG249" s="170">
        <f t="shared" si="38"/>
        <v>1795.9399999999998</v>
      </c>
      <c r="AH249" s="170">
        <f t="shared" si="38"/>
        <v>1839.5399999999997</v>
      </c>
      <c r="AI249" s="170">
        <f t="shared" si="38"/>
        <v>1870.9399999999998</v>
      </c>
      <c r="AJ249" s="170">
        <f t="shared" si="38"/>
        <v>1908.74</v>
      </c>
      <c r="AK249" s="170">
        <f t="shared" si="38"/>
        <v>1897.54</v>
      </c>
      <c r="AL249" s="170">
        <f t="shared" si="38"/>
        <v>1860.1399999999999</v>
      </c>
      <c r="AM249" s="170">
        <f t="shared" si="38"/>
        <v>1825.7399999999998</v>
      </c>
      <c r="AN249" s="170">
        <f t="shared" si="38"/>
        <v>1702.1399999999999</v>
      </c>
      <c r="AO249" s="170">
        <f t="shared" si="38"/>
        <v>1748.94</v>
      </c>
      <c r="AP249" s="170">
        <f t="shared" si="38"/>
        <v>1770.6399999999999</v>
      </c>
      <c r="AQ249" s="170">
        <f t="shared" si="38"/>
        <v>1791.6399999999999</v>
      </c>
      <c r="AR249" s="170">
        <f t="shared" si="38"/>
        <v>1829.44</v>
      </c>
      <c r="AS249" s="170">
        <f t="shared" si="38"/>
        <v>129.74</v>
      </c>
      <c r="AT249" s="170">
        <f t="shared" si="38"/>
        <v>1771.9399999999998</v>
      </c>
      <c r="AU249" s="170">
        <f t="shared" si="38"/>
        <v>8.5399999999999991</v>
      </c>
      <c r="AV249" s="170">
        <f t="shared" si="38"/>
        <v>2002.1399999999999</v>
      </c>
      <c r="AW249" s="170">
        <f t="shared" si="38"/>
        <v>2052.4399999999996</v>
      </c>
      <c r="AX249" s="170">
        <f t="shared" si="38"/>
        <v>68.540000000000006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39">C234</f>
        <v>0.64</v>
      </c>
      <c r="C270" s="173">
        <f t="shared" si="39"/>
        <v>0.64</v>
      </c>
      <c r="D270" s="173">
        <f t="shared" si="39"/>
        <v>0.64</v>
      </c>
      <c r="E270" s="173">
        <f t="shared" si="39"/>
        <v>0.64</v>
      </c>
      <c r="F270" s="173">
        <f t="shared" si="39"/>
        <v>0.64</v>
      </c>
      <c r="G270" s="173">
        <f t="shared" si="39"/>
        <v>0.64</v>
      </c>
      <c r="H270" s="173">
        <f t="shared" si="39"/>
        <v>0.64</v>
      </c>
      <c r="I270" s="173">
        <f t="shared" si="39"/>
        <v>0.64</v>
      </c>
      <c r="J270" s="173">
        <f t="shared" si="39"/>
        <v>0.64</v>
      </c>
      <c r="K270" s="173">
        <f t="shared" si="39"/>
        <v>0.64</v>
      </c>
      <c r="L270" s="173">
        <f t="shared" si="39"/>
        <v>0.64</v>
      </c>
      <c r="M270" s="173">
        <f t="shared" si="39"/>
        <v>0.64</v>
      </c>
      <c r="N270" s="173">
        <f t="shared" si="39"/>
        <v>0.64</v>
      </c>
      <c r="O270" s="173">
        <f t="shared" si="39"/>
        <v>0.64</v>
      </c>
      <c r="P270" s="173">
        <f t="shared" si="39"/>
        <v>0</v>
      </c>
      <c r="Q270" s="173">
        <f t="shared" si="39"/>
        <v>0</v>
      </c>
      <c r="R270" s="173">
        <f t="shared" si="39"/>
        <v>0</v>
      </c>
      <c r="S270" s="173">
        <f t="shared" si="39"/>
        <v>0</v>
      </c>
      <c r="T270" s="173">
        <f t="shared" si="39"/>
        <v>0</v>
      </c>
      <c r="U270" s="173">
        <f t="shared" si="39"/>
        <v>0</v>
      </c>
      <c r="V270" s="173">
        <f t="shared" si="39"/>
        <v>0</v>
      </c>
      <c r="W270" s="173">
        <f t="shared" si="39"/>
        <v>0</v>
      </c>
      <c r="X270" s="173">
        <f t="shared" si="39"/>
        <v>0</v>
      </c>
      <c r="Y270" s="173">
        <f t="shared" si="39"/>
        <v>0</v>
      </c>
      <c r="Z270" s="173">
        <f t="shared" si="39"/>
        <v>0</v>
      </c>
      <c r="AA270" s="173">
        <f t="shared" si="39"/>
        <v>0</v>
      </c>
      <c r="AB270" s="173">
        <f t="shared" si="39"/>
        <v>0</v>
      </c>
      <c r="AC270" s="173">
        <f t="shared" si="39"/>
        <v>0</v>
      </c>
      <c r="AD270" s="173">
        <f t="shared" si="39"/>
        <v>0</v>
      </c>
      <c r="AE270" s="173">
        <f t="shared" si="39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40">IF(B238&lt;100,"",B238-520)</f>
        <v/>
      </c>
      <c r="C271" s="174" t="str">
        <f t="shared" si="40"/>
        <v/>
      </c>
      <c r="D271" s="174" t="str">
        <f t="shared" si="40"/>
        <v/>
      </c>
      <c r="E271" s="174" t="str">
        <f t="shared" si="40"/>
        <v/>
      </c>
      <c r="F271" s="174" t="str">
        <f t="shared" si="40"/>
        <v/>
      </c>
      <c r="G271" s="174" t="str">
        <f t="shared" si="40"/>
        <v/>
      </c>
      <c r="H271" s="174" t="str">
        <f t="shared" si="40"/>
        <v/>
      </c>
      <c r="I271" s="174" t="str">
        <f t="shared" si="40"/>
        <v/>
      </c>
      <c r="J271" s="174" t="str">
        <f t="shared" si="40"/>
        <v/>
      </c>
      <c r="K271" s="174" t="str">
        <f t="shared" si="40"/>
        <v/>
      </c>
      <c r="L271" s="174" t="str">
        <f t="shared" si="40"/>
        <v/>
      </c>
      <c r="M271" s="174" t="str">
        <f t="shared" si="40"/>
        <v/>
      </c>
      <c r="N271" s="174" t="str">
        <f t="shared" si="40"/>
        <v/>
      </c>
      <c r="O271" s="174" t="str">
        <f t="shared" si="40"/>
        <v/>
      </c>
      <c r="P271" s="174" t="str">
        <f t="shared" si="40"/>
        <v/>
      </c>
      <c r="Q271" s="174" t="str">
        <f t="shared" si="40"/>
        <v/>
      </c>
      <c r="R271" s="174" t="str">
        <f t="shared" si="40"/>
        <v/>
      </c>
      <c r="S271" s="174" t="str">
        <f t="shared" si="40"/>
        <v/>
      </c>
      <c r="T271" s="174" t="str">
        <f t="shared" si="40"/>
        <v/>
      </c>
      <c r="U271" s="174" t="str">
        <f t="shared" si="40"/>
        <v/>
      </c>
      <c r="V271" s="174" t="str">
        <f t="shared" si="40"/>
        <v/>
      </c>
      <c r="W271" s="174" t="str">
        <f t="shared" si="40"/>
        <v/>
      </c>
      <c r="X271" s="174" t="str">
        <f t="shared" si="40"/>
        <v/>
      </c>
      <c r="Y271" s="174" t="str">
        <f t="shared" si="40"/>
        <v/>
      </c>
      <c r="Z271" s="174" t="str">
        <f t="shared" si="40"/>
        <v/>
      </c>
      <c r="AA271" s="174" t="str">
        <f t="shared" si="40"/>
        <v/>
      </c>
      <c r="AB271" s="174" t="str">
        <f t="shared" si="40"/>
        <v/>
      </c>
      <c r="AC271" s="174" t="str">
        <f t="shared" si="40"/>
        <v/>
      </c>
      <c r="AD271" s="174" t="str">
        <f t="shared" si="40"/>
        <v/>
      </c>
      <c r="AE271" s="174" t="str">
        <f t="shared" si="40"/>
        <v/>
      </c>
      <c r="AF271" s="174" t="str">
        <f t="shared" si="40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41">IF(B239&lt;100,"",B239-620)</f>
        <v/>
      </c>
      <c r="C272" s="174" t="str">
        <f t="shared" si="41"/>
        <v/>
      </c>
      <c r="D272" s="174" t="str">
        <f t="shared" si="41"/>
        <v/>
      </c>
      <c r="E272" s="174" t="str">
        <f t="shared" si="41"/>
        <v/>
      </c>
      <c r="F272" s="174" t="str">
        <f t="shared" si="41"/>
        <v/>
      </c>
      <c r="G272" s="174" t="str">
        <f t="shared" si="41"/>
        <v/>
      </c>
      <c r="H272" s="174" t="str">
        <f t="shared" si="41"/>
        <v/>
      </c>
      <c r="I272" s="174" t="str">
        <f t="shared" si="41"/>
        <v/>
      </c>
      <c r="J272" s="174" t="str">
        <f t="shared" si="41"/>
        <v/>
      </c>
      <c r="K272" s="174" t="str">
        <f t="shared" si="41"/>
        <v/>
      </c>
      <c r="L272" s="174" t="str">
        <f t="shared" si="41"/>
        <v/>
      </c>
      <c r="M272" s="174" t="str">
        <f t="shared" si="41"/>
        <v/>
      </c>
      <c r="N272" s="174" t="str">
        <f t="shared" si="41"/>
        <v/>
      </c>
      <c r="O272" s="174" t="str">
        <f t="shared" si="41"/>
        <v/>
      </c>
      <c r="P272" s="174" t="str">
        <f t="shared" si="41"/>
        <v/>
      </c>
      <c r="Q272" s="174" t="str">
        <f t="shared" si="41"/>
        <v/>
      </c>
      <c r="R272" s="174" t="str">
        <f t="shared" si="41"/>
        <v/>
      </c>
      <c r="S272" s="174" t="str">
        <f t="shared" si="41"/>
        <v/>
      </c>
      <c r="T272" s="174" t="str">
        <f t="shared" si="41"/>
        <v/>
      </c>
      <c r="U272" s="174" t="str">
        <f t="shared" si="41"/>
        <v/>
      </c>
      <c r="V272" s="174" t="str">
        <f t="shared" si="41"/>
        <v/>
      </c>
      <c r="W272" s="174" t="str">
        <f t="shared" si="41"/>
        <v/>
      </c>
      <c r="X272" s="174" t="str">
        <f t="shared" si="41"/>
        <v/>
      </c>
      <c r="Y272" s="174" t="str">
        <f t="shared" si="41"/>
        <v/>
      </c>
      <c r="Z272" s="174" t="str">
        <f t="shared" si="41"/>
        <v/>
      </c>
      <c r="AA272" s="174" t="str">
        <f t="shared" si="41"/>
        <v/>
      </c>
      <c r="AB272" s="174" t="str">
        <f t="shared" si="41"/>
        <v/>
      </c>
      <c r="AC272" s="174" t="str">
        <f t="shared" si="41"/>
        <v/>
      </c>
      <c r="AD272" s="174" t="str">
        <f t="shared" si="41"/>
        <v/>
      </c>
      <c r="AE272" s="174" t="str">
        <f t="shared" si="41"/>
        <v/>
      </c>
      <c r="AF272" s="174" t="str">
        <f t="shared" si="41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42">IF(B240&lt;100,"",B240-330)</f>
        <v/>
      </c>
      <c r="C273" s="174" t="str">
        <f t="shared" si="42"/>
        <v/>
      </c>
      <c r="D273" s="174" t="str">
        <f t="shared" si="42"/>
        <v/>
      </c>
      <c r="E273" s="174" t="str">
        <f t="shared" si="42"/>
        <v/>
      </c>
      <c r="F273" s="174" t="str">
        <f t="shared" si="42"/>
        <v/>
      </c>
      <c r="G273" s="174" t="str">
        <f t="shared" si="42"/>
        <v/>
      </c>
      <c r="H273" s="174" t="str">
        <f t="shared" si="42"/>
        <v/>
      </c>
      <c r="I273" s="174" t="str">
        <f t="shared" si="42"/>
        <v/>
      </c>
      <c r="J273" s="174" t="str">
        <f t="shared" si="42"/>
        <v/>
      </c>
      <c r="K273" s="174" t="str">
        <f t="shared" si="42"/>
        <v/>
      </c>
      <c r="L273" s="174" t="str">
        <f t="shared" si="42"/>
        <v/>
      </c>
      <c r="M273" s="174" t="str">
        <f t="shared" si="42"/>
        <v/>
      </c>
      <c r="N273" s="174" t="str">
        <f t="shared" si="42"/>
        <v/>
      </c>
      <c r="O273" s="174" t="str">
        <f t="shared" si="42"/>
        <v/>
      </c>
      <c r="P273" s="174" t="str">
        <f t="shared" si="42"/>
        <v/>
      </c>
      <c r="Q273" s="174" t="str">
        <f t="shared" si="42"/>
        <v/>
      </c>
      <c r="R273" s="174" t="str">
        <f t="shared" si="42"/>
        <v/>
      </c>
      <c r="S273" s="174" t="str">
        <f t="shared" si="42"/>
        <v/>
      </c>
      <c r="T273" s="174" t="str">
        <f t="shared" si="42"/>
        <v/>
      </c>
      <c r="U273" s="174" t="str">
        <f t="shared" si="42"/>
        <v/>
      </c>
      <c r="V273" s="174" t="str">
        <f t="shared" si="42"/>
        <v/>
      </c>
      <c r="W273" s="174" t="str">
        <f t="shared" si="42"/>
        <v/>
      </c>
      <c r="X273" s="174" t="str">
        <f t="shared" si="42"/>
        <v/>
      </c>
      <c r="Y273" s="174" t="str">
        <f t="shared" si="42"/>
        <v/>
      </c>
      <c r="Z273" s="174" t="str">
        <f t="shared" si="42"/>
        <v/>
      </c>
      <c r="AA273" s="174" t="str">
        <f t="shared" si="42"/>
        <v/>
      </c>
      <c r="AB273" s="174" t="str">
        <f t="shared" si="42"/>
        <v/>
      </c>
      <c r="AC273" s="174" t="str">
        <f t="shared" si="42"/>
        <v/>
      </c>
      <c r="AD273" s="174" t="str">
        <f t="shared" si="42"/>
        <v/>
      </c>
      <c r="AE273" s="174" t="str">
        <f t="shared" si="42"/>
        <v/>
      </c>
      <c r="AF273" s="174" t="str">
        <f t="shared" si="42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43">IF(B241&lt;100,"",B241-1500)</f>
        <v/>
      </c>
      <c r="C274" s="174" t="str">
        <f t="shared" si="43"/>
        <v/>
      </c>
      <c r="D274" s="174" t="str">
        <f t="shared" si="43"/>
        <v/>
      </c>
      <c r="E274" s="174" t="str">
        <f t="shared" si="43"/>
        <v/>
      </c>
      <c r="F274" s="174" t="str">
        <f t="shared" si="43"/>
        <v/>
      </c>
      <c r="G274" s="174" t="str">
        <f t="shared" si="43"/>
        <v/>
      </c>
      <c r="H274" s="174" t="str">
        <f t="shared" si="43"/>
        <v/>
      </c>
      <c r="I274" s="174" t="str">
        <f t="shared" si="43"/>
        <v/>
      </c>
      <c r="J274" s="174" t="str">
        <f t="shared" si="43"/>
        <v/>
      </c>
      <c r="K274" s="174" t="str">
        <f t="shared" si="43"/>
        <v/>
      </c>
      <c r="L274" s="174" t="str">
        <f t="shared" si="43"/>
        <v/>
      </c>
      <c r="M274" s="174" t="str">
        <f t="shared" si="43"/>
        <v/>
      </c>
      <c r="N274" s="174" t="str">
        <f t="shared" si="43"/>
        <v/>
      </c>
      <c r="O274" s="174" t="str">
        <f t="shared" si="43"/>
        <v/>
      </c>
      <c r="P274" s="174" t="str">
        <f t="shared" si="43"/>
        <v/>
      </c>
      <c r="Q274" s="174" t="str">
        <f t="shared" si="43"/>
        <v/>
      </c>
      <c r="R274" s="174" t="str">
        <f t="shared" si="43"/>
        <v/>
      </c>
      <c r="S274" s="174" t="str">
        <f t="shared" si="43"/>
        <v/>
      </c>
      <c r="T274" s="174" t="str">
        <f t="shared" si="43"/>
        <v/>
      </c>
      <c r="U274" s="174" t="str">
        <f t="shared" si="43"/>
        <v/>
      </c>
      <c r="V274" s="174" t="str">
        <f t="shared" si="43"/>
        <v/>
      </c>
      <c r="W274" s="174" t="str">
        <f t="shared" si="43"/>
        <v/>
      </c>
      <c r="X274" s="174" t="str">
        <f t="shared" si="43"/>
        <v/>
      </c>
      <c r="Y274" s="174" t="str">
        <f t="shared" si="43"/>
        <v/>
      </c>
      <c r="Z274" s="174" t="str">
        <f t="shared" si="43"/>
        <v/>
      </c>
      <c r="AA274" s="174" t="str">
        <f t="shared" si="43"/>
        <v/>
      </c>
      <c r="AB274" s="174" t="str">
        <f t="shared" si="43"/>
        <v/>
      </c>
      <c r="AC274" s="174" t="str">
        <f t="shared" si="43"/>
        <v/>
      </c>
      <c r="AD274" s="174" t="str">
        <f t="shared" si="43"/>
        <v/>
      </c>
      <c r="AE274" s="174" t="str">
        <f t="shared" si="43"/>
        <v/>
      </c>
      <c r="AF274" s="174" t="str">
        <f t="shared" si="43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61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611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F14:F17 F12 E69:W71 Z69:Z71 D111:AF111 D113:AF119 T12:AF12 T14:AF17">
    <cfRule type="expression" dxfId="1334" priority="607">
      <formula>B$9&gt;=20/24</formula>
    </cfRule>
    <cfRule type="expression" dxfId="1333" priority="608">
      <formula>AND(B$9&gt;=14/24,B$9&lt;20/24)</formula>
    </cfRule>
    <cfRule type="expression" dxfId="1332" priority="609">
      <formula>AND(B$9&gt;=8/24,B$9&lt;14/24)</formula>
    </cfRule>
    <cfRule type="expression" dxfId="1331" priority="610">
      <formula>B$9&lt;8/24</formula>
    </cfRule>
  </conditionalFormatting>
  <conditionalFormatting sqref="AL4:AL6">
    <cfRule type="iconSet" priority="606">
      <iconSet iconSet="3TrafficLights2" reverse="1">
        <cfvo type="percent" val="0"/>
        <cfvo type="num" val="1"/>
        <cfvo type="num" val="1"/>
      </iconSet>
    </cfRule>
  </conditionalFormatting>
  <conditionalFormatting sqref="AG67 F14:F17 F12 E69:Z71 T12:AF12 T14:AF17">
    <cfRule type="expression" dxfId="1330" priority="605">
      <formula>E12&gt;$AG12</formula>
    </cfRule>
  </conditionalFormatting>
  <conditionalFormatting sqref="A101:A111 A61:A88 A97:A99 A205:A235 A48:A59 A121:A192 A43:A44 A93:A95 A90:A91 A113:A115 A40:A41 A21:A22 A24:A34 A19 A36:A38 A12:A17">
    <cfRule type="expression" dxfId="1329" priority="604">
      <formula>$AH12=0</formula>
    </cfRule>
  </conditionalFormatting>
  <conditionalFormatting sqref="A116">
    <cfRule type="expression" dxfId="1328" priority="603">
      <formula>$AH116=0</formula>
    </cfRule>
  </conditionalFormatting>
  <conditionalFormatting sqref="AL44">
    <cfRule type="iconSet" priority="602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1327" priority="601">
      <formula>$AH47=0</formula>
    </cfRule>
  </conditionalFormatting>
  <conditionalFormatting sqref="A100">
    <cfRule type="expression" dxfId="1326" priority="600">
      <formula>$AH100=0</formula>
    </cfRule>
  </conditionalFormatting>
  <conditionalFormatting sqref="A20">
    <cfRule type="expression" dxfId="1325" priority="599">
      <formula>$AH20=0</formula>
    </cfRule>
  </conditionalFormatting>
  <conditionalFormatting sqref="A199:A204">
    <cfRule type="expression" dxfId="1324" priority="598">
      <formula>$AH199=0</formula>
    </cfRule>
  </conditionalFormatting>
  <conditionalFormatting sqref="A193:A198">
    <cfRule type="expression" dxfId="1323" priority="597">
      <formula>$AH193=0</formula>
    </cfRule>
  </conditionalFormatting>
  <conditionalFormatting sqref="A60">
    <cfRule type="expression" dxfId="1322" priority="596">
      <formula>$AH60=0</formula>
    </cfRule>
  </conditionalFormatting>
  <conditionalFormatting sqref="A96">
    <cfRule type="expression" dxfId="1321" priority="595">
      <formula>$AH96=0</formula>
    </cfRule>
  </conditionalFormatting>
  <conditionalFormatting sqref="AE101:AF101 E101:Y101">
    <cfRule type="expression" dxfId="1320" priority="591">
      <formula>E$9&gt;=20/24</formula>
    </cfRule>
    <cfRule type="expression" dxfId="1319" priority="592">
      <formula>AND(E$9&gt;=14/24,E$9&lt;20/24)</formula>
    </cfRule>
    <cfRule type="expression" dxfId="1318" priority="593">
      <formula>AND(E$9&gt;=8/24,E$9&lt;14/24)</formula>
    </cfRule>
    <cfRule type="expression" dxfId="1317" priority="594">
      <formula>E$9&lt;8/24</formula>
    </cfRule>
  </conditionalFormatting>
  <conditionalFormatting sqref="AL45">
    <cfRule type="iconSet" priority="59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316" priority="613">
      <formula>C$9&gt;=20/24</formula>
    </cfRule>
    <cfRule type="expression" dxfId="1315" priority="614">
      <formula>AND(C$9&gt;=14/24,C$9&lt;20/24)</formula>
    </cfRule>
    <cfRule type="expression" dxfId="1314" priority="615">
      <formula>AND(C$9&gt;=8/24,C$9&lt;14/24)</formula>
    </cfRule>
    <cfRule type="expression" dxfId="1313" priority="616">
      <formula>C$9&lt;8/24</formula>
    </cfRule>
  </conditionalFormatting>
  <conditionalFormatting sqref="A236">
    <cfRule type="expression" dxfId="1312" priority="617">
      <formula>$AH236=0</formula>
    </cfRule>
  </conditionalFormatting>
  <conditionalFormatting sqref="AG248">
    <cfRule type="expression" dxfId="1311" priority="618">
      <formula>B$9&gt;=20/24</formula>
    </cfRule>
    <cfRule type="expression" dxfId="1310" priority="619">
      <formula>AND(B$9&gt;=14/24,B$9&lt;20/24)</formula>
    </cfRule>
    <cfRule type="expression" dxfId="1309" priority="620">
      <formula>AND(B$9&gt;=8/24,B$9&lt;14/24)</formula>
    </cfRule>
    <cfRule type="expression" dxfId="1308" priority="621">
      <formula>B$9&lt;8/24</formula>
    </cfRule>
  </conditionalFormatting>
  <conditionalFormatting sqref="S8">
    <cfRule type="expression" dxfId="1307" priority="586">
      <formula>U$9&gt;=20/24</formula>
    </cfRule>
    <cfRule type="expression" dxfId="1306" priority="587">
      <formula>AND(U$9&gt;=14/24,U$9&lt;20/24)</formula>
    </cfRule>
    <cfRule type="expression" dxfId="1305" priority="588">
      <formula>AND(U$9&gt;=8/24,U$9&lt;14/24)</formula>
    </cfRule>
    <cfRule type="expression" dxfId="1304" priority="589">
      <formula>U$9&lt;8/24</formula>
    </cfRule>
  </conditionalFormatting>
  <conditionalFormatting sqref="AB8">
    <cfRule type="expression" dxfId="1303" priority="582">
      <formula>AD$9&gt;=20/24</formula>
    </cfRule>
    <cfRule type="expression" dxfId="1302" priority="583">
      <formula>AND(AD$9&gt;=14/24,AD$9&lt;20/24)</formula>
    </cfRule>
    <cfRule type="expression" dxfId="1301" priority="584">
      <formula>AND(AD$9&gt;=8/24,AD$9&lt;14/24)</formula>
    </cfRule>
    <cfRule type="expression" dxfId="1300" priority="585">
      <formula>AD$9&lt;8/24</formula>
    </cfRule>
  </conditionalFormatting>
  <conditionalFormatting sqref="AH248:AX248 X69:Z71">
    <cfRule type="expression" dxfId="1299" priority="622">
      <formula>W$9&gt;=20/24</formula>
    </cfRule>
    <cfRule type="expression" dxfId="1298" priority="623">
      <formula>AND(W$9&gt;=14/24,W$9&lt;20/24)</formula>
    </cfRule>
    <cfRule type="expression" dxfId="1297" priority="624">
      <formula>AND(W$9&gt;=8/24,W$9&lt;14/24)</formula>
    </cfRule>
    <cfRule type="expression" dxfId="1296" priority="625">
      <formula>W$9&lt;8/24</formula>
    </cfRule>
  </conditionalFormatting>
  <conditionalFormatting sqref="T248">
    <cfRule type="expression" dxfId="1295" priority="626">
      <formula>AX$9&gt;=20/24</formula>
    </cfRule>
    <cfRule type="expression" dxfId="1294" priority="627">
      <formula>AND(AX$9&gt;=14/24,AX$9&lt;20/24)</formula>
    </cfRule>
    <cfRule type="expression" dxfId="1293" priority="628">
      <formula>AND(AX$9&gt;=8/24,AX$9&lt;14/24)</formula>
    </cfRule>
    <cfRule type="expression" dxfId="1292" priority="629">
      <formula>AX$9&lt;8/24</formula>
    </cfRule>
  </conditionalFormatting>
  <conditionalFormatting sqref="A117:A119">
    <cfRule type="expression" dxfId="1291" priority="581">
      <formula>$AH117=0</formula>
    </cfRule>
  </conditionalFormatting>
  <conditionalFormatting sqref="N56:S58 E73:AF73">
    <cfRule type="expression" dxfId="1290" priority="577">
      <formula>E$9&gt;=20/24</formula>
    </cfRule>
    <cfRule type="expression" dxfId="1289" priority="578">
      <formula>AND(E$9&gt;=14/24,E$9&lt;20/24)</formula>
    </cfRule>
    <cfRule type="expression" dxfId="1288" priority="579">
      <formula>AND(E$9&gt;=8/24,E$9&lt;14/24)</formula>
    </cfRule>
    <cfRule type="expression" dxfId="1287" priority="580">
      <formula>E$9&lt;8/24</formula>
    </cfRule>
  </conditionalFormatting>
  <conditionalFormatting sqref="M55:S55">
    <cfRule type="expression" dxfId="1286" priority="573">
      <formula>M$9&gt;=20/24</formula>
    </cfRule>
    <cfRule type="expression" dxfId="1285" priority="574">
      <formula>AND(M$9&gt;=14/24,M$9&lt;20/24)</formula>
    </cfRule>
    <cfRule type="expression" dxfId="1284" priority="575">
      <formula>AND(M$9&gt;=8/24,M$9&lt;14/24)</formula>
    </cfRule>
    <cfRule type="expression" dxfId="1283" priority="576">
      <formula>M$9&lt;8/24</formula>
    </cfRule>
  </conditionalFormatting>
  <conditionalFormatting sqref="M55:N55 N56:N58 O55:S58">
    <cfRule type="expression" dxfId="1282" priority="572">
      <formula>M55&gt;$AG55</formula>
    </cfRule>
  </conditionalFormatting>
  <conditionalFormatting sqref="D88:AF88 X98:AF98 AE102:AF108 AA49:AF49 AA69:AF71 M102:Y108 E74:AF75">
    <cfRule type="expression" dxfId="1281" priority="568">
      <formula>D$9&gt;=20/24</formula>
    </cfRule>
    <cfRule type="expression" dxfId="1280" priority="569">
      <formula>AND(D$9&gt;=14/24,D$9&lt;20/24)</formula>
    </cfRule>
    <cfRule type="expression" dxfId="1279" priority="570">
      <formula>AND(D$9&gt;=8/24,D$9&lt;14/24)</formula>
    </cfRule>
    <cfRule type="expression" dxfId="1278" priority="571">
      <formula>D$9&lt;8/24</formula>
    </cfRule>
  </conditionalFormatting>
  <conditionalFormatting sqref="AA49:AF49 AA69:AF71">
    <cfRule type="expression" dxfId="1277" priority="567">
      <formula>AA49&gt;$AG49</formula>
    </cfRule>
  </conditionalFormatting>
  <conditionalFormatting sqref="T55:AC60">
    <cfRule type="expression" dxfId="1276" priority="563">
      <formula>T$9&gt;=20/24</formula>
    </cfRule>
    <cfRule type="expression" dxfId="1275" priority="564">
      <formula>AND(T$9&gt;=14/24,T$9&lt;20/24)</formula>
    </cfRule>
    <cfRule type="expression" dxfId="1274" priority="565">
      <formula>AND(T$9&gt;=8/24,T$9&lt;14/24)</formula>
    </cfRule>
    <cfRule type="expression" dxfId="1273" priority="566">
      <formula>T$9&lt;8/24</formula>
    </cfRule>
  </conditionalFormatting>
  <conditionalFormatting sqref="T55:AC60">
    <cfRule type="expression" dxfId="1272" priority="562">
      <formula>T55&gt;$AG55</formula>
    </cfRule>
  </conditionalFormatting>
  <conditionalFormatting sqref="C99:AF99 D90:AF90">
    <cfRule type="expression" dxfId="1271" priority="558">
      <formula>C$9&gt;=20/24</formula>
    </cfRule>
    <cfRule type="expression" dxfId="1270" priority="559">
      <formula>AND(C$9&gt;=14/24,C$9&lt;20/24)</formula>
    </cfRule>
    <cfRule type="expression" dxfId="1269" priority="560">
      <formula>AND(C$9&gt;=8/24,C$9&lt;14/24)</formula>
    </cfRule>
    <cfRule type="expression" dxfId="1268" priority="561">
      <formula>C$9&lt;8/24</formula>
    </cfRule>
  </conditionalFormatting>
  <conditionalFormatting sqref="F56:M57">
    <cfRule type="expression" dxfId="1267" priority="549">
      <formula>F$9&gt;=20/24</formula>
    </cfRule>
    <cfRule type="expression" dxfId="1266" priority="550">
      <formula>AND(F$9&gt;=14/24,F$9&lt;20/24)</formula>
    </cfRule>
    <cfRule type="expression" dxfId="1265" priority="551">
      <formula>AND(F$9&gt;=8/24,F$9&lt;14/24)</formula>
    </cfRule>
    <cfRule type="expression" dxfId="1264" priority="552">
      <formula>F$9&lt;8/24</formula>
    </cfRule>
  </conditionalFormatting>
  <conditionalFormatting sqref="F55:L55">
    <cfRule type="expression" dxfId="1263" priority="545">
      <formula>F$9&gt;=20/24</formula>
    </cfRule>
    <cfRule type="expression" dxfId="1262" priority="546">
      <formula>AND(F$9&gt;=14/24,F$9&lt;20/24)</formula>
    </cfRule>
    <cfRule type="expression" dxfId="1261" priority="547">
      <formula>AND(F$9&gt;=8/24,F$9&lt;14/24)</formula>
    </cfRule>
    <cfRule type="expression" dxfId="1260" priority="548">
      <formula>F$9&lt;8/24</formula>
    </cfRule>
  </conditionalFormatting>
  <conditionalFormatting sqref="F55:L57 M56:M57">
    <cfRule type="expression" dxfId="1259" priority="544">
      <formula>F55&gt;$AG55</formula>
    </cfRule>
  </conditionalFormatting>
  <conditionalFormatting sqref="AG72 AG89 E102:L108">
    <cfRule type="expression" dxfId="1258" priority="540">
      <formula>E$9&gt;=20/24</formula>
    </cfRule>
    <cfRule type="expression" dxfId="1257" priority="541">
      <formula>AND(E$9&gt;=14/24,E$9&lt;20/24)</formula>
    </cfRule>
    <cfRule type="expression" dxfId="1256" priority="542">
      <formula>AND(E$9&gt;=8/24,E$9&lt;14/24)</formula>
    </cfRule>
    <cfRule type="expression" dxfId="1255" priority="543">
      <formula>E$9&lt;8/24</formula>
    </cfRule>
  </conditionalFormatting>
  <conditionalFormatting sqref="AG50 AG68 AG72">
    <cfRule type="expression" dxfId="1254" priority="539">
      <formula>AG50&gt;$AG50</formula>
    </cfRule>
  </conditionalFormatting>
  <conditionalFormatting sqref="A45">
    <cfRule type="expression" dxfId="1253" priority="533">
      <formula>$AH45=0</formula>
    </cfRule>
  </conditionalFormatting>
  <conditionalFormatting sqref="X93:AF97">
    <cfRule type="expression" dxfId="1252" priority="529">
      <formula>X$9&gt;=20/24</formula>
    </cfRule>
    <cfRule type="expression" dxfId="1251" priority="530">
      <formula>AND(X$9&gt;=14/24,X$9&lt;20/24)</formula>
    </cfRule>
    <cfRule type="expression" dxfId="1250" priority="531">
      <formula>AND(X$9&gt;=8/24,X$9&lt;14/24)</formula>
    </cfRule>
    <cfRule type="expression" dxfId="1249" priority="532">
      <formula>X$9&lt;8/24</formula>
    </cfRule>
  </conditionalFormatting>
  <conditionalFormatting sqref="AL47 AL43 AL24:AL34 AL40:AL41 AL19:AL22 AL36:AL38 AL7:AL17">
    <cfRule type="iconSet" priority="630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1248" priority="525">
      <formula>E$9&gt;=20/24</formula>
    </cfRule>
    <cfRule type="expression" dxfId="1247" priority="526">
      <formula>AND(E$9&gt;=14/24,E$9&lt;20/24)</formula>
    </cfRule>
    <cfRule type="expression" dxfId="1246" priority="527">
      <formula>AND(E$9&gt;=8/24,E$9&lt;14/24)</formula>
    </cfRule>
    <cfRule type="expression" dxfId="1245" priority="528">
      <formula>E$9&lt;8/24</formula>
    </cfRule>
  </conditionalFormatting>
  <conditionalFormatting sqref="E51:AF53">
    <cfRule type="expression" dxfId="1244" priority="524">
      <formula>E51&gt;$AG51</formula>
    </cfRule>
  </conditionalFormatting>
  <conditionalFormatting sqref="AG54">
    <cfRule type="expression" dxfId="1243" priority="520">
      <formula>AG$9&gt;=20/24</formula>
    </cfRule>
    <cfRule type="expression" dxfId="1242" priority="521">
      <formula>AND(AG$9&gt;=14/24,AG$9&lt;20/24)</formula>
    </cfRule>
    <cfRule type="expression" dxfId="1241" priority="522">
      <formula>AND(AG$9&gt;=8/24,AG$9&lt;14/24)</formula>
    </cfRule>
    <cfRule type="expression" dxfId="1240" priority="523">
      <formula>AG$9&lt;8/24</formula>
    </cfRule>
  </conditionalFormatting>
  <conditionalFormatting sqref="AG54">
    <cfRule type="expression" dxfId="1239" priority="519">
      <formula>AG54&gt;$AG54</formula>
    </cfRule>
  </conditionalFormatting>
  <conditionalFormatting sqref="C109:AF109">
    <cfRule type="expression" dxfId="1238" priority="515">
      <formula>C$9&gt;=20/24</formula>
    </cfRule>
    <cfRule type="expression" dxfId="1237" priority="516">
      <formula>AND(C$9&gt;=14/24,C$9&lt;20/24)</formula>
    </cfRule>
    <cfRule type="expression" dxfId="1236" priority="517">
      <formula>AND(C$9&gt;=8/24,C$9&lt;14/24)</formula>
    </cfRule>
    <cfRule type="expression" dxfId="1235" priority="518">
      <formula>C$9&lt;8/24</formula>
    </cfRule>
  </conditionalFormatting>
  <conditionalFormatting sqref="AL42">
    <cfRule type="iconSet" priority="514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1234" priority="513">
      <formula>$AH42=0</formula>
    </cfRule>
  </conditionalFormatting>
  <conditionalFormatting sqref="A92">
    <cfRule type="expression" dxfId="1233" priority="511">
      <formula>$AH92=0</formula>
    </cfRule>
  </conditionalFormatting>
  <conditionalFormatting sqref="A89">
    <cfRule type="expression" dxfId="1232" priority="512">
      <formula>$AH89=0</formula>
    </cfRule>
  </conditionalFormatting>
  <conditionalFormatting sqref="D112:AF112">
    <cfRule type="expression" dxfId="1231" priority="507">
      <formula>D$9&gt;=20/24</formula>
    </cfRule>
    <cfRule type="expression" dxfId="1230" priority="508">
      <formula>AND(D$9&gt;=14/24,D$9&lt;20/24)</formula>
    </cfRule>
    <cfRule type="expression" dxfId="1229" priority="509">
      <formula>AND(D$9&gt;=8/24,D$9&lt;14/24)</formula>
    </cfRule>
    <cfRule type="expression" dxfId="1228" priority="510">
      <formula>D$9&lt;8/24</formula>
    </cfRule>
  </conditionalFormatting>
  <conditionalFormatting sqref="A112">
    <cfRule type="expression" dxfId="1227" priority="506">
      <formula>$AH112=0</formula>
    </cfRule>
  </conditionalFormatting>
  <conditionalFormatting sqref="A23">
    <cfRule type="expression" dxfId="1226" priority="504">
      <formula>$AH23=0</formula>
    </cfRule>
  </conditionalFormatting>
  <conditionalFormatting sqref="AL23">
    <cfRule type="iconSet" priority="505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1225" priority="502">
      <formula>$AH39=0</formula>
    </cfRule>
  </conditionalFormatting>
  <conditionalFormatting sqref="AL39">
    <cfRule type="iconSet" priority="503">
      <iconSet iconSet="3TrafficLights2" reverse="1">
        <cfvo type="percent" val="0"/>
        <cfvo type="num" val="1"/>
        <cfvo type="num" val="1"/>
      </iconSet>
    </cfRule>
  </conditionalFormatting>
  <conditionalFormatting sqref="Z101:AD101">
    <cfRule type="expression" dxfId="1224" priority="498">
      <formula>Z$9&gt;=20/24</formula>
    </cfRule>
    <cfRule type="expression" dxfId="1223" priority="499">
      <formula>AND(Z$9&gt;=14/24,Z$9&lt;20/24)</formula>
    </cfRule>
    <cfRule type="expression" dxfId="1222" priority="500">
      <formula>AND(Z$9&gt;=8/24,Z$9&lt;14/24)</formula>
    </cfRule>
    <cfRule type="expression" dxfId="1221" priority="501">
      <formula>Z$9&lt;8/24</formula>
    </cfRule>
  </conditionalFormatting>
  <conditionalFormatting sqref="Z102:AD108">
    <cfRule type="expression" dxfId="1220" priority="494">
      <formula>Z$9&gt;=20/24</formula>
    </cfRule>
    <cfRule type="expression" dxfId="1219" priority="495">
      <formula>AND(Z$9&gt;=14/24,Z$9&lt;20/24)</formula>
    </cfRule>
    <cfRule type="expression" dxfId="1218" priority="496">
      <formula>AND(Z$9&gt;=8/24,Z$9&lt;14/24)</formula>
    </cfRule>
    <cfRule type="expression" dxfId="1217" priority="497">
      <formula>Z$9&lt;8/24</formula>
    </cfRule>
  </conditionalFormatting>
  <conditionalFormatting sqref="C111 C113:C119 AA20:AC25 AB19:AC19 AA27:AC28 AB26:AC26 AB29:AC30 AA36:AF45 AA32:AF34 AD19:AF30">
    <cfRule type="expression" dxfId="1216" priority="490">
      <formula>C$9&gt;=20/24</formula>
    </cfRule>
    <cfRule type="expression" dxfId="1215" priority="491">
      <formula>AND(C$9&gt;=14/24,C$9&lt;20/24)</formula>
    </cfRule>
    <cfRule type="expression" dxfId="1214" priority="492">
      <formula>AND(C$9&gt;=8/24,C$9&lt;14/24)</formula>
    </cfRule>
    <cfRule type="expression" dxfId="1213" priority="493">
      <formula>C$9&lt;8/24</formula>
    </cfRule>
  </conditionalFormatting>
  <conditionalFormatting sqref="E49:Z49">
    <cfRule type="expression" dxfId="1212" priority="486">
      <formula>E$9&gt;=20/24</formula>
    </cfRule>
    <cfRule type="expression" dxfId="1211" priority="487">
      <formula>AND(E$9&gt;=14/24,E$9&lt;20/24)</formula>
    </cfRule>
    <cfRule type="expression" dxfId="1210" priority="488">
      <formula>AND(E$9&gt;=8/24,E$9&lt;14/24)</formula>
    </cfRule>
    <cfRule type="expression" dxfId="1209" priority="489">
      <formula>E$9&lt;8/24</formula>
    </cfRule>
  </conditionalFormatting>
  <conditionalFormatting sqref="AA20:AC25 E49:Z49 AB19:AC19 AA27:AC28 AB26:AC26 AB29:AC30 AA36:AF45 AA32:AF34 AD19:AF30">
    <cfRule type="expression" dxfId="1208" priority="485">
      <formula>E19&gt;$AG19</formula>
    </cfRule>
  </conditionalFormatting>
  <conditionalFormatting sqref="C101:D101">
    <cfRule type="expression" dxfId="1207" priority="481">
      <formula>C$9&gt;=20/24</formula>
    </cfRule>
    <cfRule type="expression" dxfId="1206" priority="482">
      <formula>AND(C$9&gt;=14/24,C$9&lt;20/24)</formula>
    </cfRule>
    <cfRule type="expression" dxfId="1205" priority="483">
      <formula>AND(C$9&gt;=8/24,C$9&lt;14/24)</formula>
    </cfRule>
    <cfRule type="expression" dxfId="1204" priority="484">
      <formula>C$9&lt;8/24</formula>
    </cfRule>
  </conditionalFormatting>
  <conditionalFormatting sqref="C98:W98 D85:AF87 D102:D108 E76:AE78">
    <cfRule type="expression" dxfId="1203" priority="477">
      <formula>C$9&gt;=20/24</formula>
    </cfRule>
    <cfRule type="expression" dxfId="1202" priority="478">
      <formula>AND(C$9&gt;=14/24,C$9&lt;20/24)</formula>
    </cfRule>
    <cfRule type="expression" dxfId="1201" priority="479">
      <formula>AND(C$9&gt;=8/24,C$9&lt;14/24)</formula>
    </cfRule>
    <cfRule type="expression" dxfId="1200" priority="480">
      <formula>C$9&lt;8/24</formula>
    </cfRule>
  </conditionalFormatting>
  <conditionalFormatting sqref="F58:M59 N59:S59">
    <cfRule type="expression" dxfId="1199" priority="476">
      <formula>F58&gt;$AG58</formula>
    </cfRule>
  </conditionalFormatting>
  <conditionalFormatting sqref="D89:AF89 C91:AF91 C100:AF100 D72:AF72">
    <cfRule type="expression" dxfId="1198" priority="472">
      <formula>C$9&gt;=20/24</formula>
    </cfRule>
    <cfRule type="expression" dxfId="1197" priority="473">
      <formula>AND(C$9&gt;=14/24,C$9&lt;20/24)</formula>
    </cfRule>
    <cfRule type="expression" dxfId="1196" priority="474">
      <formula>AND(C$9&gt;=8/24,C$9&lt;14/24)</formula>
    </cfRule>
    <cfRule type="expression" dxfId="1195" priority="475">
      <formula>C$9&lt;8/24</formula>
    </cfRule>
  </conditionalFormatting>
  <conditionalFormatting sqref="E67:AF68 D72:AF72">
    <cfRule type="expression" dxfId="1194" priority="471">
      <formula>D67&gt;$AG67</formula>
    </cfRule>
  </conditionalFormatting>
  <conditionalFormatting sqref="D84:AF84">
    <cfRule type="expression" dxfId="1193" priority="467">
      <formula>D$9&gt;=20/24</formula>
    </cfRule>
    <cfRule type="expression" dxfId="1192" priority="468">
      <formula>AND(D$9&gt;=14/24,D$9&lt;20/24)</formula>
    </cfRule>
    <cfRule type="expression" dxfId="1191" priority="469">
      <formula>AND(D$9&gt;=8/24,D$9&lt;14/24)</formula>
    </cfRule>
    <cfRule type="expression" dxfId="1190" priority="470">
      <formula>D$9&lt;8/24</formula>
    </cfRule>
  </conditionalFormatting>
  <conditionalFormatting sqref="C93:W97">
    <cfRule type="expression" dxfId="1189" priority="463">
      <formula>C$9&gt;=20/24</formula>
    </cfRule>
    <cfRule type="expression" dxfId="1188" priority="464">
      <formula>AND(C$9&gt;=14/24,C$9&lt;20/24)</formula>
    </cfRule>
    <cfRule type="expression" dxfId="1187" priority="465">
      <formula>AND(C$9&gt;=8/24,C$9&lt;14/24)</formula>
    </cfRule>
    <cfRule type="expression" dxfId="1186" priority="466">
      <formula>C$9&lt;8/24</formula>
    </cfRule>
  </conditionalFormatting>
  <conditionalFormatting sqref="E54:AF54">
    <cfRule type="expression" dxfId="1185" priority="459">
      <formula>E$9&gt;=20/24</formula>
    </cfRule>
    <cfRule type="expression" dxfId="1184" priority="460">
      <formula>AND(E$9&gt;=14/24,E$9&lt;20/24)</formula>
    </cfRule>
    <cfRule type="expression" dxfId="1183" priority="461">
      <formula>AND(E$9&gt;=8/24,E$9&lt;14/24)</formula>
    </cfRule>
    <cfRule type="expression" dxfId="1182" priority="462">
      <formula>E$9&lt;8/24</formula>
    </cfRule>
  </conditionalFormatting>
  <conditionalFormatting sqref="E54:AF54">
    <cfRule type="expression" dxfId="1181" priority="458">
      <formula>E54&gt;$AG54</formula>
    </cfRule>
  </conditionalFormatting>
  <conditionalFormatting sqref="C112">
    <cfRule type="expression" dxfId="1180" priority="450">
      <formula>C$9&gt;=20/24</formula>
    </cfRule>
    <cfRule type="expression" dxfId="1179" priority="451">
      <formula>AND(C$9&gt;=14/24,C$9&lt;20/24)</formula>
    </cfRule>
    <cfRule type="expression" dxfId="1178" priority="452">
      <formula>AND(C$9&gt;=8/24,C$9&lt;14/24)</formula>
    </cfRule>
    <cfRule type="expression" dxfId="1177" priority="453">
      <formula>C$9&lt;8/24</formula>
    </cfRule>
  </conditionalFormatting>
  <conditionalFormatting sqref="AA61:AE66">
    <cfRule type="expression" dxfId="1176" priority="446">
      <formula>AA$9&gt;=20/24</formula>
    </cfRule>
    <cfRule type="expression" dxfId="1175" priority="447">
      <formula>AND(AA$9&gt;=14/24,AA$9&lt;20/24)</formula>
    </cfRule>
    <cfRule type="expression" dxfId="1174" priority="448">
      <formula>AND(AA$9&gt;=8/24,AA$9&lt;14/24)</formula>
    </cfRule>
    <cfRule type="expression" dxfId="1173" priority="449">
      <formula>AA$9&lt;8/24</formula>
    </cfRule>
  </conditionalFormatting>
  <conditionalFormatting sqref="AA61:AE66">
    <cfRule type="expression" dxfId="1172" priority="445">
      <formula>AA61&gt;$AG61</formula>
    </cfRule>
  </conditionalFormatting>
  <conditionalFormatting sqref="AA47:AF47">
    <cfRule type="expression" dxfId="1171" priority="444">
      <formula>AA47&gt;$AG47</formula>
    </cfRule>
  </conditionalFormatting>
  <conditionalFormatting sqref="V13:AF13">
    <cfRule type="expression" dxfId="1170" priority="440">
      <formula>V$9&gt;=20/24</formula>
    </cfRule>
    <cfRule type="expression" dxfId="1169" priority="441">
      <formula>AND(V$9&gt;=14/24,V$9&lt;20/24)</formula>
    </cfRule>
    <cfRule type="expression" dxfId="1168" priority="442">
      <formula>AND(V$9&gt;=8/24,V$9&lt;14/24)</formula>
    </cfRule>
    <cfRule type="expression" dxfId="1167" priority="443">
      <formula>V$9&lt;8/24</formula>
    </cfRule>
  </conditionalFormatting>
  <conditionalFormatting sqref="V13:AF13">
    <cfRule type="expression" dxfId="1166" priority="439">
      <formula>V13&gt;$AG13</formula>
    </cfRule>
  </conditionalFormatting>
  <conditionalFormatting sqref="AA47:AF47">
    <cfRule type="expression" dxfId="1165" priority="435">
      <formula>AA$9&gt;=20/24</formula>
    </cfRule>
    <cfRule type="expression" dxfId="1164" priority="436">
      <formula>AND(AA$9&gt;=14/24,AA$9&lt;20/24)</formula>
    </cfRule>
    <cfRule type="expression" dxfId="1163" priority="437">
      <formula>AND(AA$9&gt;=8/24,AA$9&lt;14/24)</formula>
    </cfRule>
    <cfRule type="expression" dxfId="1162" priority="438">
      <formula>AA$9&lt;8/24</formula>
    </cfRule>
  </conditionalFormatting>
  <conditionalFormatting sqref="E79:AE83">
    <cfRule type="expression" dxfId="1161" priority="431">
      <formula>E$9&gt;=20/24</formula>
    </cfRule>
    <cfRule type="expression" dxfId="1160" priority="432">
      <formula>AND(E$9&gt;=14/24,E$9&lt;20/24)</formula>
    </cfRule>
    <cfRule type="expression" dxfId="1159" priority="433">
      <formula>AND(E$9&gt;=8/24,E$9&lt;14/24)</formula>
    </cfRule>
    <cfRule type="expression" dxfId="1158" priority="434">
      <formula>E$9&lt;8/24</formula>
    </cfRule>
  </conditionalFormatting>
  <conditionalFormatting sqref="AL80:AN80 AL86:AN86 AN81:AN82">
    <cfRule type="expression" dxfId="1157" priority="427">
      <formula>AL$9&gt;=20/24</formula>
    </cfRule>
    <cfRule type="expression" dxfId="1156" priority="428">
      <formula>AND(AL$9&gt;=14/24,AL$9&lt;20/24)</formula>
    </cfRule>
    <cfRule type="expression" dxfId="1155" priority="429">
      <formula>AND(AL$9&gt;=8/24,AL$9&lt;14/24)</formula>
    </cfRule>
    <cfRule type="expression" dxfId="1154" priority="430">
      <formula>AL$9&lt;8/24</formula>
    </cfRule>
  </conditionalFormatting>
  <conditionalFormatting sqref="AN83:AN84">
    <cfRule type="expression" dxfId="1153" priority="423">
      <formula>AN$9&gt;=20/24</formula>
    </cfRule>
    <cfRule type="expression" dxfId="1152" priority="424">
      <formula>AND(AN$9&gt;=14/24,AN$9&lt;20/24)</formula>
    </cfRule>
    <cfRule type="expression" dxfId="1151" priority="425">
      <formula>AND(AN$9&gt;=8/24,AN$9&lt;14/24)</formula>
    </cfRule>
    <cfRule type="expression" dxfId="1150" priority="426">
      <formula>AN$9&lt;8/24</formula>
    </cfRule>
  </conditionalFormatting>
  <conditionalFormatting sqref="AL81:AM85">
    <cfRule type="expression" dxfId="1149" priority="631">
      <formula>AJ$9&gt;=20/24</formula>
    </cfRule>
    <cfRule type="expression" dxfId="1148" priority="632">
      <formula>AND(AJ$9&gt;=14/24,AJ$9&lt;20/24)</formula>
    </cfRule>
    <cfRule type="expression" dxfId="1147" priority="633">
      <formula>AND(AJ$9&gt;=8/24,AJ$9&lt;14/24)</formula>
    </cfRule>
    <cfRule type="expression" dxfId="1146" priority="634">
      <formula>AJ$9&lt;8/24</formula>
    </cfRule>
  </conditionalFormatting>
  <conditionalFormatting sqref="A120">
    <cfRule type="expression" dxfId="1145" priority="422">
      <formula>$AH120=0</formula>
    </cfRule>
  </conditionalFormatting>
  <conditionalFormatting sqref="C102:C108">
    <cfRule type="expression" dxfId="1144" priority="409">
      <formula>C$9&gt;=20/24</formula>
    </cfRule>
    <cfRule type="expression" dxfId="1143" priority="410">
      <formula>AND(C$9&gt;=14/24,C$9&lt;20/24)</formula>
    </cfRule>
    <cfRule type="expression" dxfId="1142" priority="411">
      <formula>AND(C$9&gt;=8/24,C$9&lt;14/24)</formula>
    </cfRule>
    <cfRule type="expression" dxfId="1141" priority="412">
      <formula>C$9&lt;8/24</formula>
    </cfRule>
  </conditionalFormatting>
  <conditionalFormatting sqref="AA48:AF48">
    <cfRule type="expression" dxfId="1140" priority="400">
      <formula>AA$9&gt;=20/24</formula>
    </cfRule>
    <cfRule type="expression" dxfId="1139" priority="401">
      <formula>AND(AA$9&gt;=14/24,AA$9&lt;20/24)</formula>
    </cfRule>
    <cfRule type="expression" dxfId="1138" priority="402">
      <formula>AND(AA$9&gt;=8/24,AA$9&lt;14/24)</formula>
    </cfRule>
    <cfRule type="expression" dxfId="1137" priority="403">
      <formula>AA$9&lt;8/24</formula>
    </cfRule>
  </conditionalFormatting>
  <conditionalFormatting sqref="AA48:AF48">
    <cfRule type="expression" dxfId="1136" priority="399">
      <formula>AA48&gt;$AG48</formula>
    </cfRule>
  </conditionalFormatting>
  <conditionalFormatting sqref="F60:S60">
    <cfRule type="expression" dxfId="1135" priority="395">
      <formula>F$9&gt;=20/24</formula>
    </cfRule>
    <cfRule type="expression" dxfId="1134" priority="396">
      <formula>AND(F$9&gt;=14/24,F$9&lt;20/24)</formula>
    </cfRule>
    <cfRule type="expression" dxfId="1133" priority="397">
      <formula>AND(F$9&gt;=8/24,F$9&lt;14/24)</formula>
    </cfRule>
    <cfRule type="expression" dxfId="1132" priority="398">
      <formula>F$9&lt;8/24</formula>
    </cfRule>
  </conditionalFormatting>
  <conditionalFormatting sqref="F60:S60">
    <cfRule type="expression" dxfId="1131" priority="394">
      <formula>F60&gt;$AG60</formula>
    </cfRule>
  </conditionalFormatting>
  <conditionalFormatting sqref="E50:AF50">
    <cfRule type="expression" dxfId="1130" priority="389">
      <formula>E50&gt;$AG50</formula>
    </cfRule>
  </conditionalFormatting>
  <conditionalFormatting sqref="F61:Z66">
    <cfRule type="expression" dxfId="1129" priority="385">
      <formula>F$9&gt;=20/24</formula>
    </cfRule>
    <cfRule type="expression" dxfId="1128" priority="386">
      <formula>AND(F$9&gt;=14/24,F$9&lt;20/24)</formula>
    </cfRule>
    <cfRule type="expression" dxfId="1127" priority="387">
      <formula>AND(F$9&gt;=8/24,F$9&lt;14/24)</formula>
    </cfRule>
    <cfRule type="expression" dxfId="1126" priority="388">
      <formula>F$9&lt;8/24</formula>
    </cfRule>
  </conditionalFormatting>
  <conditionalFormatting sqref="F61:Z66">
    <cfRule type="expression" dxfId="1125" priority="384">
      <formula>F61&gt;$AG61</formula>
    </cfRule>
  </conditionalFormatting>
  <conditionalFormatting sqref="A11">
    <cfRule type="expression" dxfId="1124" priority="379">
      <formula>$AH11=0</formula>
    </cfRule>
  </conditionalFormatting>
  <conditionalFormatting sqref="V11:AF11">
    <cfRule type="expression" dxfId="1123" priority="375">
      <formula>V$9&gt;=20/24</formula>
    </cfRule>
    <cfRule type="expression" dxfId="1122" priority="376">
      <formula>AND(V$9&gt;=14/24,V$9&lt;20/24)</formula>
    </cfRule>
    <cfRule type="expression" dxfId="1121" priority="377">
      <formula>AND(V$9&gt;=8/24,V$9&lt;14/24)</formula>
    </cfRule>
    <cfRule type="expression" dxfId="1120" priority="378">
      <formula>V$9&lt;8/24</formula>
    </cfRule>
  </conditionalFormatting>
  <conditionalFormatting sqref="V11:AF11">
    <cfRule type="expression" dxfId="1119" priority="374">
      <formula>V11&gt;$AG11</formula>
    </cfRule>
  </conditionalFormatting>
  <conditionalFormatting sqref="A18">
    <cfRule type="expression" dxfId="1118" priority="372">
      <formula>$AH18=0</formula>
    </cfRule>
  </conditionalFormatting>
  <conditionalFormatting sqref="AL18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AB18:AF18">
    <cfRule type="expression" dxfId="1117" priority="368">
      <formula>AB$9&gt;=20/24</formula>
    </cfRule>
    <cfRule type="expression" dxfId="1116" priority="369">
      <formula>AND(AB$9&gt;=14/24,AB$9&lt;20/24)</formula>
    </cfRule>
    <cfRule type="expression" dxfId="1115" priority="370">
      <formula>AND(AB$9&gt;=8/24,AB$9&lt;14/24)</formula>
    </cfRule>
    <cfRule type="expression" dxfId="1114" priority="371">
      <formula>AB$9&lt;8/24</formula>
    </cfRule>
  </conditionalFormatting>
  <conditionalFormatting sqref="AB18:AF18">
    <cfRule type="expression" dxfId="1113" priority="367">
      <formula>AB18&gt;$AG18</formula>
    </cfRule>
  </conditionalFormatting>
  <conditionalFormatting sqref="A35">
    <cfRule type="expression" dxfId="1112" priority="365">
      <formula>$AH35=0</formula>
    </cfRule>
  </conditionalFormatting>
  <conditionalFormatting sqref="AL35">
    <cfRule type="iconSet" priority="366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1111" priority="361">
      <formula>AA$9&gt;=20/24</formula>
    </cfRule>
    <cfRule type="expression" dxfId="1110" priority="362">
      <formula>AND(AA$9&gt;=14/24,AA$9&lt;20/24)</formula>
    </cfRule>
    <cfRule type="expression" dxfId="1109" priority="363">
      <formula>AND(AA$9&gt;=8/24,AA$9&lt;14/24)</formula>
    </cfRule>
    <cfRule type="expression" dxfId="1108" priority="364">
      <formula>AA$9&lt;8/24</formula>
    </cfRule>
  </conditionalFormatting>
  <conditionalFormatting sqref="AA35:AF35">
    <cfRule type="expression" dxfId="1107" priority="360">
      <formula>AA35&gt;$AG35</formula>
    </cfRule>
  </conditionalFormatting>
  <conditionalFormatting sqref="A46">
    <cfRule type="expression" dxfId="1106" priority="358">
      <formula>$AH46=0</formula>
    </cfRule>
  </conditionalFormatting>
  <conditionalFormatting sqref="AL46">
    <cfRule type="iconSet" priority="359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1105" priority="357">
      <formula>AA46&gt;$AG46</formula>
    </cfRule>
  </conditionalFormatting>
  <conditionalFormatting sqref="AA46:AF46">
    <cfRule type="expression" dxfId="1104" priority="353">
      <formula>AA$9&gt;=20/24</formula>
    </cfRule>
    <cfRule type="expression" dxfId="1103" priority="354">
      <formula>AND(AA$9&gt;=14/24,AA$9&lt;20/24)</formula>
    </cfRule>
    <cfRule type="expression" dxfId="1102" priority="355">
      <formula>AND(AA$9&gt;=8/24,AA$9&lt;14/24)</formula>
    </cfRule>
    <cfRule type="expression" dxfId="1101" priority="356">
      <formula>AA$9&lt;8/24</formula>
    </cfRule>
  </conditionalFormatting>
  <conditionalFormatting sqref="D120:AF120">
    <cfRule type="expression" dxfId="1100" priority="349">
      <formula>D$9&gt;=20/24</formula>
    </cfRule>
    <cfRule type="expression" dxfId="1099" priority="350">
      <formula>AND(D$9&gt;=14/24,D$9&lt;20/24)</formula>
    </cfRule>
    <cfRule type="expression" dxfId="1098" priority="351">
      <formula>AND(D$9&gt;=8/24,D$9&lt;14/24)</formula>
    </cfRule>
    <cfRule type="expression" dxfId="1097" priority="352">
      <formula>D$9&lt;8/24</formula>
    </cfRule>
  </conditionalFormatting>
  <conditionalFormatting sqref="C120">
    <cfRule type="expression" dxfId="1096" priority="345">
      <formula>C$9&gt;=20/24</formula>
    </cfRule>
    <cfRule type="expression" dxfId="1095" priority="346">
      <formula>AND(C$9&gt;=14/24,C$9&lt;20/24)</formula>
    </cfRule>
    <cfRule type="expression" dxfId="1094" priority="347">
      <formula>AND(C$9&gt;=8/24,C$9&lt;14/24)</formula>
    </cfRule>
    <cfRule type="expression" dxfId="1093" priority="348">
      <formula>C$9&lt;8/24</formula>
    </cfRule>
  </conditionalFormatting>
  <conditionalFormatting sqref="F36:F45 F20:F34 N25:Z25 AA31:AF31">
    <cfRule type="expression" dxfId="1092" priority="293">
      <formula>F$9&gt;=20/24</formula>
    </cfRule>
    <cfRule type="expression" dxfId="1091" priority="294">
      <formula>AND(F$9&gt;=14/24,F$9&lt;20/24)</formula>
    </cfRule>
    <cfRule type="expression" dxfId="1090" priority="295">
      <formula>AND(F$9&gt;=8/24,F$9&lt;14/24)</formula>
    </cfRule>
    <cfRule type="expression" dxfId="1089" priority="296">
      <formula>F$9&lt;8/24</formula>
    </cfRule>
  </conditionalFormatting>
  <conditionalFormatting sqref="F36:F45 F20:F34 N25:Z25 AA31:AF31">
    <cfRule type="expression" dxfId="1088" priority="292">
      <formula>F20&gt;$AG20</formula>
    </cfRule>
  </conditionalFormatting>
  <conditionalFormatting sqref="F47">
    <cfRule type="expression" dxfId="1087" priority="264">
      <formula>F47&gt;$AG47</formula>
    </cfRule>
  </conditionalFormatting>
  <conditionalFormatting sqref="F13 T13:U13">
    <cfRule type="expression" dxfId="1086" priority="260">
      <formula>F$9&gt;=20/24</formula>
    </cfRule>
    <cfRule type="expression" dxfId="1085" priority="261">
      <formula>AND(F$9&gt;=14/24,F$9&lt;20/24)</formula>
    </cfRule>
    <cfRule type="expression" dxfId="1084" priority="262">
      <formula>AND(F$9&gt;=8/24,F$9&lt;14/24)</formula>
    </cfRule>
    <cfRule type="expression" dxfId="1083" priority="263">
      <formula>F$9&lt;8/24</formula>
    </cfRule>
  </conditionalFormatting>
  <conditionalFormatting sqref="F13 T13:U13">
    <cfRule type="expression" dxfId="1082" priority="259">
      <formula>F13&gt;$AG13</formula>
    </cfRule>
  </conditionalFormatting>
  <conditionalFormatting sqref="F47">
    <cfRule type="expression" dxfId="1081" priority="255">
      <formula>F$9&gt;=20/24</formula>
    </cfRule>
    <cfRule type="expression" dxfId="1080" priority="256">
      <formula>AND(F$9&gt;=14/24,F$9&lt;20/24)</formula>
    </cfRule>
    <cfRule type="expression" dxfId="1079" priority="257">
      <formula>AND(F$9&gt;=8/24,F$9&lt;14/24)</formula>
    </cfRule>
    <cfRule type="expression" dxfId="1078" priority="258">
      <formula>F$9&lt;8/24</formula>
    </cfRule>
  </conditionalFormatting>
  <conditionalFormatting sqref="F48">
    <cfRule type="expression" dxfId="1077" priority="251">
      <formula>F$9&gt;=20/24</formula>
    </cfRule>
    <cfRule type="expression" dxfId="1076" priority="252">
      <formula>AND(F$9&gt;=14/24,F$9&lt;20/24)</formula>
    </cfRule>
    <cfRule type="expression" dxfId="1075" priority="253">
      <formula>AND(F$9&gt;=8/24,F$9&lt;14/24)</formula>
    </cfRule>
    <cfRule type="expression" dxfId="1074" priority="254">
      <formula>F$9&lt;8/24</formula>
    </cfRule>
  </conditionalFormatting>
  <conditionalFormatting sqref="F48">
    <cfRule type="expression" dxfId="1073" priority="250">
      <formula>F48&gt;$AG48</formula>
    </cfRule>
  </conditionalFormatting>
  <conditionalFormatting sqref="F11 T11:U11">
    <cfRule type="expression" dxfId="1072" priority="245">
      <formula>F$9&gt;=20/24</formula>
    </cfRule>
    <cfRule type="expression" dxfId="1071" priority="246">
      <formula>AND(F$9&gt;=14/24,F$9&lt;20/24)</formula>
    </cfRule>
    <cfRule type="expression" dxfId="1070" priority="247">
      <formula>AND(F$9&gt;=8/24,F$9&lt;14/24)</formula>
    </cfRule>
    <cfRule type="expression" dxfId="1069" priority="248">
      <formula>F$9&lt;8/24</formula>
    </cfRule>
  </conditionalFormatting>
  <conditionalFormatting sqref="F11 T11:U11">
    <cfRule type="expression" dxfId="1068" priority="244">
      <formula>F11&gt;$AG11</formula>
    </cfRule>
  </conditionalFormatting>
  <conditionalFormatting sqref="F35">
    <cfRule type="expression" dxfId="1067" priority="235">
      <formula>F$9&gt;=20/24</formula>
    </cfRule>
    <cfRule type="expression" dxfId="1066" priority="236">
      <formula>AND(F$9&gt;=14/24,F$9&lt;20/24)</formula>
    </cfRule>
    <cfRule type="expression" dxfId="1065" priority="237">
      <formula>AND(F$9&gt;=8/24,F$9&lt;14/24)</formula>
    </cfRule>
    <cfRule type="expression" dxfId="1064" priority="238">
      <formula>F$9&lt;8/24</formula>
    </cfRule>
  </conditionalFormatting>
  <conditionalFormatting sqref="F35">
    <cfRule type="expression" dxfId="1063" priority="234">
      <formula>F35&gt;$AG35</formula>
    </cfRule>
  </conditionalFormatting>
  <conditionalFormatting sqref="F46">
    <cfRule type="expression" dxfId="1062" priority="233">
      <formula>F46&gt;$AG46</formula>
    </cfRule>
  </conditionalFormatting>
  <conditionalFormatting sqref="F46">
    <cfRule type="expression" dxfId="1061" priority="229">
      <formula>F$9&gt;=20/24</formula>
    </cfRule>
    <cfRule type="expression" dxfId="1060" priority="230">
      <formula>AND(F$9&gt;=14/24,F$9&lt;20/24)</formula>
    </cfRule>
    <cfRule type="expression" dxfId="1059" priority="231">
      <formula>AND(F$9&gt;=8/24,F$9&lt;14/24)</formula>
    </cfRule>
    <cfRule type="expression" dxfId="1058" priority="232">
      <formula>F$9&lt;8/24</formula>
    </cfRule>
  </conditionalFormatting>
  <conditionalFormatting sqref="AF55:AF60">
    <cfRule type="expression" dxfId="1057" priority="221">
      <formula>AF$9&gt;=20/24</formula>
    </cfRule>
    <cfRule type="expression" dxfId="1056" priority="222">
      <formula>AND(AF$9&gt;=14/24,AF$9&lt;20/24)</formula>
    </cfRule>
    <cfRule type="expression" dxfId="1055" priority="223">
      <formula>AND(AF$9&gt;=8/24,AF$9&lt;14/24)</formula>
    </cfRule>
    <cfRule type="expression" dxfId="1054" priority="224">
      <formula>AF$9&lt;8/24</formula>
    </cfRule>
  </conditionalFormatting>
  <conditionalFormatting sqref="AF55:AF60">
    <cfRule type="expression" dxfId="1053" priority="220">
      <formula>AF55&gt;$AG55</formula>
    </cfRule>
  </conditionalFormatting>
  <conditionalFormatting sqref="AF61:AF66">
    <cfRule type="expression" dxfId="1052" priority="216">
      <formula>AF$9&gt;=20/24</formula>
    </cfRule>
    <cfRule type="expression" dxfId="1051" priority="217">
      <formula>AND(AF$9&gt;=14/24,AF$9&lt;20/24)</formula>
    </cfRule>
    <cfRule type="expression" dxfId="1050" priority="218">
      <formula>AND(AF$9&gt;=8/24,AF$9&lt;14/24)</formula>
    </cfRule>
    <cfRule type="expression" dxfId="1049" priority="219">
      <formula>AF$9&lt;8/24</formula>
    </cfRule>
  </conditionalFormatting>
  <conditionalFormatting sqref="AF61:AF66">
    <cfRule type="expression" dxfId="1048" priority="215">
      <formula>AF61&gt;$AG61</formula>
    </cfRule>
  </conditionalFormatting>
  <conditionalFormatting sqref="AF76:AF78">
    <cfRule type="expression" dxfId="1047" priority="203">
      <formula>AF$9&gt;=20/24</formula>
    </cfRule>
    <cfRule type="expression" dxfId="1046" priority="204">
      <formula>AND(AF$9&gt;=14/24,AF$9&lt;20/24)</formula>
    </cfRule>
    <cfRule type="expression" dxfId="1045" priority="205">
      <formula>AND(AF$9&gt;=8/24,AF$9&lt;14/24)</formula>
    </cfRule>
    <cfRule type="expression" dxfId="1044" priority="206">
      <formula>AF$9&lt;8/24</formula>
    </cfRule>
  </conditionalFormatting>
  <conditionalFormatting sqref="AF79:AF83">
    <cfRule type="expression" dxfId="1043" priority="199">
      <formula>AF$9&gt;=20/24</formula>
    </cfRule>
    <cfRule type="expression" dxfId="1042" priority="200">
      <formula>AND(AF$9&gt;=14/24,AF$9&lt;20/24)</formula>
    </cfRule>
    <cfRule type="expression" dxfId="1041" priority="201">
      <formula>AND(AF$9&gt;=8/24,AF$9&lt;14/24)</formula>
    </cfRule>
    <cfRule type="expression" dxfId="1040" priority="202">
      <formula>AF$9&lt;8/24</formula>
    </cfRule>
  </conditionalFormatting>
  <conditionalFormatting sqref="B111 B113:B119 B12:E12 B14:E17">
    <cfRule type="expression" dxfId="1039" priority="195">
      <formula>B$9&gt;=20/24</formula>
    </cfRule>
    <cfRule type="expression" dxfId="1038" priority="196">
      <formula>AND(B$9&gt;=14/24,B$9&lt;20/24)</formula>
    </cfRule>
    <cfRule type="expression" dxfId="1037" priority="197">
      <formula>AND(B$9&gt;=8/24,B$9&lt;14/24)</formula>
    </cfRule>
    <cfRule type="expression" dxfId="1036" priority="198">
      <formula>B$9&lt;8/24</formula>
    </cfRule>
  </conditionalFormatting>
  <conditionalFormatting sqref="B12:E12 B14:E17">
    <cfRule type="expression" dxfId="1035" priority="194">
      <formula>B12&gt;$AG12</formula>
    </cfRule>
  </conditionalFormatting>
  <conditionalFormatting sqref="B101">
    <cfRule type="expression" dxfId="1034" priority="190">
      <formula>B$9&gt;=20/24</formula>
    </cfRule>
    <cfRule type="expression" dxfId="1033" priority="191">
      <formula>AND(B$9&gt;=14/24,B$9&lt;20/24)</formula>
    </cfRule>
    <cfRule type="expression" dxfId="1032" priority="192">
      <formula>AND(B$9&gt;=8/24,B$9&lt;14/24)</formula>
    </cfRule>
    <cfRule type="expression" dxfId="1031" priority="193">
      <formula>B$9&lt;8/24</formula>
    </cfRule>
  </conditionalFormatting>
  <conditionalFormatting sqref="B98 B102:B108 B88:C88 B49:D49 B69:D71">
    <cfRule type="expression" dxfId="1030" priority="186">
      <formula>B$9&gt;=20/24</formula>
    </cfRule>
    <cfRule type="expression" dxfId="1029" priority="187">
      <formula>AND(B$9&gt;=14/24,B$9&lt;20/24)</formula>
    </cfRule>
    <cfRule type="expression" dxfId="1028" priority="188">
      <formula>AND(B$9&gt;=8/24,B$9&lt;14/24)</formula>
    </cfRule>
    <cfRule type="expression" dxfId="1027" priority="189">
      <formula>B$9&lt;8/24</formula>
    </cfRule>
  </conditionalFormatting>
  <conditionalFormatting sqref="B49:D49 B69:D71">
    <cfRule type="expression" dxfId="1026" priority="185">
      <formula>B49&gt;$AG49</formula>
    </cfRule>
  </conditionalFormatting>
  <conditionalFormatting sqref="B99 B90:C90">
    <cfRule type="expression" dxfId="1025" priority="181">
      <formula>B$9&gt;=20/24</formula>
    </cfRule>
    <cfRule type="expression" dxfId="1024" priority="182">
      <formula>AND(B$9&gt;=14/24,B$9&lt;20/24)</formula>
    </cfRule>
    <cfRule type="expression" dxfId="1023" priority="183">
      <formula>AND(B$9&gt;=8/24,B$9&lt;14/24)</formula>
    </cfRule>
    <cfRule type="expression" dxfId="1022" priority="184">
      <formula>B$9&lt;8/24</formula>
    </cfRule>
  </conditionalFormatting>
  <conditionalFormatting sqref="B93:B97">
    <cfRule type="expression" dxfId="1021" priority="177">
      <formula>B$9&gt;=20/24</formula>
    </cfRule>
    <cfRule type="expression" dxfId="1020" priority="178">
      <formula>AND(B$9&gt;=14/24,B$9&lt;20/24)</formula>
    </cfRule>
    <cfRule type="expression" dxfId="1019" priority="179">
      <formula>AND(B$9&gt;=8/24,B$9&lt;14/24)</formula>
    </cfRule>
    <cfRule type="expression" dxfId="1018" priority="180">
      <formula>B$9&lt;8/24</formula>
    </cfRule>
  </conditionalFormatting>
  <conditionalFormatting sqref="B51:D53">
    <cfRule type="expression" dxfId="1017" priority="173">
      <formula>B$9&gt;=20/24</formula>
    </cfRule>
    <cfRule type="expression" dxfId="1016" priority="174">
      <formula>AND(B$9&gt;=14/24,B$9&lt;20/24)</formula>
    </cfRule>
    <cfRule type="expression" dxfId="1015" priority="175">
      <formula>AND(B$9&gt;=8/24,B$9&lt;14/24)</formula>
    </cfRule>
    <cfRule type="expression" dxfId="1014" priority="176">
      <formula>B$9&lt;8/24</formula>
    </cfRule>
  </conditionalFormatting>
  <conditionalFormatting sqref="B51:D53">
    <cfRule type="expression" dxfId="1013" priority="172">
      <formula>B51&gt;$AG51</formula>
    </cfRule>
  </conditionalFormatting>
  <conditionalFormatting sqref="B109">
    <cfRule type="expression" dxfId="1012" priority="168">
      <formula>B$9&gt;=20/24</formula>
    </cfRule>
    <cfRule type="expression" dxfId="1011" priority="169">
      <formula>AND(B$9&gt;=14/24,B$9&lt;20/24)</formula>
    </cfRule>
    <cfRule type="expression" dxfId="1010" priority="170">
      <formula>AND(B$9&gt;=8/24,B$9&lt;14/24)</formula>
    </cfRule>
    <cfRule type="expression" dxfId="1009" priority="171">
      <formula>B$9&lt;8/24</formula>
    </cfRule>
  </conditionalFormatting>
  <conditionalFormatting sqref="B112">
    <cfRule type="expression" dxfId="1008" priority="164">
      <formula>B$9&gt;=20/24</formula>
    </cfRule>
    <cfRule type="expression" dxfId="1007" priority="165">
      <formula>AND(B$9&gt;=14/24,B$9&lt;20/24)</formula>
    </cfRule>
    <cfRule type="expression" dxfId="1006" priority="166">
      <formula>AND(B$9&gt;=8/24,B$9&lt;14/24)</formula>
    </cfRule>
    <cfRule type="expression" dxfId="1005" priority="167">
      <formula>B$9&lt;8/24</formula>
    </cfRule>
  </conditionalFormatting>
  <conditionalFormatting sqref="B36:E45 B32:E34 B19:AA19 B20:E30">
    <cfRule type="expression" dxfId="1004" priority="160">
      <formula>B$9&gt;=20/24</formula>
    </cfRule>
    <cfRule type="expression" dxfId="1003" priority="161">
      <formula>AND(B$9&gt;=14/24,B$9&lt;20/24)</formula>
    </cfRule>
    <cfRule type="expression" dxfId="1002" priority="162">
      <formula>AND(B$9&gt;=8/24,B$9&lt;14/24)</formula>
    </cfRule>
    <cfRule type="expression" dxfId="1001" priority="163">
      <formula>B$9&lt;8/24</formula>
    </cfRule>
  </conditionalFormatting>
  <conditionalFormatting sqref="B36:E45 B32:E34 B19:AA19 B20:E30">
    <cfRule type="expression" dxfId="1000" priority="159">
      <formula>B19&gt;$AG19</formula>
    </cfRule>
  </conditionalFormatting>
  <conditionalFormatting sqref="B85:C87">
    <cfRule type="expression" dxfId="999" priority="155">
      <formula>B$9&gt;=20/24</formula>
    </cfRule>
    <cfRule type="expression" dxfId="998" priority="156">
      <formula>AND(B$9&gt;=14/24,B$9&lt;20/24)</formula>
    </cfRule>
    <cfRule type="expression" dxfId="997" priority="157">
      <formula>AND(B$9&gt;=8/24,B$9&lt;14/24)</formula>
    </cfRule>
    <cfRule type="expression" dxfId="996" priority="158">
      <formula>B$9&lt;8/24</formula>
    </cfRule>
  </conditionalFormatting>
  <conditionalFormatting sqref="B91 B100 B89:C89 B72:C72">
    <cfRule type="expression" dxfId="995" priority="151">
      <formula>B$9&gt;=20/24</formula>
    </cfRule>
    <cfRule type="expression" dxfId="994" priority="152">
      <formula>AND(B$9&gt;=14/24,B$9&lt;20/24)</formula>
    </cfRule>
    <cfRule type="expression" dxfId="993" priority="153">
      <formula>AND(B$9&gt;=8/24,B$9&lt;14/24)</formula>
    </cfRule>
    <cfRule type="expression" dxfId="992" priority="154">
      <formula>B$9&lt;8/24</formula>
    </cfRule>
  </conditionalFormatting>
  <conditionalFormatting sqref="B72:C72 B67:D68">
    <cfRule type="expression" dxfId="991" priority="150">
      <formula>B67&gt;$AG67</formula>
    </cfRule>
  </conditionalFormatting>
  <conditionalFormatting sqref="B84:C84">
    <cfRule type="expression" dxfId="990" priority="146">
      <formula>B$9&gt;=20/24</formula>
    </cfRule>
    <cfRule type="expression" dxfId="989" priority="147">
      <formula>AND(B$9&gt;=14/24,B$9&lt;20/24)</formula>
    </cfRule>
    <cfRule type="expression" dxfId="988" priority="148">
      <formula>AND(B$9&gt;=8/24,B$9&lt;14/24)</formula>
    </cfRule>
    <cfRule type="expression" dxfId="987" priority="149">
      <formula>B$9&lt;8/24</formula>
    </cfRule>
  </conditionalFormatting>
  <conditionalFormatting sqref="B54:D54">
    <cfRule type="expression" dxfId="986" priority="142">
      <formula>B$9&gt;=20/24</formula>
    </cfRule>
    <cfRule type="expression" dxfId="985" priority="143">
      <formula>AND(B$9&gt;=14/24,B$9&lt;20/24)</formula>
    </cfRule>
    <cfRule type="expression" dxfId="984" priority="144">
      <formula>AND(B$9&gt;=8/24,B$9&lt;14/24)</formula>
    </cfRule>
    <cfRule type="expression" dxfId="983" priority="145">
      <formula>B$9&lt;8/24</formula>
    </cfRule>
  </conditionalFormatting>
  <conditionalFormatting sqref="B54:D54">
    <cfRule type="expression" dxfId="982" priority="141">
      <formula>B54&gt;$AG54</formula>
    </cfRule>
  </conditionalFormatting>
  <conditionalFormatting sqref="B47:E47">
    <cfRule type="expression" dxfId="981" priority="136">
      <formula>B47&gt;$AG47</formula>
    </cfRule>
  </conditionalFormatting>
  <conditionalFormatting sqref="B13:E13">
    <cfRule type="expression" dxfId="980" priority="132">
      <formula>B$9&gt;=20/24</formula>
    </cfRule>
    <cfRule type="expression" dxfId="979" priority="133">
      <formula>AND(B$9&gt;=14/24,B$9&lt;20/24)</formula>
    </cfRule>
    <cfRule type="expression" dxfId="978" priority="134">
      <formula>AND(B$9&gt;=8/24,B$9&lt;14/24)</formula>
    </cfRule>
    <cfRule type="expression" dxfId="977" priority="135">
      <formula>B$9&lt;8/24</formula>
    </cfRule>
  </conditionalFormatting>
  <conditionalFormatting sqref="B13:E13">
    <cfRule type="expression" dxfId="976" priority="131">
      <formula>B13&gt;$AG13</formula>
    </cfRule>
  </conditionalFormatting>
  <conditionalFormatting sqref="B47:E47">
    <cfRule type="expression" dxfId="975" priority="127">
      <formula>B$9&gt;=20/24</formula>
    </cfRule>
    <cfRule type="expression" dxfId="974" priority="128">
      <formula>AND(B$9&gt;=14/24,B$9&lt;20/24)</formula>
    </cfRule>
    <cfRule type="expression" dxfId="973" priority="129">
      <formula>AND(B$9&gt;=8/24,B$9&lt;14/24)</formula>
    </cfRule>
    <cfRule type="expression" dxfId="972" priority="130">
      <formula>B$9&lt;8/24</formula>
    </cfRule>
  </conditionalFormatting>
  <conditionalFormatting sqref="B48:E48">
    <cfRule type="expression" dxfId="971" priority="123">
      <formula>B$9&gt;=20/24</formula>
    </cfRule>
    <cfRule type="expression" dxfId="970" priority="124">
      <formula>AND(B$9&gt;=14/24,B$9&lt;20/24)</formula>
    </cfRule>
    <cfRule type="expression" dxfId="969" priority="125">
      <formula>AND(B$9&gt;=8/24,B$9&lt;14/24)</formula>
    </cfRule>
    <cfRule type="expression" dxfId="968" priority="126">
      <formula>B$9&lt;8/24</formula>
    </cfRule>
  </conditionalFormatting>
  <conditionalFormatting sqref="B48:E48">
    <cfRule type="expression" dxfId="967" priority="122">
      <formula>B48&gt;$AG48</formula>
    </cfRule>
  </conditionalFormatting>
  <conditionalFormatting sqref="B50:D50">
    <cfRule type="expression" dxfId="966" priority="121">
      <formula>B50&gt;$AG50</formula>
    </cfRule>
  </conditionalFormatting>
  <conditionalFormatting sqref="B11:E11">
    <cfRule type="expression" dxfId="965" priority="117">
      <formula>B$9&gt;=20/24</formula>
    </cfRule>
    <cfRule type="expression" dxfId="964" priority="118">
      <formula>AND(B$9&gt;=14/24,B$9&lt;20/24)</formula>
    </cfRule>
    <cfRule type="expression" dxfId="963" priority="119">
      <formula>AND(B$9&gt;=8/24,B$9&lt;14/24)</formula>
    </cfRule>
    <cfRule type="expression" dxfId="962" priority="120">
      <formula>B$9&lt;8/24</formula>
    </cfRule>
  </conditionalFormatting>
  <conditionalFormatting sqref="B11:E11">
    <cfRule type="expression" dxfId="961" priority="116">
      <formula>B11&gt;$AG11</formula>
    </cfRule>
  </conditionalFormatting>
  <conditionalFormatting sqref="B18:AA18">
    <cfRule type="expression" dxfId="960" priority="112">
      <formula>B$9&gt;=20/24</formula>
    </cfRule>
    <cfRule type="expression" dxfId="959" priority="113">
      <formula>AND(B$9&gt;=14/24,B$9&lt;20/24)</formula>
    </cfRule>
    <cfRule type="expression" dxfId="958" priority="114">
      <formula>AND(B$9&gt;=8/24,B$9&lt;14/24)</formula>
    </cfRule>
    <cfRule type="expression" dxfId="957" priority="115">
      <formula>B$9&lt;8/24</formula>
    </cfRule>
  </conditionalFormatting>
  <conditionalFormatting sqref="B18:AA18">
    <cfRule type="expression" dxfId="956" priority="111">
      <formula>B18&gt;$AG18</formula>
    </cfRule>
  </conditionalFormatting>
  <conditionalFormatting sqref="B35:E35">
    <cfRule type="expression" dxfId="955" priority="107">
      <formula>B$9&gt;=20/24</formula>
    </cfRule>
    <cfRule type="expression" dxfId="954" priority="108">
      <formula>AND(B$9&gt;=14/24,B$9&lt;20/24)</formula>
    </cfRule>
    <cfRule type="expression" dxfId="953" priority="109">
      <formula>AND(B$9&gt;=8/24,B$9&lt;14/24)</formula>
    </cfRule>
    <cfRule type="expression" dxfId="952" priority="110">
      <formula>B$9&lt;8/24</formula>
    </cfRule>
  </conditionalFormatting>
  <conditionalFormatting sqref="B35:E35">
    <cfRule type="expression" dxfId="951" priority="106">
      <formula>B35&gt;$AG35</formula>
    </cfRule>
  </conditionalFormatting>
  <conditionalFormatting sqref="B46:E46">
    <cfRule type="expression" dxfId="950" priority="105">
      <formula>B46&gt;$AG46</formula>
    </cfRule>
  </conditionalFormatting>
  <conditionalFormatting sqref="B46:E46">
    <cfRule type="expression" dxfId="949" priority="101">
      <formula>B$9&gt;=20/24</formula>
    </cfRule>
    <cfRule type="expression" dxfId="948" priority="102">
      <formula>AND(B$9&gt;=14/24,B$9&lt;20/24)</formula>
    </cfRule>
    <cfRule type="expression" dxfId="947" priority="103">
      <formula>AND(B$9&gt;=8/24,B$9&lt;14/24)</formula>
    </cfRule>
    <cfRule type="expression" dxfId="946" priority="104">
      <formula>B$9&lt;8/24</formula>
    </cfRule>
  </conditionalFormatting>
  <conditionalFormatting sqref="B120">
    <cfRule type="expression" dxfId="945" priority="97">
      <formula>B$9&gt;=20/24</formula>
    </cfRule>
    <cfRule type="expression" dxfId="944" priority="98">
      <formula>AND(B$9&gt;=14/24,B$9&lt;20/24)</formula>
    </cfRule>
    <cfRule type="expression" dxfId="943" priority="99">
      <formula>AND(B$9&gt;=8/24,B$9&lt;14/24)</formula>
    </cfRule>
    <cfRule type="expression" dxfId="942" priority="100">
      <formula>B$9&lt;8/24</formula>
    </cfRule>
  </conditionalFormatting>
  <conditionalFormatting sqref="B31:E31">
    <cfRule type="expression" dxfId="941" priority="93">
      <formula>B$9&gt;=20/24</formula>
    </cfRule>
    <cfRule type="expression" dxfId="940" priority="94">
      <formula>AND(B$9&gt;=14/24,B$9&lt;20/24)</formula>
    </cfRule>
    <cfRule type="expression" dxfId="939" priority="95">
      <formula>AND(B$9&gt;=8/24,B$9&lt;14/24)</formula>
    </cfRule>
    <cfRule type="expression" dxfId="938" priority="96">
      <formula>B$9&lt;8/24</formula>
    </cfRule>
  </conditionalFormatting>
  <conditionalFormatting sqref="B31:E31">
    <cfRule type="expression" dxfId="937" priority="92">
      <formula>B31&gt;$AG31</formula>
    </cfRule>
  </conditionalFormatting>
  <conditionalFormatting sqref="B55:E60">
    <cfRule type="expression" dxfId="936" priority="88">
      <formula>B$9&gt;=20/24</formula>
    </cfRule>
    <cfRule type="expression" dxfId="935" priority="89">
      <formula>AND(B$9&gt;=14/24,B$9&lt;20/24)</formula>
    </cfRule>
    <cfRule type="expression" dxfId="934" priority="90">
      <formula>AND(B$9&gt;=8/24,B$9&lt;14/24)</formula>
    </cfRule>
    <cfRule type="expression" dxfId="933" priority="91">
      <formula>B$9&lt;8/24</formula>
    </cfRule>
  </conditionalFormatting>
  <conditionalFormatting sqref="B55:E60">
    <cfRule type="expression" dxfId="932" priority="87">
      <formula>B55&gt;$AG55</formula>
    </cfRule>
  </conditionalFormatting>
  <conditionalFormatting sqref="B61:E66">
    <cfRule type="expression" dxfId="931" priority="83">
      <formula>B$9&gt;=20/24</formula>
    </cfRule>
    <cfRule type="expression" dxfId="930" priority="84">
      <formula>AND(B$9&gt;=14/24,B$9&lt;20/24)</formula>
    </cfRule>
    <cfRule type="expression" dxfId="929" priority="85">
      <formula>AND(B$9&gt;=8/24,B$9&lt;14/24)</formula>
    </cfRule>
    <cfRule type="expression" dxfId="928" priority="86">
      <formula>B$9&lt;8/24</formula>
    </cfRule>
  </conditionalFormatting>
  <conditionalFormatting sqref="B61:E66">
    <cfRule type="expression" dxfId="927" priority="82">
      <formula>B61&gt;$AG61</formula>
    </cfRule>
  </conditionalFormatting>
  <conditionalFormatting sqref="B73:D73">
    <cfRule type="expression" dxfId="926" priority="78">
      <formula>B$9&gt;=20/24</formula>
    </cfRule>
    <cfRule type="expression" dxfId="925" priority="79">
      <formula>AND(B$9&gt;=14/24,B$9&lt;20/24)</formula>
    </cfRule>
    <cfRule type="expression" dxfId="924" priority="80">
      <formula>AND(B$9&gt;=8/24,B$9&lt;14/24)</formula>
    </cfRule>
    <cfRule type="expression" dxfId="923" priority="81">
      <formula>B$9&lt;8/24</formula>
    </cfRule>
  </conditionalFormatting>
  <conditionalFormatting sqref="B74:D75">
    <cfRule type="expression" dxfId="922" priority="74">
      <formula>B$9&gt;=20/24</formula>
    </cfRule>
    <cfRule type="expression" dxfId="921" priority="75">
      <formula>AND(B$9&gt;=14/24,B$9&lt;20/24)</formula>
    </cfRule>
    <cfRule type="expression" dxfId="920" priority="76">
      <formula>AND(B$9&gt;=8/24,B$9&lt;14/24)</formula>
    </cfRule>
    <cfRule type="expression" dxfId="919" priority="77">
      <formula>B$9&lt;8/24</formula>
    </cfRule>
  </conditionalFormatting>
  <conditionalFormatting sqref="B76:D78">
    <cfRule type="expression" dxfId="918" priority="70">
      <formula>B$9&gt;=20/24</formula>
    </cfRule>
    <cfRule type="expression" dxfId="917" priority="71">
      <formula>AND(B$9&gt;=14/24,B$9&lt;20/24)</formula>
    </cfRule>
    <cfRule type="expression" dxfId="916" priority="72">
      <formula>AND(B$9&gt;=8/24,B$9&lt;14/24)</formula>
    </cfRule>
    <cfRule type="expression" dxfId="915" priority="73">
      <formula>B$9&lt;8/24</formula>
    </cfRule>
  </conditionalFormatting>
  <conditionalFormatting sqref="B79:D83">
    <cfRule type="expression" dxfId="914" priority="66">
      <formula>B$9&gt;=20/24</formula>
    </cfRule>
    <cfRule type="expression" dxfId="913" priority="67">
      <formula>AND(B$9&gt;=14/24,B$9&lt;20/24)</formula>
    </cfRule>
    <cfRule type="expression" dxfId="912" priority="68">
      <formula>AND(B$9&gt;=8/24,B$9&lt;14/24)</formula>
    </cfRule>
    <cfRule type="expression" dxfId="911" priority="69">
      <formula>B$9&lt;8/24</formula>
    </cfRule>
  </conditionalFormatting>
  <conditionalFormatting sqref="G12:S12 G14:S17">
    <cfRule type="expression" dxfId="910" priority="62">
      <formula>G$9&gt;=20/24</formula>
    </cfRule>
    <cfRule type="expression" dxfId="909" priority="63">
      <formula>AND(G$9&gt;=14/24,G$9&lt;20/24)</formula>
    </cfRule>
    <cfRule type="expression" dxfId="908" priority="64">
      <formula>AND(G$9&gt;=8/24,G$9&lt;14/24)</formula>
    </cfRule>
    <cfRule type="expression" dxfId="907" priority="65">
      <formula>G$9&lt;8/24</formula>
    </cfRule>
  </conditionalFormatting>
  <conditionalFormatting sqref="G12:S12 G14:S17">
    <cfRule type="expression" dxfId="906" priority="61">
      <formula>G12&gt;$AG12</formula>
    </cfRule>
  </conditionalFormatting>
  <conditionalFormatting sqref="G20:M25 N20:Z24 G36:Z45 G32:Z34 G27:Z28 G26:AA26 G29:AA30">
    <cfRule type="expression" dxfId="905" priority="57">
      <formula>G$9&gt;=20/24</formula>
    </cfRule>
    <cfRule type="expression" dxfId="904" priority="58">
      <formula>AND(G$9&gt;=14/24,G$9&lt;20/24)</formula>
    </cfRule>
    <cfRule type="expression" dxfId="903" priority="59">
      <formula>AND(G$9&gt;=8/24,G$9&lt;14/24)</formula>
    </cfRule>
    <cfRule type="expression" dxfId="902" priority="60">
      <formula>G$9&lt;8/24</formula>
    </cfRule>
  </conditionalFormatting>
  <conditionalFormatting sqref="G20:M25 N20:Z24 G36:Z45 G32:Z34 G27:Z28 G26:AA26 G29:AA30">
    <cfRule type="expression" dxfId="901" priority="56">
      <formula>G20&gt;$AG20</formula>
    </cfRule>
  </conditionalFormatting>
  <conditionalFormatting sqref="G47:Z47">
    <cfRule type="expression" dxfId="900" priority="55">
      <formula>G47&gt;$AG47</formula>
    </cfRule>
  </conditionalFormatting>
  <conditionalFormatting sqref="G13:S13">
    <cfRule type="expression" dxfId="899" priority="51">
      <formula>G$9&gt;=20/24</formula>
    </cfRule>
    <cfRule type="expression" dxfId="898" priority="52">
      <formula>AND(G$9&gt;=14/24,G$9&lt;20/24)</formula>
    </cfRule>
    <cfRule type="expression" dxfId="897" priority="53">
      <formula>AND(G$9&gt;=8/24,G$9&lt;14/24)</formula>
    </cfRule>
    <cfRule type="expression" dxfId="896" priority="54">
      <formula>G$9&lt;8/24</formula>
    </cfRule>
  </conditionalFormatting>
  <conditionalFormatting sqref="G13:S13">
    <cfRule type="expression" dxfId="895" priority="50">
      <formula>G13&gt;$AG13</formula>
    </cfRule>
  </conditionalFormatting>
  <conditionalFormatting sqref="G47:Z47">
    <cfRule type="expression" dxfId="894" priority="46">
      <formula>G$9&gt;=20/24</formula>
    </cfRule>
    <cfRule type="expression" dxfId="893" priority="47">
      <formula>AND(G$9&gt;=14/24,G$9&lt;20/24)</formula>
    </cfRule>
    <cfRule type="expression" dxfId="892" priority="48">
      <formula>AND(G$9&gt;=8/24,G$9&lt;14/24)</formula>
    </cfRule>
    <cfRule type="expression" dxfId="891" priority="49">
      <formula>G$9&lt;8/24</formula>
    </cfRule>
  </conditionalFormatting>
  <conditionalFormatting sqref="G48:Z48">
    <cfRule type="expression" dxfId="890" priority="42">
      <formula>G$9&gt;=20/24</formula>
    </cfRule>
    <cfRule type="expression" dxfId="889" priority="43">
      <formula>AND(G$9&gt;=14/24,G$9&lt;20/24)</formula>
    </cfRule>
    <cfRule type="expression" dxfId="888" priority="44">
      <formula>AND(G$9&gt;=8/24,G$9&lt;14/24)</formula>
    </cfRule>
    <cfRule type="expression" dxfId="887" priority="45">
      <formula>G$9&lt;8/24</formula>
    </cfRule>
  </conditionalFormatting>
  <conditionalFormatting sqref="G48:Z48">
    <cfRule type="expression" dxfId="886" priority="41">
      <formula>G48&gt;$AG48</formula>
    </cfRule>
  </conditionalFormatting>
  <conditionalFormatting sqref="G11:S11">
    <cfRule type="expression" dxfId="885" priority="37">
      <formula>G$9&gt;=20/24</formula>
    </cfRule>
    <cfRule type="expression" dxfId="884" priority="38">
      <formula>AND(G$9&gt;=14/24,G$9&lt;20/24)</formula>
    </cfRule>
    <cfRule type="expression" dxfId="883" priority="39">
      <formula>AND(G$9&gt;=8/24,G$9&lt;14/24)</formula>
    </cfRule>
    <cfRule type="expression" dxfId="882" priority="40">
      <formula>G$9&lt;8/24</formula>
    </cfRule>
  </conditionalFormatting>
  <conditionalFormatting sqref="G11:S11">
    <cfRule type="expression" dxfId="881" priority="36">
      <formula>G11&gt;$AG11</formula>
    </cfRule>
  </conditionalFormatting>
  <conditionalFormatting sqref="G35:Z35">
    <cfRule type="expression" dxfId="880" priority="27">
      <formula>G$9&gt;=20/24</formula>
    </cfRule>
    <cfRule type="expression" dxfId="879" priority="28">
      <formula>AND(G$9&gt;=14/24,G$9&lt;20/24)</formula>
    </cfRule>
    <cfRule type="expression" dxfId="878" priority="29">
      <formula>AND(G$9&gt;=8/24,G$9&lt;14/24)</formula>
    </cfRule>
    <cfRule type="expression" dxfId="877" priority="30">
      <formula>G$9&lt;8/24</formula>
    </cfRule>
  </conditionalFormatting>
  <conditionalFormatting sqref="G35:Z35">
    <cfRule type="expression" dxfId="876" priority="26">
      <formula>G35&gt;$AG35</formula>
    </cfRule>
  </conditionalFormatting>
  <conditionalFormatting sqref="G46:Z46">
    <cfRule type="expression" dxfId="875" priority="25">
      <formula>G46&gt;$AG46</formula>
    </cfRule>
  </conditionalFormatting>
  <conditionalFormatting sqref="G46:Z46">
    <cfRule type="expression" dxfId="874" priority="21">
      <formula>G$9&gt;=20/24</formula>
    </cfRule>
    <cfRule type="expression" dxfId="873" priority="22">
      <formula>AND(G$9&gt;=14/24,G$9&lt;20/24)</formula>
    </cfRule>
    <cfRule type="expression" dxfId="872" priority="23">
      <formula>AND(G$9&gt;=8/24,G$9&lt;14/24)</formula>
    </cfRule>
    <cfRule type="expression" dxfId="871" priority="24">
      <formula>G$9&lt;8/24</formula>
    </cfRule>
  </conditionalFormatting>
  <conditionalFormatting sqref="G31:Z31">
    <cfRule type="expression" dxfId="870" priority="17">
      <formula>G$9&gt;=20/24</formula>
    </cfRule>
    <cfRule type="expression" dxfId="869" priority="18">
      <formula>AND(G$9&gt;=14/24,G$9&lt;20/24)</formula>
    </cfRule>
    <cfRule type="expression" dxfId="868" priority="19">
      <formula>AND(G$9&gt;=8/24,G$9&lt;14/24)</formula>
    </cfRule>
    <cfRule type="expression" dxfId="867" priority="20">
      <formula>G$9&lt;8/24</formula>
    </cfRule>
  </conditionalFormatting>
  <conditionalFormatting sqref="G31:Z31">
    <cfRule type="expression" dxfId="866" priority="16">
      <formula>G31&gt;$AG31</formula>
    </cfRule>
  </conditionalFormatting>
  <conditionalFormatting sqref="AK11:AK71">
    <cfRule type="expression" dxfId="865" priority="7">
      <formula>AK$9&gt;=20/24</formula>
    </cfRule>
    <cfRule type="expression" dxfId="864" priority="8">
      <formula>AND(AK$9&gt;=14/24,AK$9&lt;20/24)</formula>
    </cfRule>
    <cfRule type="expression" dxfId="863" priority="9">
      <formula>AND(AK$9&gt;=8/24,AK$9&lt;14/24)</formula>
    </cfRule>
    <cfRule type="expression" dxfId="862" priority="10">
      <formula>AK$9&lt;8/24</formula>
    </cfRule>
  </conditionalFormatting>
  <conditionalFormatting sqref="AK11:AK71">
    <cfRule type="expression" dxfId="861" priority="6">
      <formula>AK11&gt;$AG11</formula>
    </cfRule>
  </conditionalFormatting>
  <conditionalFormatting sqref="AD55:AE60">
    <cfRule type="expression" dxfId="860" priority="2">
      <formula>AD$9&gt;=20/24</formula>
    </cfRule>
    <cfRule type="expression" dxfId="859" priority="3">
      <formula>AND(AD$9&gt;=14/24,AD$9&lt;20/24)</formula>
    </cfRule>
    <cfRule type="expression" dxfId="858" priority="4">
      <formula>AND(AD$9&gt;=8/24,AD$9&lt;14/24)</formula>
    </cfRule>
    <cfRule type="expression" dxfId="857" priority="5">
      <formula>AD$9&lt;8/24</formula>
    </cfRule>
  </conditionalFormatting>
  <conditionalFormatting sqref="AD55:AE60">
    <cfRule type="expression" dxfId="856" priority="1">
      <formula>AD55&gt;$AG55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54" id="{B36545E2-6924-42AC-96C2-C39D8046DCB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5" id="{6459606C-16D6-4747-8C22-31582BB3475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56" id="{02D4744C-E585-47F7-8226-65B8115578B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57" id="{78EE4F59-45F2-484C-902A-CB2ECEB0044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137" id="{E67D4B77-CFE5-4BAF-B005-FA716ED863D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8" id="{09EEE31D-F06B-4B97-8923-418BE4E4085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9" id="{83C6F9D1-8291-4DF7-8834-27DEB5F91F2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0" id="{3F7408AA-65EE-4E63-A83B-C3CCA9D19F2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3"/>
  <dimension ref="A1:CJ281"/>
  <sheetViews>
    <sheetView workbookViewId="0">
      <pane xSplit="1" ySplit="10" topLeftCell="B11" activePane="bottomRight" state="frozen"/>
      <selection activeCell="AH11" sqref="AH11:AI120"/>
      <selection pane="topRight" activeCell="AH11" sqref="AH11:AI120"/>
      <selection pane="bottomLeft" activeCell="AH11" sqref="AH11:AI120"/>
      <selection pane="bottomRigh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e">
        <f ca="1">"2080/"&amp;"02/"&amp;INT(MID(CELL("filename",D6),FIND("]",CELL("filename",D6))+1,200))</f>
        <v>#VALUE!</v>
      </c>
      <c r="C4" s="191"/>
      <c r="D4" s="191"/>
      <c r="E4" s="192" t="e">
        <f ca="1">"2079/"&amp;"12/"&amp;INT(MID(CELL("filename",G6),FIND("]",CELL("filename",G6))+1,200))</f>
        <v>#VALUE!</v>
      </c>
      <c r="F4" s="192"/>
      <c r="G4" s="192"/>
      <c r="H4" s="192" t="e">
        <f ca="1">TEXT(E4,"dddd")</f>
        <v>#VALUE!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303.54000000000002</v>
      </c>
      <c r="C7" s="35">
        <f t="shared" si="1"/>
        <v>3.54</v>
      </c>
      <c r="D7" s="35">
        <f t="shared" si="1"/>
        <v>3.54</v>
      </c>
      <c r="E7" s="35">
        <f t="shared" si="1"/>
        <v>3.54</v>
      </c>
      <c r="F7" s="35">
        <f t="shared" si="1"/>
        <v>3.54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 t="shared" si="1"/>
        <v>3.54</v>
      </c>
      <c r="M7" s="35">
        <f t="shared" si="1"/>
        <v>3.54</v>
      </c>
      <c r="N7" s="35">
        <f>N91</f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76" si="2">MAX(B11:AF11)</f>
        <v>0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50">
        <v>54</v>
      </c>
      <c r="AH12" s="47">
        <f t="shared" si="2"/>
        <v>0</v>
      </c>
      <c r="AI12" s="48">
        <f t="shared" si="3"/>
        <v>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>
        <v>52.4</v>
      </c>
      <c r="AH13" s="47">
        <f t="shared" si="2"/>
        <v>0</v>
      </c>
      <c r="AI13" s="48">
        <f t="shared" si="3"/>
        <v>0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45"/>
      <c r="AA14" s="45"/>
      <c r="AB14" s="45"/>
      <c r="AC14" s="45"/>
      <c r="AD14" s="45"/>
      <c r="AE14" s="45"/>
      <c r="AF14" s="45"/>
      <c r="AG14" s="50">
        <v>50</v>
      </c>
      <c r="AH14" s="47">
        <f t="shared" si="2"/>
        <v>0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50">
        <v>45</v>
      </c>
      <c r="AH15" s="47">
        <f t="shared" si="2"/>
        <v>0</v>
      </c>
      <c r="AI15" s="48">
        <f t="shared" si="3"/>
        <v>0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50">
        <v>44</v>
      </c>
      <c r="AH16" s="47">
        <f>MAX(B16:AG16)</f>
        <v>44</v>
      </c>
      <c r="AI16" s="48">
        <f>MIN(B16:AG16)</f>
        <v>44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50">
        <v>42</v>
      </c>
      <c r="AH17" s="47">
        <f t="shared" si="2"/>
        <v>0</v>
      </c>
      <c r="AI17" s="48">
        <f t="shared" si="3"/>
        <v>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50">
        <v>38.46</v>
      </c>
      <c r="AH18" s="47">
        <f t="shared" si="2"/>
        <v>0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50">
        <v>36</v>
      </c>
      <c r="AH19" s="47">
        <f t="shared" si="2"/>
        <v>0</v>
      </c>
      <c r="AI19" s="48">
        <f t="shared" si="3"/>
        <v>0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1">
        <v>30</v>
      </c>
      <c r="AH20" s="47">
        <f t="shared" si="2"/>
        <v>0</v>
      </c>
      <c r="AI20" s="48">
        <f t="shared" si="3"/>
        <v>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50">
        <v>24.2</v>
      </c>
      <c r="AH21" s="47">
        <f t="shared" si="2"/>
        <v>0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0">
        <v>28</v>
      </c>
      <c r="AH22" s="47">
        <f t="shared" si="2"/>
        <v>0</v>
      </c>
      <c r="AI22" s="48">
        <f t="shared" si="3"/>
        <v>0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1">
        <v>30</v>
      </c>
      <c r="AH23" s="47">
        <f t="shared" si="2"/>
        <v>0</v>
      </c>
      <c r="AI23" s="48">
        <f t="shared" si="3"/>
        <v>0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50">
        <v>25</v>
      </c>
      <c r="AH24" s="47">
        <f t="shared" si="2"/>
        <v>0</v>
      </c>
      <c r="AI24" s="48">
        <f t="shared" si="3"/>
        <v>0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0">
        <v>25</v>
      </c>
      <c r="AH25" s="47">
        <f t="shared" si="2"/>
        <v>0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50">
        <v>25</v>
      </c>
      <c r="AH26" s="47">
        <f t="shared" si="2"/>
        <v>0</v>
      </c>
      <c r="AI26" s="48">
        <f t="shared" si="3"/>
        <v>0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50">
        <v>25</v>
      </c>
      <c r="AH27" s="47">
        <f t="shared" si="2"/>
        <v>0</v>
      </c>
      <c r="AI27" s="48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50">
        <v>23.5</v>
      </c>
      <c r="AH28" s="47">
        <f t="shared" si="2"/>
        <v>0</v>
      </c>
      <c r="AI28" s="48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50">
        <v>22.2</v>
      </c>
      <c r="AH29" s="47">
        <f t="shared" si="2"/>
        <v>0</v>
      </c>
      <c r="AI29" s="48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50">
        <v>22.1</v>
      </c>
      <c r="AH30" s="47">
        <f t="shared" si="2"/>
        <v>0</v>
      </c>
      <c r="AI30" s="48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50">
        <v>22</v>
      </c>
      <c r="AH31" s="47">
        <f t="shared" si="2"/>
        <v>0</v>
      </c>
      <c r="AI31" s="48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50">
        <v>22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50">
        <v>20</v>
      </c>
      <c r="AH33" s="47">
        <f t="shared" si="2"/>
        <v>0</v>
      </c>
      <c r="AI33" s="48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50">
        <v>18</v>
      </c>
      <c r="AH34" s="47">
        <f t="shared" si="2"/>
        <v>0</v>
      </c>
      <c r="AI34" s="48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50">
        <v>14.9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50">
        <v>14.9</v>
      </c>
      <c r="AH36" s="47">
        <f t="shared" si="2"/>
        <v>0</v>
      </c>
      <c r="AI36" s="48">
        <f t="shared" si="3"/>
        <v>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50">
        <v>13.6</v>
      </c>
      <c r="AH37" s="47">
        <f t="shared" si="2"/>
        <v>0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50">
        <v>13</v>
      </c>
      <c r="AH38" s="47">
        <f t="shared" si="2"/>
        <v>0</v>
      </c>
      <c r="AI38" s="48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50">
        <v>12</v>
      </c>
      <c r="AH39" s="47">
        <f t="shared" si="2"/>
        <v>0</v>
      </c>
      <c r="AI39" s="48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50">
        <v>12</v>
      </c>
      <c r="AH40" s="47">
        <f t="shared" si="2"/>
        <v>0</v>
      </c>
      <c r="AI40" s="48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50">
        <v>12</v>
      </c>
      <c r="AH41" s="47">
        <f t="shared" si="2"/>
        <v>0</v>
      </c>
      <c r="AI41" s="48">
        <f t="shared" si="3"/>
        <v>0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52">
        <v>22</v>
      </c>
      <c r="AH42" s="47">
        <f t="shared" si="2"/>
        <v>0</v>
      </c>
      <c r="AI42" s="48">
        <f t="shared" si="3"/>
        <v>0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51">
        <v>11.88</v>
      </c>
      <c r="AH43" s="47">
        <f t="shared" si="2"/>
        <v>0</v>
      </c>
      <c r="AI43" s="48">
        <f t="shared" si="3"/>
        <v>0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54">
        <v>11</v>
      </c>
      <c r="AH44" s="47">
        <f t="shared" si="2"/>
        <v>0</v>
      </c>
      <c r="AI44" s="48">
        <f t="shared" si="3"/>
        <v>0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54">
        <v>10</v>
      </c>
      <c r="AH46" s="47">
        <f t="shared" si="2"/>
        <v>0</v>
      </c>
      <c r="AI46" s="48">
        <f t="shared" si="3"/>
        <v>0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4">
        <v>85</v>
      </c>
      <c r="AH48" s="47">
        <f t="shared" si="2"/>
        <v>0</v>
      </c>
      <c r="AI48" s="48">
        <f t="shared" si="3"/>
        <v>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 t="shared" ref="B50:AF50" si="4">SUM(B11:B48)</f>
        <v>0</v>
      </c>
      <c r="C50" s="60">
        <f t="shared" si="4"/>
        <v>0</v>
      </c>
      <c r="D50" s="60">
        <f t="shared" si="4"/>
        <v>0</v>
      </c>
      <c r="E50" s="60">
        <f t="shared" si="4"/>
        <v>0</v>
      </c>
      <c r="F50" s="60">
        <f t="shared" si="4"/>
        <v>0</v>
      </c>
      <c r="G50" s="60">
        <f t="shared" si="4"/>
        <v>0</v>
      </c>
      <c r="H50" s="60">
        <f t="shared" si="4"/>
        <v>0</v>
      </c>
      <c r="I50" s="60">
        <f t="shared" si="4"/>
        <v>0</v>
      </c>
      <c r="J50" s="60">
        <f t="shared" si="4"/>
        <v>0</v>
      </c>
      <c r="K50" s="60">
        <f t="shared" si="4"/>
        <v>0</v>
      </c>
      <c r="L50" s="60">
        <f t="shared" si="4"/>
        <v>0</v>
      </c>
      <c r="M50" s="60">
        <f t="shared" si="4"/>
        <v>0</v>
      </c>
      <c r="N50" s="60">
        <f t="shared" si="4"/>
        <v>0</v>
      </c>
      <c r="O50" s="60">
        <f t="shared" si="4"/>
        <v>0</v>
      </c>
      <c r="P50" s="60">
        <f t="shared" si="4"/>
        <v>0</v>
      </c>
      <c r="Q50" s="60">
        <f t="shared" si="4"/>
        <v>0</v>
      </c>
      <c r="R50" s="60">
        <f t="shared" si="4"/>
        <v>0</v>
      </c>
      <c r="S50" s="60">
        <f t="shared" si="4"/>
        <v>0</v>
      </c>
      <c r="T50" s="60">
        <f t="shared" si="4"/>
        <v>0</v>
      </c>
      <c r="U50" s="60">
        <f t="shared" si="4"/>
        <v>0</v>
      </c>
      <c r="V50" s="60">
        <f t="shared" si="4"/>
        <v>0</v>
      </c>
      <c r="W50" s="60">
        <f t="shared" si="4"/>
        <v>0</v>
      </c>
      <c r="X50" s="60">
        <f t="shared" si="4"/>
        <v>0</v>
      </c>
      <c r="Y50" s="60">
        <f t="shared" si="4"/>
        <v>0</v>
      </c>
      <c r="Z50" s="60">
        <f t="shared" si="4"/>
        <v>0</v>
      </c>
      <c r="AA50" s="60">
        <f t="shared" si="4"/>
        <v>0</v>
      </c>
      <c r="AB50" s="60">
        <f t="shared" si="4"/>
        <v>0</v>
      </c>
      <c r="AC50" s="60">
        <f t="shared" si="4"/>
        <v>0</v>
      </c>
      <c r="AD50" s="60">
        <f t="shared" si="4"/>
        <v>0</v>
      </c>
      <c r="AE50" s="60">
        <f t="shared" si="4"/>
        <v>0</v>
      </c>
      <c r="AF50" s="60">
        <f t="shared" si="4"/>
        <v>0</v>
      </c>
      <c r="AG50" s="61">
        <f>SUM(AG13:AG48)</f>
        <v>922.14</v>
      </c>
      <c r="AH50" s="47">
        <f t="shared" si="2"/>
        <v>0</v>
      </c>
      <c r="AI50" s="48">
        <f t="shared" si="3"/>
        <v>0</v>
      </c>
      <c r="AK50" s="49"/>
    </row>
    <row r="51" spans="1:41" x14ac:dyDescent="0.25">
      <c r="A51" s="62" t="s">
        <v>57</v>
      </c>
      <c r="B51" s="45">
        <v>300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63"/>
      <c r="O51" s="63"/>
      <c r="P51" s="63"/>
      <c r="Q51" s="63"/>
      <c r="R51" s="63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1">
        <v>456</v>
      </c>
      <c r="AH51" s="47">
        <f t="shared" si="2"/>
        <v>300</v>
      </c>
      <c r="AI51" s="48">
        <f t="shared" si="3"/>
        <v>300</v>
      </c>
      <c r="AK51" s="49"/>
    </row>
    <row r="52" spans="1:41" x14ac:dyDescent="0.25">
      <c r="A52" s="64" t="s">
        <v>58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54">
        <v>60</v>
      </c>
      <c r="AH52" s="47">
        <f t="shared" si="2"/>
        <v>0</v>
      </c>
      <c r="AI52" s="48">
        <f t="shared" si="3"/>
        <v>0</v>
      </c>
      <c r="AK52" s="49"/>
    </row>
    <row r="53" spans="1:41" ht="15.75" thickBot="1" x14ac:dyDescent="0.3">
      <c r="A53" s="66" t="s">
        <v>59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8">
        <v>22.1</v>
      </c>
      <c r="AH53" s="47">
        <f t="shared" si="2"/>
        <v>0</v>
      </c>
      <c r="AI53" s="48">
        <f t="shared" si="3"/>
        <v>0</v>
      </c>
      <c r="AK53" s="49"/>
    </row>
    <row r="54" spans="1:41" ht="15.75" thickBot="1" x14ac:dyDescent="0.3">
      <c r="A54" s="69" t="s">
        <v>60</v>
      </c>
      <c r="B54" s="60">
        <f t="shared" ref="B54:AG54" si="5">SUM(B51:B53)</f>
        <v>300</v>
      </c>
      <c r="C54" s="60">
        <f t="shared" si="5"/>
        <v>0</v>
      </c>
      <c r="D54" s="60">
        <f t="shared" si="5"/>
        <v>0</v>
      </c>
      <c r="E54" s="60">
        <f t="shared" si="5"/>
        <v>0</v>
      </c>
      <c r="F54" s="60">
        <f t="shared" si="5"/>
        <v>0</v>
      </c>
      <c r="G54" s="60">
        <f t="shared" si="5"/>
        <v>0</v>
      </c>
      <c r="H54" s="60">
        <f t="shared" si="5"/>
        <v>0</v>
      </c>
      <c r="I54" s="60">
        <f t="shared" si="5"/>
        <v>0</v>
      </c>
      <c r="J54" s="60">
        <f t="shared" si="5"/>
        <v>0</v>
      </c>
      <c r="K54" s="60">
        <f t="shared" si="5"/>
        <v>0</v>
      </c>
      <c r="L54" s="60">
        <f t="shared" si="5"/>
        <v>0</v>
      </c>
      <c r="M54" s="60">
        <f t="shared" si="5"/>
        <v>0</v>
      </c>
      <c r="N54" s="60">
        <f t="shared" si="5"/>
        <v>0</v>
      </c>
      <c r="O54" s="60">
        <f t="shared" si="5"/>
        <v>0</v>
      </c>
      <c r="P54" s="60">
        <f t="shared" si="5"/>
        <v>0</v>
      </c>
      <c r="Q54" s="60">
        <f t="shared" si="5"/>
        <v>0</v>
      </c>
      <c r="R54" s="60">
        <f t="shared" si="5"/>
        <v>0</v>
      </c>
      <c r="S54" s="60">
        <f t="shared" si="5"/>
        <v>0</v>
      </c>
      <c r="T54" s="60">
        <f t="shared" si="5"/>
        <v>0</v>
      </c>
      <c r="U54" s="60">
        <f t="shared" si="5"/>
        <v>0</v>
      </c>
      <c r="V54" s="60">
        <f t="shared" si="5"/>
        <v>0</v>
      </c>
      <c r="W54" s="60">
        <f t="shared" si="5"/>
        <v>0</v>
      </c>
      <c r="X54" s="60">
        <f t="shared" si="5"/>
        <v>0</v>
      </c>
      <c r="Y54" s="60">
        <f t="shared" si="5"/>
        <v>0</v>
      </c>
      <c r="Z54" s="60">
        <f t="shared" si="5"/>
        <v>0</v>
      </c>
      <c r="AA54" s="60">
        <f t="shared" si="5"/>
        <v>0</v>
      </c>
      <c r="AB54" s="60">
        <f t="shared" si="5"/>
        <v>0</v>
      </c>
      <c r="AC54" s="60">
        <f t="shared" si="5"/>
        <v>0</v>
      </c>
      <c r="AD54" s="60">
        <f t="shared" si="5"/>
        <v>0</v>
      </c>
      <c r="AE54" s="60">
        <f t="shared" si="5"/>
        <v>0</v>
      </c>
      <c r="AF54" s="60">
        <f t="shared" si="5"/>
        <v>0</v>
      </c>
      <c r="AG54" s="61">
        <f t="shared" si="5"/>
        <v>538.1</v>
      </c>
      <c r="AH54" s="47">
        <f t="shared" si="2"/>
        <v>300</v>
      </c>
      <c r="AI54" s="48">
        <f t="shared" si="3"/>
        <v>0</v>
      </c>
      <c r="AK54" s="49"/>
    </row>
    <row r="55" spans="1:41" x14ac:dyDescent="0.25">
      <c r="A55" s="44" t="s">
        <v>61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1">
        <v>144</v>
      </c>
      <c r="AH55" s="47">
        <f t="shared" si="2"/>
        <v>0</v>
      </c>
      <c r="AI55" s="48">
        <f t="shared" si="3"/>
        <v>0</v>
      </c>
      <c r="AK55" s="49"/>
    </row>
    <row r="56" spans="1:41" x14ac:dyDescent="0.25">
      <c r="A56" s="53" t="s">
        <v>62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65"/>
      <c r="AE56" s="45"/>
      <c r="AF56" s="45"/>
      <c r="AG56" s="54">
        <v>70</v>
      </c>
      <c r="AH56" s="47">
        <f t="shared" si="2"/>
        <v>0</v>
      </c>
      <c r="AI56" s="48">
        <f t="shared" si="3"/>
        <v>0</v>
      </c>
      <c r="AK56" s="49"/>
    </row>
    <row r="57" spans="1:41" x14ac:dyDescent="0.25">
      <c r="A57" s="53" t="s">
        <v>63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65"/>
      <c r="AE57" s="45"/>
      <c r="AF57" s="45"/>
      <c r="AG57" s="54">
        <v>69</v>
      </c>
      <c r="AH57" s="47">
        <f t="shared" si="2"/>
        <v>0</v>
      </c>
      <c r="AI57" s="48">
        <f t="shared" si="3"/>
        <v>0</v>
      </c>
      <c r="AK57" s="49"/>
    </row>
    <row r="58" spans="1:41" x14ac:dyDescent="0.25">
      <c r="A58" s="53" t="s">
        <v>64</v>
      </c>
      <c r="B58" s="65"/>
      <c r="C58" s="65"/>
      <c r="D58" s="65"/>
      <c r="E58" s="56"/>
      <c r="F58" s="56"/>
      <c r="G58" s="56"/>
      <c r="H58" s="56"/>
      <c r="I58" s="56"/>
      <c r="J58" s="56"/>
      <c r="K58" s="56"/>
      <c r="L58" s="56"/>
      <c r="M58" s="65"/>
      <c r="N58" s="65"/>
      <c r="O58" s="65"/>
      <c r="P58" s="65"/>
      <c r="Q58" s="65"/>
      <c r="R58" s="6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65"/>
      <c r="AE58" s="45"/>
      <c r="AF58" s="45"/>
      <c r="AG58" s="54">
        <v>60</v>
      </c>
      <c r="AH58" s="47">
        <f t="shared" si="2"/>
        <v>0</v>
      </c>
      <c r="AI58" s="48">
        <f t="shared" si="3"/>
        <v>0</v>
      </c>
      <c r="AK58" s="49"/>
    </row>
    <row r="59" spans="1:41" x14ac:dyDescent="0.25">
      <c r="A59" s="53" t="s">
        <v>65</v>
      </c>
      <c r="B59" s="65"/>
      <c r="C59" s="65"/>
      <c r="D59" s="65"/>
      <c r="E59" s="56"/>
      <c r="F59" s="56"/>
      <c r="G59" s="56"/>
      <c r="H59" s="56"/>
      <c r="I59" s="56"/>
      <c r="J59" s="56"/>
      <c r="K59" s="56"/>
      <c r="L59" s="56"/>
      <c r="M59" s="65"/>
      <c r="N59" s="65"/>
      <c r="O59" s="65"/>
      <c r="P59" s="65"/>
      <c r="Q59" s="65"/>
      <c r="R59" s="6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65"/>
      <c r="AE59" s="45"/>
      <c r="AF59" s="45"/>
      <c r="AG59" s="54">
        <v>30</v>
      </c>
      <c r="AH59" s="47">
        <f t="shared" si="2"/>
        <v>0</v>
      </c>
      <c r="AI59" s="48">
        <f t="shared" si="3"/>
        <v>0</v>
      </c>
      <c r="AK59" s="49"/>
    </row>
    <row r="60" spans="1:41" x14ac:dyDescent="0.25">
      <c r="A60" s="53" t="s">
        <v>66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65"/>
      <c r="AE60" s="45"/>
      <c r="AF60" s="45"/>
      <c r="AG60" s="54">
        <v>25</v>
      </c>
      <c r="AH60" s="47">
        <f t="shared" si="2"/>
        <v>0</v>
      </c>
      <c r="AI60" s="48">
        <f t="shared" si="3"/>
        <v>0</v>
      </c>
      <c r="AK60" s="49"/>
    </row>
    <row r="61" spans="1:41" x14ac:dyDescent="0.25">
      <c r="A61" s="53" t="s">
        <v>67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54">
        <v>24</v>
      </c>
      <c r="AH61" s="47">
        <f t="shared" si="2"/>
        <v>0</v>
      </c>
      <c r="AI61" s="48">
        <f t="shared" si="3"/>
        <v>0</v>
      </c>
      <c r="AK61" s="49"/>
    </row>
    <row r="62" spans="1:41" x14ac:dyDescent="0.25">
      <c r="A62" s="53" t="s">
        <v>68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54">
        <v>15</v>
      </c>
      <c r="AH62" s="47">
        <f t="shared" si="2"/>
        <v>0</v>
      </c>
      <c r="AI62" s="48">
        <f t="shared" si="3"/>
        <v>0</v>
      </c>
      <c r="AK62" s="49"/>
      <c r="AL62" s="70"/>
      <c r="AO62" s="70"/>
    </row>
    <row r="63" spans="1:41" s="70" customFormat="1" x14ac:dyDescent="0.25">
      <c r="A63" s="53" t="s">
        <v>69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54">
        <v>14.1</v>
      </c>
      <c r="AH63" s="47">
        <f t="shared" si="2"/>
        <v>0</v>
      </c>
      <c r="AI63" s="48">
        <f t="shared" si="3"/>
        <v>0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54">
        <v>14</v>
      </c>
      <c r="AH64" s="47">
        <f t="shared" si="2"/>
        <v>0</v>
      </c>
      <c r="AI64" s="48">
        <f t="shared" si="3"/>
        <v>0</v>
      </c>
      <c r="AK64" s="49"/>
    </row>
    <row r="65" spans="1:40" x14ac:dyDescent="0.25">
      <c r="A65" s="53" t="s">
        <v>71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54">
        <v>10.050000000000001</v>
      </c>
      <c r="AH65" s="47">
        <f t="shared" si="2"/>
        <v>0</v>
      </c>
      <c r="AI65" s="48">
        <f t="shared" si="3"/>
        <v>0</v>
      </c>
      <c r="AK65" s="49"/>
    </row>
    <row r="66" spans="1:40" x14ac:dyDescent="0.25">
      <c r="A66" s="53" t="s">
        <v>72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54">
        <v>6.2</v>
      </c>
      <c r="AH66" s="47">
        <f t="shared" si="2"/>
        <v>0</v>
      </c>
      <c r="AI66" s="48">
        <f t="shared" si="3"/>
        <v>0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6">SUM(B55:B67)</f>
        <v>3.54</v>
      </c>
      <c r="C68" s="60">
        <f t="shared" si="6"/>
        <v>3.54</v>
      </c>
      <c r="D68" s="60">
        <f t="shared" si="6"/>
        <v>3.54</v>
      </c>
      <c r="E68" s="60">
        <f t="shared" si="6"/>
        <v>3.54</v>
      </c>
      <c r="F68" s="60">
        <f t="shared" si="6"/>
        <v>3.54</v>
      </c>
      <c r="G68" s="60">
        <f t="shared" si="6"/>
        <v>3.54</v>
      </c>
      <c r="H68" s="60">
        <f t="shared" si="6"/>
        <v>3.54</v>
      </c>
      <c r="I68" s="60">
        <f t="shared" si="6"/>
        <v>3.54</v>
      </c>
      <c r="J68" s="60">
        <f t="shared" si="6"/>
        <v>3.54</v>
      </c>
      <c r="K68" s="60">
        <f t="shared" si="6"/>
        <v>3.54</v>
      </c>
      <c r="L68" s="60">
        <f t="shared" si="6"/>
        <v>3.54</v>
      </c>
      <c r="M68" s="60">
        <f t="shared" si="6"/>
        <v>3.54</v>
      </c>
      <c r="N68" s="60">
        <f t="shared" si="6"/>
        <v>3.54</v>
      </c>
      <c r="O68" s="60">
        <f t="shared" si="6"/>
        <v>3.54</v>
      </c>
      <c r="P68" s="60">
        <f t="shared" si="6"/>
        <v>3.54</v>
      </c>
      <c r="Q68" s="60">
        <f t="shared" si="6"/>
        <v>3.54</v>
      </c>
      <c r="R68" s="60">
        <f t="shared" si="6"/>
        <v>3.54</v>
      </c>
      <c r="S68" s="60">
        <f t="shared" si="6"/>
        <v>3.54</v>
      </c>
      <c r="T68" s="60">
        <f t="shared" si="6"/>
        <v>3.54</v>
      </c>
      <c r="U68" s="60">
        <f t="shared" si="6"/>
        <v>3.54</v>
      </c>
      <c r="V68" s="60">
        <f t="shared" si="6"/>
        <v>3.54</v>
      </c>
      <c r="W68" s="60">
        <f t="shared" si="6"/>
        <v>3.54</v>
      </c>
      <c r="X68" s="60">
        <f t="shared" si="6"/>
        <v>3.54</v>
      </c>
      <c r="Y68" s="60">
        <f t="shared" si="6"/>
        <v>3.54</v>
      </c>
      <c r="Z68" s="60">
        <f t="shared" si="6"/>
        <v>3.54</v>
      </c>
      <c r="AA68" s="60">
        <f t="shared" si="6"/>
        <v>3.54</v>
      </c>
      <c r="AB68" s="60">
        <f t="shared" si="6"/>
        <v>3.54</v>
      </c>
      <c r="AC68" s="60">
        <f t="shared" si="6"/>
        <v>3.54</v>
      </c>
      <c r="AD68" s="60">
        <f t="shared" si="6"/>
        <v>3.54</v>
      </c>
      <c r="AE68" s="60">
        <f t="shared" si="6"/>
        <v>3.54</v>
      </c>
      <c r="AF68" s="60">
        <f t="shared" si="6"/>
        <v>3.54</v>
      </c>
      <c r="AG68" s="61">
        <f t="shared" si="6"/>
        <v>489.91</v>
      </c>
      <c r="AH68" s="47">
        <f t="shared" si="2"/>
        <v>3.54</v>
      </c>
      <c r="AI68" s="48">
        <f t="shared" si="3"/>
        <v>3.54</v>
      </c>
      <c r="AK68" s="49"/>
    </row>
    <row r="69" spans="1:40" x14ac:dyDescent="0.25">
      <c r="A69" s="44" t="s">
        <v>75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49"/>
    </row>
    <row r="70" spans="1:40" x14ac:dyDescent="0.25">
      <c r="A70" s="53" t="s">
        <v>76</v>
      </c>
      <c r="B70" s="45"/>
      <c r="C70" s="4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54">
        <v>32</v>
      </c>
      <c r="AH70" s="47">
        <f t="shared" si="2"/>
        <v>0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/>
      <c r="C71" s="45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8">
        <v>14</v>
      </c>
      <c r="AH71" s="47">
        <f t="shared" si="2"/>
        <v>0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7">M69+M70+M71</f>
        <v>0</v>
      </c>
      <c r="N72" s="60">
        <f t="shared" si="7"/>
        <v>0</v>
      </c>
      <c r="O72" s="60">
        <f t="shared" si="7"/>
        <v>0</v>
      </c>
      <c r="P72" s="60">
        <f t="shared" si="7"/>
        <v>0</v>
      </c>
      <c r="Q72" s="60">
        <f t="shared" si="7"/>
        <v>0</v>
      </c>
      <c r="R72" s="60">
        <f t="shared" si="7"/>
        <v>0</v>
      </c>
      <c r="S72" s="60">
        <f t="shared" si="7"/>
        <v>0</v>
      </c>
      <c r="T72" s="60">
        <f t="shared" si="7"/>
        <v>0</v>
      </c>
      <c r="U72" s="60">
        <f t="shared" si="7"/>
        <v>0</v>
      </c>
      <c r="V72" s="60">
        <f t="shared" si="7"/>
        <v>0</v>
      </c>
      <c r="W72" s="60">
        <f t="shared" si="7"/>
        <v>0</v>
      </c>
      <c r="X72" s="60">
        <f t="shared" si="7"/>
        <v>0</v>
      </c>
      <c r="Y72" s="60">
        <f t="shared" si="7"/>
        <v>0</v>
      </c>
      <c r="Z72" s="60">
        <f t="shared" si="7"/>
        <v>0</v>
      </c>
      <c r="AA72" s="60">
        <f t="shared" si="7"/>
        <v>0</v>
      </c>
      <c r="AB72" s="60">
        <f t="shared" si="7"/>
        <v>0</v>
      </c>
      <c r="AC72" s="60">
        <f t="shared" si="7"/>
        <v>0</v>
      </c>
      <c r="AD72" s="60">
        <f t="shared" si="7"/>
        <v>0</v>
      </c>
      <c r="AE72" s="60">
        <f t="shared" si="7"/>
        <v>0</v>
      </c>
      <c r="AF72" s="60">
        <f t="shared" si="7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44" t="s">
        <v>79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51"/>
      <c r="AH73" s="47">
        <f t="shared" si="2"/>
        <v>0</v>
      </c>
      <c r="AI73" s="48">
        <f t="shared" si="3"/>
        <v>0</v>
      </c>
      <c r="AK73" s="49"/>
    </row>
    <row r="74" spans="1:40" x14ac:dyDescent="0.25">
      <c r="A74" s="53" t="s">
        <v>80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75"/>
      <c r="AH75" s="47">
        <f t="shared" si="2"/>
        <v>0</v>
      </c>
      <c r="AI75" s="48">
        <f t="shared" si="3"/>
        <v>0</v>
      </c>
      <c r="AK75" s="49"/>
    </row>
    <row r="76" spans="1:40" x14ac:dyDescent="0.25">
      <c r="A76" s="53" t="s">
        <v>82</v>
      </c>
      <c r="B76" s="65"/>
      <c r="C76" s="65"/>
      <c r="D76" s="65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65"/>
      <c r="AE76" s="76"/>
      <c r="AF76" s="76"/>
      <c r="AG76" s="75"/>
      <c r="AH76" s="47">
        <f t="shared" si="2"/>
        <v>0</v>
      </c>
      <c r="AI76" s="48">
        <f t="shared" si="3"/>
        <v>0</v>
      </c>
      <c r="AK76" s="49"/>
    </row>
    <row r="77" spans="1:40" x14ac:dyDescent="0.25">
      <c r="A77" s="53" t="s">
        <v>83</v>
      </c>
      <c r="B77" s="45"/>
      <c r="C77" s="45"/>
      <c r="D77" s="6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5"/>
      <c r="AH77" s="47">
        <f t="shared" ref="AH77:AH120" si="8">MAX(B77:AF77)</f>
        <v>0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45"/>
      <c r="C78" s="77"/>
      <c r="D78" s="65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5"/>
      <c r="AH78" s="47">
        <f t="shared" si="8"/>
        <v>0</v>
      </c>
      <c r="AI78" s="48">
        <f t="shared" si="9"/>
        <v>0</v>
      </c>
      <c r="AK78" s="49"/>
    </row>
    <row r="79" spans="1:40" ht="15.75" thickBot="1" x14ac:dyDescent="0.3">
      <c r="A79" s="53" t="s">
        <v>85</v>
      </c>
      <c r="B79" s="45"/>
      <c r="C79" s="77"/>
      <c r="D79" s="65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8"/>
        <v>0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/>
      <c r="C80" s="77"/>
      <c r="D80" s="65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/>
      <c r="C81" s="77"/>
      <c r="D81" s="65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5"/>
      <c r="AH81" s="47">
        <f t="shared" si="8"/>
        <v>0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/>
      <c r="C82" s="77"/>
      <c r="D82" s="65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/>
      <c r="C83" s="77"/>
      <c r="D83" s="65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 t="shared" ref="B84:AF84" si="10">SUMIF(B73:B83,"&gt;0")</f>
        <v>0</v>
      </c>
      <c r="C84" s="60">
        <f t="shared" si="10"/>
        <v>0</v>
      </c>
      <c r="D84" s="60">
        <f t="shared" si="10"/>
        <v>0</v>
      </c>
      <c r="E84" s="60">
        <f t="shared" si="10"/>
        <v>0</v>
      </c>
      <c r="F84" s="60">
        <f t="shared" si="10"/>
        <v>0</v>
      </c>
      <c r="G84" s="60">
        <f t="shared" si="10"/>
        <v>0</v>
      </c>
      <c r="H84" s="60">
        <f t="shared" si="10"/>
        <v>0</v>
      </c>
      <c r="I84" s="60">
        <f t="shared" si="10"/>
        <v>0</v>
      </c>
      <c r="J84" s="60">
        <f t="shared" si="10"/>
        <v>0</v>
      </c>
      <c r="K84" s="60">
        <f t="shared" si="10"/>
        <v>0</v>
      </c>
      <c r="L84" s="60">
        <f t="shared" si="10"/>
        <v>0</v>
      </c>
      <c r="M84" s="60">
        <f t="shared" si="10"/>
        <v>0</v>
      </c>
      <c r="N84" s="60">
        <f t="shared" si="10"/>
        <v>0</v>
      </c>
      <c r="O84" s="60">
        <f t="shared" si="10"/>
        <v>0</v>
      </c>
      <c r="P84" s="60">
        <f t="shared" si="10"/>
        <v>0</v>
      </c>
      <c r="Q84" s="60">
        <f t="shared" si="10"/>
        <v>0</v>
      </c>
      <c r="R84" s="60">
        <f t="shared" si="10"/>
        <v>0</v>
      </c>
      <c r="S84" s="60">
        <f t="shared" si="10"/>
        <v>0</v>
      </c>
      <c r="T84" s="60">
        <f t="shared" si="10"/>
        <v>0</v>
      </c>
      <c r="U84" s="60">
        <f t="shared" si="10"/>
        <v>0</v>
      </c>
      <c r="V84" s="60">
        <f t="shared" si="10"/>
        <v>0</v>
      </c>
      <c r="W84" s="60">
        <f t="shared" si="10"/>
        <v>0</v>
      </c>
      <c r="X84" s="60">
        <f t="shared" si="10"/>
        <v>0</v>
      </c>
      <c r="Y84" s="60">
        <f t="shared" si="10"/>
        <v>0</v>
      </c>
      <c r="Z84" s="60">
        <f t="shared" si="10"/>
        <v>0</v>
      </c>
      <c r="AA84" s="60">
        <f t="shared" si="10"/>
        <v>0</v>
      </c>
      <c r="AB84" s="60">
        <f t="shared" si="10"/>
        <v>0</v>
      </c>
      <c r="AC84" s="60">
        <f t="shared" si="10"/>
        <v>0</v>
      </c>
      <c r="AD84" s="60">
        <f t="shared" si="10"/>
        <v>0</v>
      </c>
      <c r="AE84" s="60">
        <f t="shared" si="10"/>
        <v>0</v>
      </c>
      <c r="AF84" s="60">
        <f t="shared" si="10"/>
        <v>0</v>
      </c>
      <c r="AG84" s="88">
        <f>SUM(AG73:AG83)</f>
        <v>0</v>
      </c>
      <c r="AH84" s="47">
        <f t="shared" si="8"/>
        <v>0</v>
      </c>
      <c r="AI84" s="48">
        <f t="shared" si="9"/>
        <v>0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 t="shared" ref="B89:AG89" si="11">B50+B54+B72+B68+B84+B88</f>
        <v>303.54000000000002</v>
      </c>
      <c r="C89" s="95">
        <f t="shared" si="11"/>
        <v>3.54</v>
      </c>
      <c r="D89" s="95">
        <f t="shared" si="11"/>
        <v>3.54</v>
      </c>
      <c r="E89" s="95">
        <f t="shared" si="11"/>
        <v>3.54</v>
      </c>
      <c r="F89" s="95">
        <f t="shared" si="11"/>
        <v>3.54</v>
      </c>
      <c r="G89" s="95">
        <f t="shared" si="11"/>
        <v>3.54</v>
      </c>
      <c r="H89" s="95">
        <f t="shared" si="11"/>
        <v>3.54</v>
      </c>
      <c r="I89" s="95">
        <f t="shared" si="11"/>
        <v>3.54</v>
      </c>
      <c r="J89" s="95">
        <f t="shared" si="11"/>
        <v>3.54</v>
      </c>
      <c r="K89" s="95">
        <f t="shared" si="11"/>
        <v>3.54</v>
      </c>
      <c r="L89" s="95">
        <f t="shared" si="11"/>
        <v>3.54</v>
      </c>
      <c r="M89" s="95">
        <f t="shared" si="11"/>
        <v>3.54</v>
      </c>
      <c r="N89" s="95">
        <f t="shared" si="11"/>
        <v>3.54</v>
      </c>
      <c r="O89" s="95">
        <f t="shared" si="11"/>
        <v>3.54</v>
      </c>
      <c r="P89" s="95">
        <f t="shared" si="11"/>
        <v>3.54</v>
      </c>
      <c r="Q89" s="95">
        <f t="shared" si="11"/>
        <v>3.54</v>
      </c>
      <c r="R89" s="95">
        <f t="shared" si="11"/>
        <v>3.54</v>
      </c>
      <c r="S89" s="95">
        <f t="shared" si="11"/>
        <v>3.54</v>
      </c>
      <c r="T89" s="95">
        <f t="shared" si="11"/>
        <v>3.54</v>
      </c>
      <c r="U89" s="95">
        <f t="shared" si="11"/>
        <v>3.54</v>
      </c>
      <c r="V89" s="95">
        <f t="shared" si="11"/>
        <v>3.54</v>
      </c>
      <c r="W89" s="95">
        <f t="shared" si="11"/>
        <v>3.54</v>
      </c>
      <c r="X89" s="95">
        <f t="shared" si="11"/>
        <v>3.54</v>
      </c>
      <c r="Y89" s="95">
        <f t="shared" si="11"/>
        <v>3.54</v>
      </c>
      <c r="Z89" s="95">
        <f t="shared" si="11"/>
        <v>3.54</v>
      </c>
      <c r="AA89" s="95">
        <f t="shared" si="11"/>
        <v>3.54</v>
      </c>
      <c r="AB89" s="95">
        <f t="shared" si="11"/>
        <v>3.54</v>
      </c>
      <c r="AC89" s="95">
        <f t="shared" si="11"/>
        <v>3.54</v>
      </c>
      <c r="AD89" s="95">
        <f t="shared" si="11"/>
        <v>3.54</v>
      </c>
      <c r="AE89" s="95">
        <f t="shared" si="11"/>
        <v>3.54</v>
      </c>
      <c r="AF89" s="95">
        <f t="shared" si="11"/>
        <v>3.54</v>
      </c>
      <c r="AG89" s="61">
        <f t="shared" si="11"/>
        <v>2111.5500000000002</v>
      </c>
      <c r="AH89" s="47">
        <f t="shared" si="8"/>
        <v>303.54000000000002</v>
      </c>
      <c r="AI89" s="48">
        <f t="shared" si="9"/>
        <v>3.54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8"/>
        <v>0</v>
      </c>
      <c r="AI90" s="48">
        <f t="shared" si="9"/>
        <v>0</v>
      </c>
    </row>
    <row r="91" spans="1:40" ht="15.75" thickBot="1" x14ac:dyDescent="0.3">
      <c r="A91" s="74" t="s">
        <v>100</v>
      </c>
      <c r="B91" s="95">
        <f t="shared" ref="B91:AF91" si="12">B89+B90</f>
        <v>303.54000000000002</v>
      </c>
      <c r="C91" s="95">
        <f t="shared" si="12"/>
        <v>3.54</v>
      </c>
      <c r="D91" s="95">
        <f t="shared" si="12"/>
        <v>3.54</v>
      </c>
      <c r="E91" s="95">
        <f t="shared" si="12"/>
        <v>3.54</v>
      </c>
      <c r="F91" s="95">
        <f t="shared" si="12"/>
        <v>3.54</v>
      </c>
      <c r="G91" s="95">
        <f t="shared" si="12"/>
        <v>3.54</v>
      </c>
      <c r="H91" s="95">
        <f t="shared" si="12"/>
        <v>3.54</v>
      </c>
      <c r="I91" s="95">
        <f t="shared" si="12"/>
        <v>3.54</v>
      </c>
      <c r="J91" s="95">
        <f t="shared" si="12"/>
        <v>3.54</v>
      </c>
      <c r="K91" s="95">
        <f t="shared" si="12"/>
        <v>3.54</v>
      </c>
      <c r="L91" s="95">
        <f t="shared" si="12"/>
        <v>3.54</v>
      </c>
      <c r="M91" s="95">
        <f t="shared" si="12"/>
        <v>3.54</v>
      </c>
      <c r="N91" s="95">
        <f t="shared" si="12"/>
        <v>3.54</v>
      </c>
      <c r="O91" s="95">
        <f t="shared" si="12"/>
        <v>3.54</v>
      </c>
      <c r="P91" s="95">
        <f t="shared" si="12"/>
        <v>3.54</v>
      </c>
      <c r="Q91" s="95">
        <f t="shared" si="12"/>
        <v>3.54</v>
      </c>
      <c r="R91" s="95">
        <f t="shared" si="12"/>
        <v>3.54</v>
      </c>
      <c r="S91" s="95">
        <f t="shared" si="12"/>
        <v>3.54</v>
      </c>
      <c r="T91" s="95">
        <f t="shared" si="12"/>
        <v>3.54</v>
      </c>
      <c r="U91" s="95">
        <f t="shared" si="12"/>
        <v>3.54</v>
      </c>
      <c r="V91" s="95">
        <f t="shared" si="12"/>
        <v>3.54</v>
      </c>
      <c r="W91" s="95">
        <f t="shared" si="12"/>
        <v>3.54</v>
      </c>
      <c r="X91" s="95">
        <f t="shared" si="12"/>
        <v>3.54</v>
      </c>
      <c r="Y91" s="95">
        <f t="shared" si="12"/>
        <v>3.54</v>
      </c>
      <c r="Z91" s="95">
        <f t="shared" si="12"/>
        <v>3.54</v>
      </c>
      <c r="AA91" s="95">
        <f t="shared" si="12"/>
        <v>3.54</v>
      </c>
      <c r="AB91" s="95">
        <f t="shared" si="12"/>
        <v>3.54</v>
      </c>
      <c r="AC91" s="95">
        <f t="shared" si="12"/>
        <v>3.54</v>
      </c>
      <c r="AD91" s="95">
        <f t="shared" si="12"/>
        <v>3.54</v>
      </c>
      <c r="AE91" s="95">
        <f t="shared" si="12"/>
        <v>3.54</v>
      </c>
      <c r="AF91" s="95">
        <f t="shared" si="12"/>
        <v>3.54</v>
      </c>
      <c r="AG91" s="88">
        <f>AG88+AG84+AG72+AG68+AG50+AG90</f>
        <v>1573.45</v>
      </c>
      <c r="AH91" s="47">
        <f t="shared" si="8"/>
        <v>303.54000000000002</v>
      </c>
      <c r="AI91" s="48">
        <f t="shared" si="9"/>
        <v>3.54</v>
      </c>
    </row>
    <row r="92" spans="1:40" ht="15.75" thickBot="1" x14ac:dyDescent="0.3">
      <c r="A92" s="74" t="s">
        <v>101</v>
      </c>
      <c r="B92" s="95">
        <f t="shared" ref="B92:AF92" si="13">B91-B99</f>
        <v>303.54000000000002</v>
      </c>
      <c r="C92" s="95">
        <f t="shared" si="13"/>
        <v>3.54</v>
      </c>
      <c r="D92" s="95">
        <f t="shared" si="13"/>
        <v>3.54</v>
      </c>
      <c r="E92" s="95">
        <f t="shared" si="13"/>
        <v>3.54</v>
      </c>
      <c r="F92" s="95">
        <f t="shared" si="13"/>
        <v>3.54</v>
      </c>
      <c r="G92" s="95">
        <f t="shared" si="13"/>
        <v>3.54</v>
      </c>
      <c r="H92" s="95">
        <f t="shared" si="13"/>
        <v>3.54</v>
      </c>
      <c r="I92" s="95">
        <f t="shared" si="13"/>
        <v>3.54</v>
      </c>
      <c r="J92" s="95">
        <f t="shared" si="13"/>
        <v>3.54</v>
      </c>
      <c r="K92" s="95">
        <f t="shared" si="13"/>
        <v>3.54</v>
      </c>
      <c r="L92" s="95">
        <f t="shared" si="13"/>
        <v>3.54</v>
      </c>
      <c r="M92" s="95">
        <f t="shared" si="13"/>
        <v>3.54</v>
      </c>
      <c r="N92" s="95">
        <f t="shared" si="13"/>
        <v>3.54</v>
      </c>
      <c r="O92" s="95">
        <f t="shared" si="13"/>
        <v>3.54</v>
      </c>
      <c r="P92" s="95">
        <f t="shared" si="13"/>
        <v>3.54</v>
      </c>
      <c r="Q92" s="95">
        <f t="shared" si="13"/>
        <v>3.54</v>
      </c>
      <c r="R92" s="95">
        <f t="shared" si="13"/>
        <v>3.54</v>
      </c>
      <c r="S92" s="95">
        <f t="shared" si="13"/>
        <v>3.54</v>
      </c>
      <c r="T92" s="95">
        <f t="shared" si="13"/>
        <v>3.54</v>
      </c>
      <c r="U92" s="95">
        <f t="shared" si="13"/>
        <v>3.54</v>
      </c>
      <c r="V92" s="95">
        <f t="shared" si="13"/>
        <v>3.54</v>
      </c>
      <c r="W92" s="95">
        <f t="shared" si="13"/>
        <v>3.54</v>
      </c>
      <c r="X92" s="95">
        <f t="shared" si="13"/>
        <v>3.54</v>
      </c>
      <c r="Y92" s="95">
        <f t="shared" si="13"/>
        <v>3.54</v>
      </c>
      <c r="Z92" s="95">
        <f t="shared" si="13"/>
        <v>3.54</v>
      </c>
      <c r="AA92" s="95">
        <f t="shared" si="13"/>
        <v>3.54</v>
      </c>
      <c r="AB92" s="95">
        <f t="shared" si="13"/>
        <v>3.54</v>
      </c>
      <c r="AC92" s="95">
        <f t="shared" si="13"/>
        <v>3.54</v>
      </c>
      <c r="AD92" s="95">
        <f t="shared" si="13"/>
        <v>3.54</v>
      </c>
      <c r="AE92" s="95">
        <f t="shared" si="13"/>
        <v>3.54</v>
      </c>
      <c r="AF92" s="95">
        <f t="shared" si="13"/>
        <v>3.54</v>
      </c>
      <c r="AG92" s="88"/>
      <c r="AH92" s="47">
        <f t="shared" si="8"/>
        <v>303.54000000000002</v>
      </c>
      <c r="AI92" s="48">
        <f t="shared" si="9"/>
        <v>3.54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 t="shared" ref="B100:AF100" si="14">B84-B99</f>
        <v>0</v>
      </c>
      <c r="C100" s="60">
        <f t="shared" si="14"/>
        <v>0</v>
      </c>
      <c r="D100" s="60">
        <f t="shared" si="14"/>
        <v>0</v>
      </c>
      <c r="E100" s="60">
        <f t="shared" si="14"/>
        <v>0</v>
      </c>
      <c r="F100" s="60">
        <f t="shared" si="14"/>
        <v>0</v>
      </c>
      <c r="G100" s="60">
        <f t="shared" si="14"/>
        <v>0</v>
      </c>
      <c r="H100" s="60">
        <f t="shared" si="14"/>
        <v>0</v>
      </c>
      <c r="I100" s="60">
        <f t="shared" si="14"/>
        <v>0</v>
      </c>
      <c r="J100" s="60">
        <f t="shared" si="14"/>
        <v>0</v>
      </c>
      <c r="K100" s="60">
        <f t="shared" si="14"/>
        <v>0</v>
      </c>
      <c r="L100" s="60">
        <f t="shared" si="14"/>
        <v>0</v>
      </c>
      <c r="M100" s="60">
        <f t="shared" si="14"/>
        <v>0</v>
      </c>
      <c r="N100" s="60">
        <f t="shared" si="14"/>
        <v>0</v>
      </c>
      <c r="O100" s="60">
        <f t="shared" si="14"/>
        <v>0</v>
      </c>
      <c r="P100" s="60">
        <f t="shared" si="14"/>
        <v>0</v>
      </c>
      <c r="Q100" s="60">
        <f t="shared" si="14"/>
        <v>0</v>
      </c>
      <c r="R100" s="60">
        <f t="shared" si="14"/>
        <v>0</v>
      </c>
      <c r="S100" s="60">
        <f t="shared" si="14"/>
        <v>0</v>
      </c>
      <c r="T100" s="60">
        <f t="shared" si="14"/>
        <v>0</v>
      </c>
      <c r="U100" s="60">
        <f t="shared" si="14"/>
        <v>0</v>
      </c>
      <c r="V100" s="60">
        <f t="shared" si="14"/>
        <v>0</v>
      </c>
      <c r="W100" s="60">
        <f t="shared" si="14"/>
        <v>0</v>
      </c>
      <c r="X100" s="60">
        <f t="shared" si="14"/>
        <v>0</v>
      </c>
      <c r="Y100" s="60">
        <f t="shared" si="14"/>
        <v>0</v>
      </c>
      <c r="Z100" s="60">
        <f t="shared" si="14"/>
        <v>0</v>
      </c>
      <c r="AA100" s="60">
        <f t="shared" si="14"/>
        <v>0</v>
      </c>
      <c r="AB100" s="60">
        <f t="shared" si="14"/>
        <v>0</v>
      </c>
      <c r="AC100" s="60">
        <f t="shared" si="14"/>
        <v>0</v>
      </c>
      <c r="AD100" s="60">
        <f t="shared" si="14"/>
        <v>0</v>
      </c>
      <c r="AE100" s="60">
        <f t="shared" si="14"/>
        <v>0</v>
      </c>
      <c r="AF100" s="60">
        <f t="shared" si="14"/>
        <v>0</v>
      </c>
      <c r="AG100" s="88"/>
      <c r="AH100" s="47">
        <f t="shared" si="8"/>
        <v>0</v>
      </c>
      <c r="AI100" s="48">
        <f t="shared" si="9"/>
        <v>0</v>
      </c>
    </row>
    <row r="101" spans="1:37" x14ac:dyDescent="0.25">
      <c r="A101" s="100" t="s">
        <v>107</v>
      </c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2"/>
      <c r="AH101" s="47">
        <f t="shared" si="8"/>
        <v>0</v>
      </c>
      <c r="AI101" s="48">
        <f t="shared" si="9"/>
        <v>0</v>
      </c>
    </row>
    <row r="102" spans="1:37" x14ac:dyDescent="0.25">
      <c r="A102" s="103" t="s">
        <v>108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104"/>
      <c r="AH102" s="47">
        <f t="shared" si="8"/>
        <v>0</v>
      </c>
      <c r="AI102" s="48">
        <f t="shared" si="9"/>
        <v>0</v>
      </c>
    </row>
    <row r="103" spans="1:37" x14ac:dyDescent="0.25">
      <c r="A103" s="103" t="s">
        <v>109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3" t="s">
        <v>110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104"/>
      <c r="AH104" s="47">
        <f t="shared" si="8"/>
        <v>0</v>
      </c>
      <c r="AI104" s="48">
        <f t="shared" si="9"/>
        <v>0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7"/>
      <c r="AH106" s="47">
        <f t="shared" si="8"/>
        <v>0</v>
      </c>
      <c r="AI106" s="48">
        <f t="shared" si="9"/>
        <v>0</v>
      </c>
    </row>
    <row r="107" spans="1:37" x14ac:dyDescent="0.25">
      <c r="A107" s="103" t="s">
        <v>113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104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03" t="s">
        <v>114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108"/>
      <c r="AH108" s="47">
        <f t="shared" si="8"/>
        <v>0</v>
      </c>
      <c r="AI108" s="48">
        <f t="shared" si="9"/>
        <v>0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 t="shared" ref="B110:O110" si="15">SUM(B20,B26,B29:B30,B58,B60:B61,B63,B65,B111:B115,B138,B144,B150,B159,B161,B173,B180,B183:B184,B191,B193,B195,B199:B201,B203:B205,B210,B216:B217,B219:B221,B229,B234)</f>
        <v>0</v>
      </c>
      <c r="C110" s="111">
        <f t="shared" si="15"/>
        <v>0.94</v>
      </c>
      <c r="D110" s="111">
        <f t="shared" si="15"/>
        <v>0.94</v>
      </c>
      <c r="E110" s="111">
        <f t="shared" si="15"/>
        <v>0.94</v>
      </c>
      <c r="F110" s="111">
        <f t="shared" si="15"/>
        <v>0.94</v>
      </c>
      <c r="G110" s="111">
        <f t="shared" si="15"/>
        <v>0.94</v>
      </c>
      <c r="H110" s="111">
        <f t="shared" si="15"/>
        <v>0.94</v>
      </c>
      <c r="I110" s="111">
        <f t="shared" si="15"/>
        <v>0.94</v>
      </c>
      <c r="J110" s="111">
        <f t="shared" si="15"/>
        <v>0.94</v>
      </c>
      <c r="K110" s="111">
        <f t="shared" si="15"/>
        <v>0.94</v>
      </c>
      <c r="L110" s="111">
        <f t="shared" si="15"/>
        <v>0.94</v>
      </c>
      <c r="M110" s="111">
        <f t="shared" si="15"/>
        <v>0.94</v>
      </c>
      <c r="N110" s="111">
        <f t="shared" si="15"/>
        <v>0.94</v>
      </c>
      <c r="O110" s="111">
        <f t="shared" si="15"/>
        <v>0.94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0</v>
      </c>
      <c r="R110" s="111">
        <f t="shared" si="16"/>
        <v>0</v>
      </c>
      <c r="S110" s="111">
        <f t="shared" si="16"/>
        <v>0</v>
      </c>
      <c r="T110" s="111">
        <f t="shared" si="16"/>
        <v>0</v>
      </c>
      <c r="U110" s="111">
        <f t="shared" si="16"/>
        <v>0</v>
      </c>
      <c r="V110" s="111">
        <f t="shared" si="16"/>
        <v>0</v>
      </c>
      <c r="W110" s="111">
        <f t="shared" si="16"/>
        <v>0</v>
      </c>
      <c r="X110" s="111">
        <f t="shared" si="16"/>
        <v>0</v>
      </c>
      <c r="Y110" s="111">
        <f t="shared" si="16"/>
        <v>0</v>
      </c>
      <c r="Z110" s="111">
        <f t="shared" si="16"/>
        <v>0</v>
      </c>
      <c r="AA110" s="111">
        <f t="shared" si="16"/>
        <v>0</v>
      </c>
      <c r="AB110" s="111">
        <f t="shared" si="16"/>
        <v>0</v>
      </c>
      <c r="AC110" s="111">
        <f t="shared" si="16"/>
        <v>0</v>
      </c>
      <c r="AD110" s="111"/>
      <c r="AE110" s="111">
        <f t="shared" si="16"/>
        <v>0</v>
      </c>
      <c r="AF110" s="111">
        <f t="shared" si="16"/>
        <v>0</v>
      </c>
      <c r="AG110" s="112"/>
      <c r="AH110" s="47">
        <f t="shared" si="8"/>
        <v>42</v>
      </c>
      <c r="AI110" s="48">
        <f t="shared" si="9"/>
        <v>0</v>
      </c>
    </row>
    <row r="111" spans="1:37" x14ac:dyDescent="0.25">
      <c r="A111" s="100" t="s">
        <v>117</v>
      </c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4">
        <v>75</v>
      </c>
      <c r="AH111" s="47">
        <f t="shared" si="8"/>
        <v>0</v>
      </c>
      <c r="AI111" s="48">
        <f t="shared" si="9"/>
        <v>0</v>
      </c>
    </row>
    <row r="112" spans="1:37" x14ac:dyDescent="0.25">
      <c r="A112" s="103" t="s">
        <v>118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4">
        <v>240</v>
      </c>
      <c r="AH112" s="47">
        <f t="shared" si="8"/>
        <v>0</v>
      </c>
      <c r="AI112" s="48">
        <f t="shared" si="9"/>
        <v>0</v>
      </c>
    </row>
    <row r="113" spans="1:37" x14ac:dyDescent="0.25">
      <c r="A113" s="103" t="s">
        <v>119</v>
      </c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4">
        <v>240</v>
      </c>
      <c r="AH113" s="47">
        <f t="shared" si="8"/>
        <v>0</v>
      </c>
      <c r="AI113" s="48">
        <f t="shared" si="9"/>
        <v>0</v>
      </c>
    </row>
    <row r="114" spans="1:37" x14ac:dyDescent="0.25">
      <c r="A114" s="103" t="s">
        <v>120</v>
      </c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4">
        <v>60</v>
      </c>
      <c r="AH114" s="47">
        <f t="shared" si="8"/>
        <v>0</v>
      </c>
      <c r="AI114" s="48">
        <f t="shared" si="9"/>
        <v>0</v>
      </c>
    </row>
    <row r="115" spans="1:37" x14ac:dyDescent="0.25">
      <c r="A115" s="116" t="s">
        <v>121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8">
        <v>120</v>
      </c>
      <c r="AH115" s="47">
        <f t="shared" si="8"/>
        <v>0</v>
      </c>
      <c r="AI115" s="48">
        <f t="shared" si="9"/>
        <v>0</v>
      </c>
    </row>
    <row r="116" spans="1:37" x14ac:dyDescent="0.25">
      <c r="A116" s="116" t="s">
        <v>122</v>
      </c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8"/>
      <c r="AH116" s="47">
        <f t="shared" si="8"/>
        <v>0</v>
      </c>
      <c r="AI116" s="48">
        <f t="shared" si="9"/>
        <v>0</v>
      </c>
    </row>
    <row r="117" spans="1:37" x14ac:dyDescent="0.25">
      <c r="A117" s="116" t="s">
        <v>123</v>
      </c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9"/>
      <c r="AH117" s="47">
        <f t="shared" si="8"/>
        <v>0</v>
      </c>
      <c r="AI117" s="48">
        <f t="shared" si="9"/>
        <v>0</v>
      </c>
    </row>
    <row r="118" spans="1:37" x14ac:dyDescent="0.25">
      <c r="A118" s="120" t="s">
        <v>124</v>
      </c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19"/>
      <c r="AH118" s="47">
        <f t="shared" si="8"/>
        <v>0</v>
      </c>
      <c r="AI118" s="48">
        <f t="shared" si="9"/>
        <v>0</v>
      </c>
    </row>
    <row r="119" spans="1:37" x14ac:dyDescent="0.25">
      <c r="A119" s="175" t="s">
        <v>265</v>
      </c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19"/>
      <c r="AH119" s="47">
        <f t="shared" si="8"/>
        <v>0</v>
      </c>
      <c r="AI119" s="48">
        <f t="shared" si="9"/>
        <v>0</v>
      </c>
    </row>
    <row r="120" spans="1:37" ht="15.75" thickBot="1" x14ac:dyDescent="0.3">
      <c r="A120" s="120" t="s">
        <v>125</v>
      </c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19"/>
      <c r="AH120" s="47">
        <f t="shared" si="8"/>
        <v>0</v>
      </c>
      <c r="AI120" s="48">
        <f t="shared" si="9"/>
        <v>0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119.19900000000008</v>
      </c>
      <c r="N231" s="128">
        <f t="shared" ca="1" si="19"/>
        <v>119.19900000000008</v>
      </c>
      <c r="O231" s="128">
        <f t="shared" ca="1" si="19"/>
        <v>119.19900000000008</v>
      </c>
      <c r="P231" s="128">
        <f t="shared" ca="1" si="19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125.2590000000001</v>
      </c>
      <c r="M235" s="136">
        <f t="shared" ca="1" si="20"/>
        <v>121.23900000000009</v>
      </c>
      <c r="N235" s="136">
        <f t="shared" ca="1" si="20"/>
        <v>121.23900000000009</v>
      </c>
      <c r="O235" s="136">
        <f t="shared" ca="1" si="20"/>
        <v>121.23900000000009</v>
      </c>
      <c r="P235" s="136">
        <f t="shared" ca="1" si="20"/>
        <v>121.23900000000009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3.54</v>
      </c>
      <c r="C244" s="161">
        <f>INDEX(G9:N9,1,MATCH(MAX(G91:N91),G91:N91,0))</f>
        <v>0.20833333333333301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sample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e">
        <f ca="1">"Pie Chart of Daily Peak Demand(Inclusive of Export) of Nepal ("&amp;A4&amp;" "&amp;B4&amp;")"</f>
        <v>#VALUE!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e">
        <f ca="1">"Daily Load Curve(Excluding of Export) of Nepal ("&amp;A4&amp;" "&amp;B4&amp;")"</f>
        <v>#VALUE!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303.54000000000002</v>
      </c>
      <c r="U249" s="170">
        <f t="shared" si="21"/>
        <v>3.54</v>
      </c>
      <c r="V249" s="170">
        <f t="shared" si="21"/>
        <v>3.54</v>
      </c>
      <c r="W249" s="170">
        <f t="shared" si="21"/>
        <v>3.54</v>
      </c>
      <c r="X249" s="170">
        <f t="shared" si="21"/>
        <v>3.54</v>
      </c>
      <c r="Y249" s="170">
        <f t="shared" si="21"/>
        <v>3.54</v>
      </c>
      <c r="Z249" s="170">
        <f t="shared" si="21"/>
        <v>3.54</v>
      </c>
      <c r="AA249" s="170">
        <f t="shared" si="21"/>
        <v>3.54</v>
      </c>
      <c r="AB249" s="170">
        <f t="shared" si="21"/>
        <v>3.54</v>
      </c>
      <c r="AC249" s="170">
        <f t="shared" si="21"/>
        <v>3.54</v>
      </c>
      <c r="AD249" s="170">
        <f t="shared" si="21"/>
        <v>3.54</v>
      </c>
      <c r="AE249" s="170">
        <f t="shared" si="21"/>
        <v>3.54</v>
      </c>
      <c r="AF249" s="170">
        <f t="shared" si="21"/>
        <v>3.54</v>
      </c>
      <c r="AG249" s="170">
        <f t="shared" si="21"/>
        <v>3.54</v>
      </c>
      <c r="AH249" s="170">
        <f t="shared" si="21"/>
        <v>3.54</v>
      </c>
      <c r="AI249" s="170">
        <f t="shared" si="21"/>
        <v>3.54</v>
      </c>
      <c r="AJ249" s="170">
        <f t="shared" si="21"/>
        <v>3.54</v>
      </c>
      <c r="AK249" s="170">
        <f t="shared" si="21"/>
        <v>3.54</v>
      </c>
      <c r="AL249" s="170">
        <f t="shared" si="21"/>
        <v>3.54</v>
      </c>
      <c r="AM249" s="170">
        <f t="shared" si="21"/>
        <v>3.54</v>
      </c>
      <c r="AN249" s="170">
        <f t="shared" si="21"/>
        <v>3.54</v>
      </c>
      <c r="AO249" s="170">
        <f t="shared" si="21"/>
        <v>3.54</v>
      </c>
      <c r="AP249" s="170">
        <f t="shared" si="21"/>
        <v>3.54</v>
      </c>
      <c r="AQ249" s="170">
        <f t="shared" si="21"/>
        <v>3.54</v>
      </c>
      <c r="AR249" s="170">
        <f t="shared" si="21"/>
        <v>3.54</v>
      </c>
      <c r="AS249" s="170">
        <f t="shared" si="21"/>
        <v>3.54</v>
      </c>
      <c r="AT249" s="170">
        <f t="shared" si="21"/>
        <v>3.54</v>
      </c>
      <c r="AU249" s="170">
        <f t="shared" si="21"/>
        <v>3.54</v>
      </c>
      <c r="AV249" s="170">
        <f t="shared" si="21"/>
        <v>3.54</v>
      </c>
      <c r="AW249" s="170">
        <f t="shared" si="21"/>
        <v>3.54</v>
      </c>
      <c r="AX249" s="170">
        <f t="shared" si="21"/>
        <v>3.54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4:AF17 B12:AF12">
    <cfRule type="expression" dxfId="847" priority="409">
      <formula>B$9&gt;=20/24</formula>
    </cfRule>
    <cfRule type="expression" dxfId="846" priority="410">
      <formula>AND(B$9&gt;=14/24,B$9&lt;20/24)</formula>
    </cfRule>
    <cfRule type="expression" dxfId="845" priority="411">
      <formula>AND(B$9&gt;=8/24,B$9&lt;14/24)</formula>
    </cfRule>
    <cfRule type="expression" dxfId="844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G67 B14:AF17 B12:AF12">
    <cfRule type="expression" dxfId="843" priority="407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842" priority="406">
      <formula>$AH12=0</formula>
    </cfRule>
  </conditionalFormatting>
  <conditionalFormatting sqref="A116">
    <cfRule type="expression" dxfId="841" priority="405">
      <formula>$AH116=0</formula>
    </cfRule>
  </conditionalFormatting>
  <conditionalFormatting sqref="AL44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840" priority="403">
      <formula>$AH47=0</formula>
    </cfRule>
  </conditionalFormatting>
  <conditionalFormatting sqref="A100">
    <cfRule type="expression" dxfId="839" priority="402">
      <formula>$AH100=0</formula>
    </cfRule>
  </conditionalFormatting>
  <conditionalFormatting sqref="A20">
    <cfRule type="expression" dxfId="838" priority="401">
      <formula>$AH20=0</formula>
    </cfRule>
  </conditionalFormatting>
  <conditionalFormatting sqref="A199:A204">
    <cfRule type="expression" dxfId="837" priority="400">
      <formula>$AH199=0</formula>
    </cfRule>
  </conditionalFormatting>
  <conditionalFormatting sqref="A193:A198">
    <cfRule type="expression" dxfId="836" priority="399">
      <formula>$AH193=0</formula>
    </cfRule>
  </conditionalFormatting>
  <conditionalFormatting sqref="A60">
    <cfRule type="expression" dxfId="835" priority="398">
      <formula>$AH60=0</formula>
    </cfRule>
  </conditionalFormatting>
  <conditionalFormatting sqref="A96">
    <cfRule type="expression" dxfId="834" priority="397">
      <formula>$AH96=0</formula>
    </cfRule>
  </conditionalFormatting>
  <conditionalFormatting sqref="AD101:AF101 E101:Y101">
    <cfRule type="expression" dxfId="833" priority="393">
      <formula>E$9&gt;=20/24</formula>
    </cfRule>
    <cfRule type="expression" dxfId="832" priority="394">
      <formula>AND(E$9&gt;=14/24,E$9&lt;20/24)</formula>
    </cfRule>
    <cfRule type="expression" dxfId="831" priority="395">
      <formula>AND(E$9&gt;=8/24,E$9&lt;14/24)</formula>
    </cfRule>
    <cfRule type="expression" dxfId="830" priority="396">
      <formula>E$9&lt;8/24</formula>
    </cfRule>
  </conditionalFormatting>
  <conditionalFormatting sqref="AL45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29" priority="415">
      <formula>C$9&gt;=20/24</formula>
    </cfRule>
    <cfRule type="expression" dxfId="828" priority="416">
      <formula>AND(C$9&gt;=14/24,C$9&lt;20/24)</formula>
    </cfRule>
    <cfRule type="expression" dxfId="827" priority="417">
      <formula>AND(C$9&gt;=8/24,C$9&lt;14/24)</formula>
    </cfRule>
    <cfRule type="expression" dxfId="826" priority="418">
      <formula>C$9&lt;8/24</formula>
    </cfRule>
  </conditionalFormatting>
  <conditionalFormatting sqref="A236">
    <cfRule type="expression" dxfId="825" priority="419">
      <formula>$AH236=0</formula>
    </cfRule>
  </conditionalFormatting>
  <conditionalFormatting sqref="AG248">
    <cfRule type="expression" dxfId="824" priority="420">
      <formula>B$9&gt;=20/24</formula>
    </cfRule>
    <cfRule type="expression" dxfId="823" priority="421">
      <formula>AND(B$9&gt;=14/24,B$9&lt;20/24)</formula>
    </cfRule>
    <cfRule type="expression" dxfId="822" priority="422">
      <formula>AND(B$9&gt;=8/24,B$9&lt;14/24)</formula>
    </cfRule>
    <cfRule type="expression" dxfId="821" priority="423">
      <formula>B$9&lt;8/24</formula>
    </cfRule>
  </conditionalFormatting>
  <conditionalFormatting sqref="S8">
    <cfRule type="expression" dxfId="820" priority="388">
      <formula>U$9&gt;=20/24</formula>
    </cfRule>
    <cfRule type="expression" dxfId="819" priority="389">
      <formula>AND(U$9&gt;=14/24,U$9&lt;20/24)</formula>
    </cfRule>
    <cfRule type="expression" dxfId="818" priority="390">
      <formula>AND(U$9&gt;=8/24,U$9&lt;14/24)</formula>
    </cfRule>
    <cfRule type="expression" dxfId="817" priority="391">
      <formula>U$9&lt;8/24</formula>
    </cfRule>
  </conditionalFormatting>
  <conditionalFormatting sqref="AB8">
    <cfRule type="expression" dxfId="816" priority="384">
      <formula>AD$9&gt;=20/24</formula>
    </cfRule>
    <cfRule type="expression" dxfId="815" priority="385">
      <formula>AND(AD$9&gt;=14/24,AD$9&lt;20/24)</formula>
    </cfRule>
    <cfRule type="expression" dxfId="814" priority="386">
      <formula>AND(AD$9&gt;=8/24,AD$9&lt;14/24)</formula>
    </cfRule>
    <cfRule type="expression" dxfId="813" priority="387">
      <formula>AD$9&lt;8/24</formula>
    </cfRule>
  </conditionalFormatting>
  <conditionalFormatting sqref="AH248:AX248">
    <cfRule type="expression" dxfId="812" priority="424">
      <formula>AG$9&gt;=20/24</formula>
    </cfRule>
    <cfRule type="expression" dxfId="811" priority="425">
      <formula>AND(AG$9&gt;=14/24,AG$9&lt;20/24)</formula>
    </cfRule>
    <cfRule type="expression" dxfId="810" priority="426">
      <formula>AND(AG$9&gt;=8/24,AG$9&lt;14/24)</formula>
    </cfRule>
    <cfRule type="expression" dxfId="809" priority="427">
      <formula>AG$9&lt;8/24</formula>
    </cfRule>
  </conditionalFormatting>
  <conditionalFormatting sqref="T248">
    <cfRule type="expression" dxfId="808" priority="428">
      <formula>AX$9&gt;=20/24</formula>
    </cfRule>
    <cfRule type="expression" dxfId="807" priority="429">
      <formula>AND(AX$9&gt;=14/24,AX$9&lt;20/24)</formula>
    </cfRule>
    <cfRule type="expression" dxfId="806" priority="430">
      <formula>AND(AX$9&gt;=8/24,AX$9&lt;14/24)</formula>
    </cfRule>
    <cfRule type="expression" dxfId="805" priority="431">
      <formula>AX$9&lt;8/24</formula>
    </cfRule>
  </conditionalFormatting>
  <conditionalFormatting sqref="A117:A119">
    <cfRule type="expression" dxfId="804" priority="383">
      <formula>$AH117=0</formula>
    </cfRule>
  </conditionalFormatting>
  <conditionalFormatting sqref="AD56:AD59 E73:AD73 AF73 M56:R59">
    <cfRule type="expression" dxfId="803" priority="379">
      <formula>E$9&gt;=20/24</formula>
    </cfRule>
    <cfRule type="expression" dxfId="802" priority="380">
      <formula>AND(E$9&gt;=14/24,E$9&lt;20/24)</formula>
    </cfRule>
    <cfRule type="expression" dxfId="801" priority="381">
      <formula>AND(E$9&gt;=8/24,E$9&lt;14/24)</formula>
    </cfRule>
    <cfRule type="expression" dxfId="800" priority="382">
      <formula>E$9&lt;8/24</formula>
    </cfRule>
  </conditionalFormatting>
  <conditionalFormatting sqref="AD55 M55:R55">
    <cfRule type="expression" dxfId="799" priority="375">
      <formula>M$9&gt;=20/24</formula>
    </cfRule>
    <cfRule type="expression" dxfId="798" priority="376">
      <formula>AND(M$9&gt;=14/24,M$9&lt;20/24)</formula>
    </cfRule>
    <cfRule type="expression" dxfId="797" priority="377">
      <formula>AND(M$9&gt;=8/24,M$9&lt;14/24)</formula>
    </cfRule>
    <cfRule type="expression" dxfId="796" priority="378">
      <formula>M$9&lt;8/24</formula>
    </cfRule>
  </conditionalFormatting>
  <conditionalFormatting sqref="AD55:AD59 M55:R59">
    <cfRule type="expression" dxfId="795" priority="374">
      <formula>M55&gt;$AG55</formula>
    </cfRule>
  </conditionalFormatting>
  <conditionalFormatting sqref="D88:AF88 X98:AF98 AE102:AF108 M102:Y108 AD74:AD76 X49:AF49 E74:AC75 AF74:AF75 AA69:AF71">
    <cfRule type="expression" dxfId="794" priority="370">
      <formula>D$9&gt;=20/24</formula>
    </cfRule>
    <cfRule type="expression" dxfId="793" priority="371">
      <formula>AND(D$9&gt;=14/24,D$9&lt;20/24)</formula>
    </cfRule>
    <cfRule type="expression" dxfId="792" priority="372">
      <formula>AND(D$9&gt;=8/24,D$9&lt;14/24)</formula>
    </cfRule>
    <cfRule type="expression" dxfId="791" priority="373">
      <formula>D$9&lt;8/24</formula>
    </cfRule>
  </conditionalFormatting>
  <conditionalFormatting sqref="X49:AF49 AA69:AF71">
    <cfRule type="expression" dxfId="790" priority="369">
      <formula>X49&gt;$AG49</formula>
    </cfRule>
  </conditionalFormatting>
  <conditionalFormatting sqref="S55:AC60">
    <cfRule type="expression" dxfId="789" priority="365">
      <formula>S$9&gt;=20/24</formula>
    </cfRule>
    <cfRule type="expression" dxfId="788" priority="366">
      <formula>AND(S$9&gt;=14/24,S$9&lt;20/24)</formula>
    </cfRule>
    <cfRule type="expression" dxfId="787" priority="367">
      <formula>AND(S$9&gt;=8/24,S$9&lt;14/24)</formula>
    </cfRule>
    <cfRule type="expression" dxfId="786" priority="368">
      <formula>S$9&lt;8/24</formula>
    </cfRule>
  </conditionalFormatting>
  <conditionalFormatting sqref="S55:AC60">
    <cfRule type="expression" dxfId="785" priority="364">
      <formula>S55&gt;$AG55</formula>
    </cfRule>
  </conditionalFormatting>
  <conditionalFormatting sqref="C99:AF99 D90:AF90">
    <cfRule type="expression" dxfId="784" priority="360">
      <formula>C$9&gt;=20/24</formula>
    </cfRule>
    <cfRule type="expression" dxfId="783" priority="361">
      <formula>AND(C$9&gt;=14/24,C$9&lt;20/24)</formula>
    </cfRule>
    <cfRule type="expression" dxfId="782" priority="362">
      <formula>AND(C$9&gt;=8/24,C$9&lt;14/24)</formula>
    </cfRule>
    <cfRule type="expression" dxfId="781" priority="363">
      <formula>C$9&lt;8/24</formula>
    </cfRule>
  </conditionalFormatting>
  <conditionalFormatting sqref="T49:W49">
    <cfRule type="expression" dxfId="780" priority="356">
      <formula>T$9&gt;=20/24</formula>
    </cfRule>
    <cfRule type="expression" dxfId="779" priority="357">
      <formula>AND(T$9&gt;=14/24,T$9&lt;20/24)</formula>
    </cfRule>
    <cfRule type="expression" dxfId="778" priority="358">
      <formula>AND(T$9&gt;=8/24,T$9&lt;14/24)</formula>
    </cfRule>
    <cfRule type="expression" dxfId="777" priority="359">
      <formula>T$9&lt;8/24</formula>
    </cfRule>
  </conditionalFormatting>
  <conditionalFormatting sqref="T49:W49">
    <cfRule type="expression" dxfId="776" priority="355">
      <formula>T49&gt;$AG49</formula>
    </cfRule>
  </conditionalFormatting>
  <conditionalFormatting sqref="E56:L57">
    <cfRule type="expression" dxfId="775" priority="351">
      <formula>E$9&gt;=20/24</formula>
    </cfRule>
    <cfRule type="expression" dxfId="774" priority="352">
      <formula>AND(E$9&gt;=14/24,E$9&lt;20/24)</formula>
    </cfRule>
    <cfRule type="expression" dxfId="773" priority="353">
      <formula>AND(E$9&gt;=8/24,E$9&lt;14/24)</formula>
    </cfRule>
    <cfRule type="expression" dxfId="772" priority="354">
      <formula>E$9&lt;8/24</formula>
    </cfRule>
  </conditionalFormatting>
  <conditionalFormatting sqref="E55:L55">
    <cfRule type="expression" dxfId="771" priority="347">
      <formula>E$9&gt;=20/24</formula>
    </cfRule>
    <cfRule type="expression" dxfId="770" priority="348">
      <formula>AND(E$9&gt;=14/24,E$9&lt;20/24)</formula>
    </cfRule>
    <cfRule type="expression" dxfId="769" priority="349">
      <formula>AND(E$9&gt;=8/24,E$9&lt;14/24)</formula>
    </cfRule>
    <cfRule type="expression" dxfId="768" priority="350">
      <formula>E$9&lt;8/24</formula>
    </cfRule>
  </conditionalFormatting>
  <conditionalFormatting sqref="E55:L57">
    <cfRule type="expression" dxfId="767" priority="346">
      <formula>E55&gt;$AG55</formula>
    </cfRule>
  </conditionalFormatting>
  <conditionalFormatting sqref="AG72 AG89 E102:L108">
    <cfRule type="expression" dxfId="766" priority="342">
      <formula>E$9&gt;=20/24</formula>
    </cfRule>
    <cfRule type="expression" dxfId="765" priority="343">
      <formula>AND(E$9&gt;=14/24,E$9&lt;20/24)</formula>
    </cfRule>
    <cfRule type="expression" dxfId="764" priority="344">
      <formula>AND(E$9&gt;=8/24,E$9&lt;14/24)</formula>
    </cfRule>
    <cfRule type="expression" dxfId="763" priority="345">
      <formula>E$9&lt;8/24</formula>
    </cfRule>
  </conditionalFormatting>
  <conditionalFormatting sqref="AG50 AG68 AG72">
    <cfRule type="expression" dxfId="762" priority="341">
      <formula>AG50&gt;$AG50</formula>
    </cfRule>
  </conditionalFormatting>
  <conditionalFormatting sqref="AD60">
    <cfRule type="expression" dxfId="761" priority="337">
      <formula>AD$9&gt;=20/24</formula>
    </cfRule>
    <cfRule type="expression" dxfId="760" priority="338">
      <formula>AND(AD$9&gt;=14/24,AD$9&lt;20/24)</formula>
    </cfRule>
    <cfRule type="expression" dxfId="759" priority="339">
      <formula>AND(AD$9&gt;=8/24,AD$9&lt;14/24)</formula>
    </cfRule>
    <cfRule type="expression" dxfId="758" priority="340">
      <formula>AD$9&lt;8/24</formula>
    </cfRule>
  </conditionalFormatting>
  <conditionalFormatting sqref="AD60">
    <cfRule type="expression" dxfId="757" priority="336">
      <formula>AD60&gt;$AG60</formula>
    </cfRule>
  </conditionalFormatting>
  <conditionalFormatting sqref="A45">
    <cfRule type="expression" dxfId="756" priority="335">
      <formula>$AH45=0</formula>
    </cfRule>
  </conditionalFormatting>
  <conditionalFormatting sqref="X93:AF97">
    <cfRule type="expression" dxfId="755" priority="331">
      <formula>X$9&gt;=20/24</formula>
    </cfRule>
    <cfRule type="expression" dxfId="754" priority="332">
      <formula>AND(X$9&gt;=14/24,X$9&lt;20/24)</formula>
    </cfRule>
    <cfRule type="expression" dxfId="753" priority="333">
      <formula>AND(X$9&gt;=8/24,X$9&lt;14/24)</formula>
    </cfRule>
    <cfRule type="expression" dxfId="752" priority="334">
      <formula>X$9&lt;8/24</formula>
    </cfRule>
  </conditionalFormatting>
  <conditionalFormatting sqref="AL47 AL43 AL24:AL34 AL40:AL41 AL19:AL22 AL36:AL38 AL7:AL17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751" priority="327">
      <formula>E$9&gt;=20/24</formula>
    </cfRule>
    <cfRule type="expression" dxfId="750" priority="328">
      <formula>AND(E$9&gt;=14/24,E$9&lt;20/24)</formula>
    </cfRule>
    <cfRule type="expression" dxfId="749" priority="329">
      <formula>AND(E$9&gt;=8/24,E$9&lt;14/24)</formula>
    </cfRule>
    <cfRule type="expression" dxfId="748" priority="330">
      <formula>E$9&lt;8/24</formula>
    </cfRule>
  </conditionalFormatting>
  <conditionalFormatting sqref="E51:AF53">
    <cfRule type="expression" dxfId="747" priority="326">
      <formula>E51&gt;$AG51</formula>
    </cfRule>
  </conditionalFormatting>
  <conditionalFormatting sqref="AG54">
    <cfRule type="expression" dxfId="746" priority="322">
      <formula>AG$9&gt;=20/24</formula>
    </cfRule>
    <cfRule type="expression" dxfId="745" priority="323">
      <formula>AND(AG$9&gt;=14/24,AG$9&lt;20/24)</formula>
    </cfRule>
    <cfRule type="expression" dxfId="744" priority="324">
      <formula>AND(AG$9&gt;=8/24,AG$9&lt;14/24)</formula>
    </cfRule>
    <cfRule type="expression" dxfId="743" priority="325">
      <formula>AG$9&lt;8/24</formula>
    </cfRule>
  </conditionalFormatting>
  <conditionalFormatting sqref="AG54">
    <cfRule type="expression" dxfId="742" priority="321">
      <formula>AG54&gt;$AG54</formula>
    </cfRule>
  </conditionalFormatting>
  <conditionalFormatting sqref="C109:AF109">
    <cfRule type="expression" dxfId="741" priority="317">
      <formula>C$9&gt;=20/24</formula>
    </cfRule>
    <cfRule type="expression" dxfId="740" priority="318">
      <formula>AND(C$9&gt;=14/24,C$9&lt;20/24)</formula>
    </cfRule>
    <cfRule type="expression" dxfId="739" priority="319">
      <formula>AND(C$9&gt;=8/24,C$9&lt;14/24)</formula>
    </cfRule>
    <cfRule type="expression" dxfId="738" priority="320">
      <formula>C$9&lt;8/24</formula>
    </cfRule>
  </conditionalFormatting>
  <conditionalFormatting sqref="AL42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737" priority="315">
      <formula>$AH42=0</formula>
    </cfRule>
  </conditionalFormatting>
  <conditionalFormatting sqref="A92">
    <cfRule type="expression" dxfId="736" priority="313">
      <formula>$AH92=0</formula>
    </cfRule>
  </conditionalFormatting>
  <conditionalFormatting sqref="A89">
    <cfRule type="expression" dxfId="735" priority="314">
      <formula>$AH89=0</formula>
    </cfRule>
  </conditionalFormatting>
  <conditionalFormatting sqref="D112:AF112">
    <cfRule type="expression" dxfId="734" priority="309">
      <formula>D$9&gt;=20/24</formula>
    </cfRule>
    <cfRule type="expression" dxfId="733" priority="310">
      <formula>AND(D$9&gt;=14/24,D$9&lt;20/24)</formula>
    </cfRule>
    <cfRule type="expression" dxfId="732" priority="311">
      <formula>AND(D$9&gt;=8/24,D$9&lt;14/24)</formula>
    </cfRule>
    <cfRule type="expression" dxfId="731" priority="312">
      <formula>D$9&lt;8/24</formula>
    </cfRule>
  </conditionalFormatting>
  <conditionalFormatting sqref="A112">
    <cfRule type="expression" dxfId="730" priority="308">
      <formula>$AH112=0</formula>
    </cfRule>
  </conditionalFormatting>
  <conditionalFormatting sqref="A23">
    <cfRule type="expression" dxfId="729" priority="306">
      <formula>$AH23=0</formula>
    </cfRule>
  </conditionalFormatting>
  <conditionalFormatting sqref="AL2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728" priority="304">
      <formula>$AH39=0</formula>
    </cfRule>
  </conditionalFormatting>
  <conditionalFormatting sqref="AL39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727" priority="300">
      <formula>Z$9&gt;=20/24</formula>
    </cfRule>
    <cfRule type="expression" dxfId="726" priority="301">
      <formula>AND(Z$9&gt;=14/24,Z$9&lt;20/24)</formula>
    </cfRule>
    <cfRule type="expression" dxfId="725" priority="302">
      <formula>AND(Z$9&gt;=8/24,Z$9&lt;14/24)</formula>
    </cfRule>
    <cfRule type="expression" dxfId="724" priority="303">
      <formula>Z$9&lt;8/24</formula>
    </cfRule>
  </conditionalFormatting>
  <conditionalFormatting sqref="Z102:AD108">
    <cfRule type="expression" dxfId="723" priority="296">
      <formula>Z$9&gt;=20/24</formula>
    </cfRule>
    <cfRule type="expression" dxfId="722" priority="297">
      <formula>AND(Z$9&gt;=14/24,Z$9&lt;20/24)</formula>
    </cfRule>
    <cfRule type="expression" dxfId="721" priority="298">
      <formula>AND(Z$9&gt;=8/24,Z$9&lt;14/24)</formula>
    </cfRule>
    <cfRule type="expression" dxfId="720" priority="299">
      <formula>Z$9&lt;8/24</formula>
    </cfRule>
  </conditionalFormatting>
  <conditionalFormatting sqref="C111 C113:C119 Z19:AA28 U19:Y24 U27:Y27 AA29:AA30 AA36:AF45 AB19:AF30 AA32:AF34">
    <cfRule type="expression" dxfId="719" priority="292">
      <formula>C$9&gt;=20/24</formula>
    </cfRule>
    <cfRule type="expression" dxfId="718" priority="293">
      <formula>AND(C$9&gt;=14/24,C$9&lt;20/24)</formula>
    </cfRule>
    <cfRule type="expression" dxfId="717" priority="294">
      <formula>AND(C$9&gt;=8/24,C$9&lt;14/24)</formula>
    </cfRule>
    <cfRule type="expression" dxfId="716" priority="295">
      <formula>C$9&lt;8/24</formula>
    </cfRule>
  </conditionalFormatting>
  <conditionalFormatting sqref="E49:S49">
    <cfRule type="expression" dxfId="715" priority="288">
      <formula>E$9&gt;=20/24</formula>
    </cfRule>
    <cfRule type="expression" dxfId="714" priority="289">
      <formula>AND(E$9&gt;=14/24,E$9&lt;20/24)</formula>
    </cfRule>
    <cfRule type="expression" dxfId="713" priority="290">
      <formula>AND(E$9&gt;=8/24,E$9&lt;14/24)</formula>
    </cfRule>
    <cfRule type="expression" dxfId="712" priority="291">
      <formula>E$9&lt;8/24</formula>
    </cfRule>
  </conditionalFormatting>
  <conditionalFormatting sqref="E49:S49 Z19:AA28 U19:Y24 U27:Y27 AA29:AA30 AA36:AF45 AB19:AF30 AA32:AF34">
    <cfRule type="expression" dxfId="711" priority="287">
      <formula>E19&gt;$AG19</formula>
    </cfRule>
  </conditionalFormatting>
  <conditionalFormatting sqref="C101:D101">
    <cfRule type="expression" dxfId="710" priority="283">
      <formula>C$9&gt;=20/24</formula>
    </cfRule>
    <cfRule type="expression" dxfId="709" priority="284">
      <formula>AND(C$9&gt;=14/24,C$9&lt;20/24)</formula>
    </cfRule>
    <cfRule type="expression" dxfId="708" priority="285">
      <formula>AND(C$9&gt;=8/24,C$9&lt;14/24)</formula>
    </cfRule>
    <cfRule type="expression" dxfId="707" priority="286">
      <formula>C$9&lt;8/24</formula>
    </cfRule>
  </conditionalFormatting>
  <conditionalFormatting sqref="C88 C98:W98 C85:AF87 D102:D108 AD77:AD78 E69:Z71 E76:AC78">
    <cfRule type="expression" dxfId="706" priority="279">
      <formula>C$9&gt;=20/24</formula>
    </cfRule>
    <cfRule type="expression" dxfId="705" priority="280">
      <formula>AND(C$9&gt;=14/24,C$9&lt;20/24)</formula>
    </cfRule>
    <cfRule type="expression" dxfId="704" priority="281">
      <formula>AND(C$9&gt;=8/24,C$9&lt;14/24)</formula>
    </cfRule>
    <cfRule type="expression" dxfId="703" priority="282">
      <formula>C$9&lt;8/24</formula>
    </cfRule>
  </conditionalFormatting>
  <conditionalFormatting sqref="E58:L59 E69:Z71">
    <cfRule type="expression" dxfId="702" priority="278">
      <formula>E58&gt;$AG58</formula>
    </cfRule>
  </conditionalFormatting>
  <conditionalFormatting sqref="C73:D73 D56:D59">
    <cfRule type="expression" dxfId="701" priority="220">
      <formula>C$9&gt;=20/24</formula>
    </cfRule>
    <cfRule type="expression" dxfId="700" priority="221">
      <formula>AND(C$9&gt;=14/24,C$9&lt;20/24)</formula>
    </cfRule>
    <cfRule type="expression" dxfId="699" priority="222">
      <formula>AND(C$9&gt;=8/24,C$9&lt;14/24)</formula>
    </cfRule>
    <cfRule type="expression" dxfId="698" priority="223">
      <formula>C$9&lt;8/24</formula>
    </cfRule>
  </conditionalFormatting>
  <conditionalFormatting sqref="C89:AF89 C91:AF91 C100:AF100 C72:AF72">
    <cfRule type="expression" dxfId="697" priority="274">
      <formula>C$9&gt;=20/24</formula>
    </cfRule>
    <cfRule type="expression" dxfId="696" priority="275">
      <formula>AND(C$9&gt;=14/24,C$9&lt;20/24)</formula>
    </cfRule>
    <cfRule type="expression" dxfId="695" priority="276">
      <formula>AND(C$9&gt;=8/24,C$9&lt;14/24)</formula>
    </cfRule>
    <cfRule type="expression" dxfId="694" priority="277">
      <formula>C$9&lt;8/24</formula>
    </cfRule>
  </conditionalFormatting>
  <conditionalFormatting sqref="C72:AF72 D67:AF68">
    <cfRule type="expression" dxfId="693" priority="273">
      <formula>C67&gt;$AG67</formula>
    </cfRule>
  </conditionalFormatting>
  <conditionalFormatting sqref="C84:AF84">
    <cfRule type="expression" dxfId="692" priority="269">
      <formula>C$9&gt;=20/24</formula>
    </cfRule>
    <cfRule type="expression" dxfId="691" priority="270">
      <formula>AND(C$9&gt;=14/24,C$9&lt;20/24)</formula>
    </cfRule>
    <cfRule type="expression" dxfId="690" priority="271">
      <formula>AND(C$9&gt;=8/24,C$9&lt;14/24)</formula>
    </cfRule>
    <cfRule type="expression" dxfId="689" priority="272">
      <formula>C$9&lt;8/24</formula>
    </cfRule>
  </conditionalFormatting>
  <conditionalFormatting sqref="C93:W97">
    <cfRule type="expression" dxfId="688" priority="265">
      <formula>C$9&gt;=20/24</formula>
    </cfRule>
    <cfRule type="expression" dxfId="687" priority="266">
      <formula>AND(C$9&gt;=14/24,C$9&lt;20/24)</formula>
    </cfRule>
    <cfRule type="expression" dxfId="686" priority="267">
      <formula>AND(C$9&gt;=8/24,C$9&lt;14/24)</formula>
    </cfRule>
    <cfRule type="expression" dxfId="685" priority="268">
      <formula>C$9&lt;8/24</formula>
    </cfRule>
  </conditionalFormatting>
  <conditionalFormatting sqref="D54:AF54">
    <cfRule type="expression" dxfId="684" priority="261">
      <formula>D$9&gt;=20/24</formula>
    </cfRule>
    <cfRule type="expression" dxfId="683" priority="262">
      <formula>AND(D$9&gt;=14/24,D$9&lt;20/24)</formula>
    </cfRule>
    <cfRule type="expression" dxfId="682" priority="263">
      <formula>AND(D$9&gt;=8/24,D$9&lt;14/24)</formula>
    </cfRule>
    <cfRule type="expression" dxfId="681" priority="264">
      <formula>D$9&lt;8/24</formula>
    </cfRule>
  </conditionalFormatting>
  <conditionalFormatting sqref="D54:AF54">
    <cfRule type="expression" dxfId="680" priority="260">
      <formula>D54&gt;$AG54</formula>
    </cfRule>
  </conditionalFormatting>
  <conditionalFormatting sqref="C112">
    <cfRule type="expression" dxfId="679" priority="252">
      <formula>C$9&gt;=20/24</formula>
    </cfRule>
    <cfRule type="expression" dxfId="678" priority="253">
      <formula>AND(C$9&gt;=14/24,C$9&lt;20/24)</formula>
    </cfRule>
    <cfRule type="expression" dxfId="677" priority="254">
      <formula>AND(C$9&gt;=8/24,C$9&lt;14/24)</formula>
    </cfRule>
    <cfRule type="expression" dxfId="676" priority="255">
      <formula>C$9&lt;8/24</formula>
    </cfRule>
  </conditionalFormatting>
  <conditionalFormatting sqref="AA61:AD66">
    <cfRule type="expression" dxfId="675" priority="248">
      <formula>AA$9&gt;=20/24</formula>
    </cfRule>
    <cfRule type="expression" dxfId="674" priority="249">
      <formula>AND(AA$9&gt;=14/24,AA$9&lt;20/24)</formula>
    </cfRule>
    <cfRule type="expression" dxfId="673" priority="250">
      <formula>AND(AA$9&gt;=8/24,AA$9&lt;14/24)</formula>
    </cfRule>
    <cfRule type="expression" dxfId="672" priority="251">
      <formula>AA$9&lt;8/24</formula>
    </cfRule>
  </conditionalFormatting>
  <conditionalFormatting sqref="AA61:AD66">
    <cfRule type="expression" dxfId="671" priority="247">
      <formula>AA61&gt;$AG61</formula>
    </cfRule>
  </conditionalFormatting>
  <conditionalFormatting sqref="AA47:AF47">
    <cfRule type="expression" dxfId="670" priority="246">
      <formula>AA47&gt;$AG47</formula>
    </cfRule>
  </conditionalFormatting>
  <conditionalFormatting sqref="U13:AF13">
    <cfRule type="expression" dxfId="669" priority="242">
      <formula>U$9&gt;=20/24</formula>
    </cfRule>
    <cfRule type="expression" dxfId="668" priority="243">
      <formula>AND(U$9&gt;=14/24,U$9&lt;20/24)</formula>
    </cfRule>
    <cfRule type="expression" dxfId="667" priority="244">
      <formula>AND(U$9&gt;=8/24,U$9&lt;14/24)</formula>
    </cfRule>
    <cfRule type="expression" dxfId="666" priority="245">
      <formula>U$9&lt;8/24</formula>
    </cfRule>
  </conditionalFormatting>
  <conditionalFormatting sqref="U13:AF13">
    <cfRule type="expression" dxfId="665" priority="241">
      <formula>U13&gt;$AG13</formula>
    </cfRule>
  </conditionalFormatting>
  <conditionalFormatting sqref="AA47:AF47">
    <cfRule type="expression" dxfId="664" priority="237">
      <formula>AA$9&gt;=20/24</formula>
    </cfRule>
    <cfRule type="expression" dxfId="663" priority="238">
      <formula>AND(AA$9&gt;=14/24,AA$9&lt;20/24)</formula>
    </cfRule>
    <cfRule type="expression" dxfId="662" priority="239">
      <formula>AND(AA$9&gt;=8/24,AA$9&lt;14/24)</formula>
    </cfRule>
    <cfRule type="expression" dxfId="661" priority="240">
      <formula>AA$9&lt;8/24</formula>
    </cfRule>
  </conditionalFormatting>
  <conditionalFormatting sqref="E79:AD83">
    <cfRule type="expression" dxfId="660" priority="233">
      <formula>E$9&gt;=20/24</formula>
    </cfRule>
    <cfRule type="expression" dxfId="659" priority="234">
      <formula>AND(E$9&gt;=14/24,E$9&lt;20/24)</formula>
    </cfRule>
    <cfRule type="expression" dxfId="658" priority="235">
      <formula>AND(E$9&gt;=8/24,E$9&lt;14/24)</formula>
    </cfRule>
    <cfRule type="expression" dxfId="657" priority="236">
      <formula>E$9&lt;8/24</formula>
    </cfRule>
  </conditionalFormatting>
  <conditionalFormatting sqref="AL80:AN80 AL86:AN86 AN81:AN82">
    <cfRule type="expression" dxfId="656" priority="229">
      <formula>AL$9&gt;=20/24</formula>
    </cfRule>
    <cfRule type="expression" dxfId="655" priority="230">
      <formula>AND(AL$9&gt;=14/24,AL$9&lt;20/24)</formula>
    </cfRule>
    <cfRule type="expression" dxfId="654" priority="231">
      <formula>AND(AL$9&gt;=8/24,AL$9&lt;14/24)</formula>
    </cfRule>
    <cfRule type="expression" dxfId="653" priority="232">
      <formula>AL$9&lt;8/24</formula>
    </cfRule>
  </conditionalFormatting>
  <conditionalFormatting sqref="AN83:AN84">
    <cfRule type="expression" dxfId="652" priority="225">
      <formula>AN$9&gt;=20/24</formula>
    </cfRule>
    <cfRule type="expression" dxfId="651" priority="226">
      <formula>AND(AN$9&gt;=14/24,AN$9&lt;20/24)</formula>
    </cfRule>
    <cfRule type="expression" dxfId="650" priority="227">
      <formula>AND(AN$9&gt;=8/24,AN$9&lt;14/24)</formula>
    </cfRule>
    <cfRule type="expression" dxfId="649" priority="228">
      <formula>AN$9&lt;8/24</formula>
    </cfRule>
  </conditionalFormatting>
  <conditionalFormatting sqref="AL81:AM85">
    <cfRule type="expression" dxfId="648" priority="433">
      <formula>AJ$9&gt;=20/24</formula>
    </cfRule>
    <cfRule type="expression" dxfId="647" priority="434">
      <formula>AND(AJ$9&gt;=14/24,AJ$9&lt;20/24)</formula>
    </cfRule>
    <cfRule type="expression" dxfId="646" priority="435">
      <formula>AND(AJ$9&gt;=8/24,AJ$9&lt;14/24)</formula>
    </cfRule>
    <cfRule type="expression" dxfId="645" priority="436">
      <formula>AJ$9&lt;8/24</formula>
    </cfRule>
  </conditionalFormatting>
  <conditionalFormatting sqref="A120">
    <cfRule type="expression" dxfId="644" priority="224">
      <formula>$AH120=0</formula>
    </cfRule>
  </conditionalFormatting>
  <conditionalFormatting sqref="D55">
    <cfRule type="expression" dxfId="643" priority="216">
      <formula>D$9&gt;=20/24</formula>
    </cfRule>
    <cfRule type="expression" dxfId="642" priority="217">
      <formula>AND(D$9&gt;=14/24,D$9&lt;20/24)</formula>
    </cfRule>
    <cfRule type="expression" dxfId="641" priority="218">
      <formula>AND(D$9&gt;=8/24,D$9&lt;14/24)</formula>
    </cfRule>
    <cfRule type="expression" dxfId="640" priority="219">
      <formula>D$9&lt;8/24</formula>
    </cfRule>
  </conditionalFormatting>
  <conditionalFormatting sqref="D55:D59">
    <cfRule type="expression" dxfId="639" priority="215">
      <formula>D55&gt;$AG55</formula>
    </cfRule>
  </conditionalFormatting>
  <conditionalFormatting sqref="C74:D76 C102:C108 D69:D71 D77:D83">
    <cfRule type="expression" dxfId="638" priority="211">
      <formula>C$9&gt;=20/24</formula>
    </cfRule>
    <cfRule type="expression" dxfId="637" priority="212">
      <formula>AND(C$9&gt;=14/24,C$9&lt;20/24)</formula>
    </cfRule>
    <cfRule type="expression" dxfId="636" priority="213">
      <formula>AND(C$9&gt;=8/24,C$9&lt;14/24)</formula>
    </cfRule>
    <cfRule type="expression" dxfId="635" priority="214">
      <formula>C$9&lt;8/24</formula>
    </cfRule>
  </conditionalFormatting>
  <conditionalFormatting sqref="D69:D71">
    <cfRule type="expression" dxfId="634" priority="210">
      <formula>D69&gt;$AG69</formula>
    </cfRule>
  </conditionalFormatting>
  <conditionalFormatting sqref="C90">
    <cfRule type="expression" dxfId="633" priority="206">
      <formula>C$9&gt;=20/24</formula>
    </cfRule>
    <cfRule type="expression" dxfId="632" priority="207">
      <formula>AND(C$9&gt;=14/24,C$9&lt;20/24)</formula>
    </cfRule>
    <cfRule type="expression" dxfId="631" priority="208">
      <formula>AND(C$9&gt;=8/24,C$9&lt;14/24)</formula>
    </cfRule>
    <cfRule type="expression" dxfId="630" priority="209">
      <formula>C$9&lt;8/24</formula>
    </cfRule>
  </conditionalFormatting>
  <conditionalFormatting sqref="AA48:AF48">
    <cfRule type="expression" dxfId="629" priority="202">
      <formula>AA$9&gt;=20/24</formula>
    </cfRule>
    <cfRule type="expression" dxfId="628" priority="203">
      <formula>AND(AA$9&gt;=14/24,AA$9&lt;20/24)</formula>
    </cfRule>
    <cfRule type="expression" dxfId="627" priority="204">
      <formula>AND(AA$9&gt;=8/24,AA$9&lt;14/24)</formula>
    </cfRule>
    <cfRule type="expression" dxfId="626" priority="205">
      <formula>AA$9&lt;8/24</formula>
    </cfRule>
  </conditionalFormatting>
  <conditionalFormatting sqref="AA48:AF48">
    <cfRule type="expression" dxfId="625" priority="201">
      <formula>AA48&gt;$AG48</formula>
    </cfRule>
  </conditionalFormatting>
  <conditionalFormatting sqref="D60:R60">
    <cfRule type="expression" dxfId="624" priority="197">
      <formula>D$9&gt;=20/24</formula>
    </cfRule>
    <cfRule type="expression" dxfId="623" priority="198">
      <formula>AND(D$9&gt;=14/24,D$9&lt;20/24)</formula>
    </cfRule>
    <cfRule type="expression" dxfId="622" priority="199">
      <formula>AND(D$9&gt;=8/24,D$9&lt;14/24)</formula>
    </cfRule>
    <cfRule type="expression" dxfId="621" priority="200">
      <formula>D$9&lt;8/24</formula>
    </cfRule>
  </conditionalFormatting>
  <conditionalFormatting sqref="D60:R60">
    <cfRule type="expression" dxfId="620" priority="196">
      <formula>D60&gt;$AG60</formula>
    </cfRule>
  </conditionalFormatting>
  <conditionalFormatting sqref="B88 B98 B102:B108 B74:B76 B69:C71 B49:D49">
    <cfRule type="expression" dxfId="619" priority="126">
      <formula>B$9&gt;=20/24</formula>
    </cfRule>
    <cfRule type="expression" dxfId="618" priority="127">
      <formula>AND(B$9&gt;=14/24,B$9&lt;20/24)</formula>
    </cfRule>
    <cfRule type="expression" dxfId="617" priority="128">
      <formula>AND(B$9&gt;=8/24,B$9&lt;14/24)</formula>
    </cfRule>
    <cfRule type="expression" dxfId="616" priority="129">
      <formula>B$9&lt;8/24</formula>
    </cfRule>
  </conditionalFormatting>
  <conditionalFormatting sqref="B60:C60">
    <cfRule type="expression" dxfId="615" priority="117">
      <formula>B$9&gt;=20/24</formula>
    </cfRule>
    <cfRule type="expression" dxfId="614" priority="118">
      <formula>AND(B$9&gt;=14/24,B$9&lt;20/24)</formula>
    </cfRule>
    <cfRule type="expression" dxfId="613" priority="119">
      <formula>AND(B$9&gt;=8/24,B$9&lt;14/24)</formula>
    </cfRule>
    <cfRule type="expression" dxfId="612" priority="120">
      <formula>B$9&lt;8/24</formula>
    </cfRule>
  </conditionalFormatting>
  <conditionalFormatting sqref="C77:C78">
    <cfRule type="expression" dxfId="611" priority="192">
      <formula>C$9&gt;=20/24</formula>
    </cfRule>
    <cfRule type="expression" dxfId="610" priority="193">
      <formula>AND(C$9&gt;=14/24,C$9&lt;20/24)</formula>
    </cfRule>
    <cfRule type="expression" dxfId="609" priority="194">
      <formula>AND(C$9&gt;=8/24,C$9&lt;14/24)</formula>
    </cfRule>
    <cfRule type="expression" dxfId="608" priority="195">
      <formula>C$9&lt;8/24</formula>
    </cfRule>
  </conditionalFormatting>
  <conditionalFormatting sqref="E50:AF50">
    <cfRule type="expression" dxfId="607" priority="191">
      <formula>E50&gt;$AG50</formula>
    </cfRule>
  </conditionalFormatting>
  <conditionalFormatting sqref="D61:Z66">
    <cfRule type="expression" dxfId="606" priority="187">
      <formula>D$9&gt;=20/24</formula>
    </cfRule>
    <cfRule type="expression" dxfId="605" priority="188">
      <formula>AND(D$9&gt;=14/24,D$9&lt;20/24)</formula>
    </cfRule>
    <cfRule type="expression" dxfId="604" priority="189">
      <formula>AND(D$9&gt;=8/24,D$9&lt;14/24)</formula>
    </cfRule>
    <cfRule type="expression" dxfId="603" priority="190">
      <formula>D$9&lt;8/24</formula>
    </cfRule>
  </conditionalFormatting>
  <conditionalFormatting sqref="D61:Z66">
    <cfRule type="expression" dxfId="602" priority="186">
      <formula>D61&gt;$AG61</formula>
    </cfRule>
  </conditionalFormatting>
  <conditionalFormatting sqref="C79:C83">
    <cfRule type="expression" dxfId="601" priority="182">
      <formula>C$9&gt;=20/24</formula>
    </cfRule>
    <cfRule type="expression" dxfId="600" priority="183">
      <formula>AND(C$9&gt;=14/24,C$9&lt;20/24)</formula>
    </cfRule>
    <cfRule type="expression" dxfId="599" priority="184">
      <formula>AND(C$9&gt;=8/24,C$9&lt;14/24)</formula>
    </cfRule>
    <cfRule type="expression" dxfId="598" priority="185">
      <formula>C$9&lt;8/24</formula>
    </cfRule>
  </conditionalFormatting>
  <conditionalFormatting sqref="A11">
    <cfRule type="expression" dxfId="597" priority="181">
      <formula>$AH11=0</formula>
    </cfRule>
  </conditionalFormatting>
  <conditionalFormatting sqref="U11:AF11">
    <cfRule type="expression" dxfId="596" priority="177">
      <formula>U$9&gt;=20/24</formula>
    </cfRule>
    <cfRule type="expression" dxfId="595" priority="178">
      <formula>AND(U$9&gt;=14/24,U$9&lt;20/24)</formula>
    </cfRule>
    <cfRule type="expression" dxfId="594" priority="179">
      <formula>AND(U$9&gt;=8/24,U$9&lt;14/24)</formula>
    </cfRule>
    <cfRule type="expression" dxfId="593" priority="180">
      <formula>U$9&lt;8/24</formula>
    </cfRule>
  </conditionalFormatting>
  <conditionalFormatting sqref="U11:AF11">
    <cfRule type="expression" dxfId="592" priority="176">
      <formula>U11&gt;$AG11</formula>
    </cfRule>
  </conditionalFormatting>
  <conditionalFormatting sqref="A18">
    <cfRule type="expression" dxfId="591" priority="174">
      <formula>$AH18=0</formula>
    </cfRule>
  </conditionalFormatting>
  <conditionalFormatting sqref="AL1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U18:AF18">
    <cfRule type="expression" dxfId="590" priority="170">
      <formula>U$9&gt;=20/24</formula>
    </cfRule>
    <cfRule type="expression" dxfId="589" priority="171">
      <formula>AND(U$9&gt;=14/24,U$9&lt;20/24)</formula>
    </cfRule>
    <cfRule type="expression" dxfId="588" priority="172">
      <formula>AND(U$9&gt;=8/24,U$9&lt;14/24)</formula>
    </cfRule>
    <cfRule type="expression" dxfId="587" priority="173">
      <formula>U$9&lt;8/24</formula>
    </cfRule>
  </conditionalFormatting>
  <conditionalFormatting sqref="U18:AF18">
    <cfRule type="expression" dxfId="586" priority="169">
      <formula>U18&gt;$AG18</formula>
    </cfRule>
  </conditionalFormatting>
  <conditionalFormatting sqref="A35">
    <cfRule type="expression" dxfId="585" priority="167">
      <formula>$AH35=0</formula>
    </cfRule>
  </conditionalFormatting>
  <conditionalFormatting sqref="AL3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584" priority="163">
      <formula>AA$9&gt;=20/24</formula>
    </cfRule>
    <cfRule type="expression" dxfId="583" priority="164">
      <formula>AND(AA$9&gt;=14/24,AA$9&lt;20/24)</formula>
    </cfRule>
    <cfRule type="expression" dxfId="582" priority="165">
      <formula>AND(AA$9&gt;=8/24,AA$9&lt;14/24)</formula>
    </cfRule>
    <cfRule type="expression" dxfId="581" priority="166">
      <formula>AA$9&lt;8/24</formula>
    </cfRule>
  </conditionalFormatting>
  <conditionalFormatting sqref="AA35:AF35">
    <cfRule type="expression" dxfId="580" priority="162">
      <formula>AA35&gt;$AG35</formula>
    </cfRule>
  </conditionalFormatting>
  <conditionalFormatting sqref="A46">
    <cfRule type="expression" dxfId="579" priority="160">
      <formula>$AH46=0</formula>
    </cfRule>
  </conditionalFormatting>
  <conditionalFormatting sqref="AL4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578" priority="159">
      <formula>AA46&gt;$AG46</formula>
    </cfRule>
  </conditionalFormatting>
  <conditionalFormatting sqref="AA46:AF46">
    <cfRule type="expression" dxfId="577" priority="155">
      <formula>AA$9&gt;=20/24</formula>
    </cfRule>
    <cfRule type="expression" dxfId="576" priority="156">
      <formula>AND(AA$9&gt;=14/24,AA$9&lt;20/24)</formula>
    </cfRule>
    <cfRule type="expression" dxfId="575" priority="157">
      <formula>AND(AA$9&gt;=8/24,AA$9&lt;14/24)</formula>
    </cfRule>
    <cfRule type="expression" dxfId="574" priority="158">
      <formula>AA$9&lt;8/24</formula>
    </cfRule>
  </conditionalFormatting>
  <conditionalFormatting sqref="B120">
    <cfRule type="expression" dxfId="573" priority="27">
      <formula>B$9&gt;=20/24</formula>
    </cfRule>
    <cfRule type="expression" dxfId="572" priority="28">
      <formula>AND(B$9&gt;=14/24,B$9&lt;20/24)</formula>
    </cfRule>
    <cfRule type="expression" dxfId="571" priority="29">
      <formula>AND(B$9&gt;=8/24,B$9&lt;14/24)</formula>
    </cfRule>
    <cfRule type="expression" dxfId="570" priority="30">
      <formula>B$9&lt;8/24</formula>
    </cfRule>
  </conditionalFormatting>
  <conditionalFormatting sqref="D120:AF120">
    <cfRule type="expression" dxfId="569" priority="151">
      <formula>D$9&gt;=20/24</formula>
    </cfRule>
    <cfRule type="expression" dxfId="568" priority="152">
      <formula>AND(D$9&gt;=14/24,D$9&lt;20/24)</formula>
    </cfRule>
    <cfRule type="expression" dxfId="567" priority="153">
      <formula>AND(D$9&gt;=8/24,D$9&lt;14/24)</formula>
    </cfRule>
    <cfRule type="expression" dxfId="566" priority="154">
      <formula>D$9&lt;8/24</formula>
    </cfRule>
  </conditionalFormatting>
  <conditionalFormatting sqref="C120">
    <cfRule type="expression" dxfId="565" priority="147">
      <formula>C$9&gt;=20/24</formula>
    </cfRule>
    <cfRule type="expression" dxfId="564" priority="148">
      <formula>AND(C$9&gt;=14/24,C$9&lt;20/24)</formula>
    </cfRule>
    <cfRule type="expression" dxfId="563" priority="149">
      <formula>AND(C$9&gt;=8/24,C$9&lt;14/24)</formula>
    </cfRule>
    <cfRule type="expression" dxfId="562" priority="150">
      <formula>C$9&lt;8/24</formula>
    </cfRule>
  </conditionalFormatting>
  <conditionalFormatting sqref="B111 B113:B119">
    <cfRule type="expression" dxfId="561" priority="143">
      <formula>B$9&gt;=20/24</formula>
    </cfRule>
    <cfRule type="expression" dxfId="560" priority="144">
      <formula>AND(B$9&gt;=14/24,B$9&lt;20/24)</formula>
    </cfRule>
    <cfRule type="expression" dxfId="559" priority="145">
      <formula>AND(B$9&gt;=8/24,B$9&lt;14/24)</formula>
    </cfRule>
    <cfRule type="expression" dxfId="558" priority="146">
      <formula>B$9&lt;8/24</formula>
    </cfRule>
  </conditionalFormatting>
  <conditionalFormatting sqref="B101">
    <cfRule type="expression" dxfId="557" priority="139">
      <formula>B$9&gt;=20/24</formula>
    </cfRule>
    <cfRule type="expression" dxfId="556" priority="140">
      <formula>AND(B$9&gt;=14/24,B$9&lt;20/24)</formula>
    </cfRule>
    <cfRule type="expression" dxfId="555" priority="141">
      <formula>AND(B$9&gt;=8/24,B$9&lt;14/24)</formula>
    </cfRule>
    <cfRule type="expression" dxfId="554" priority="142">
      <formula>B$9&lt;8/24</formula>
    </cfRule>
  </conditionalFormatting>
  <conditionalFormatting sqref="B73 B56:C59">
    <cfRule type="expression" dxfId="553" priority="135">
      <formula>B$9&gt;=20/24</formula>
    </cfRule>
    <cfRule type="expression" dxfId="552" priority="136">
      <formula>AND(B$9&gt;=14/24,B$9&lt;20/24)</formula>
    </cfRule>
    <cfRule type="expression" dxfId="551" priority="137">
      <formula>AND(B$9&gt;=8/24,B$9&lt;14/24)</formula>
    </cfRule>
    <cfRule type="expression" dxfId="550" priority="138">
      <formula>B$9&lt;8/24</formula>
    </cfRule>
  </conditionalFormatting>
  <conditionalFormatting sqref="B55:C55">
    <cfRule type="expression" dxfId="549" priority="131">
      <formula>B$9&gt;=20/24</formula>
    </cfRule>
    <cfRule type="expression" dxfId="548" priority="132">
      <formula>AND(B$9&gt;=14/24,B$9&lt;20/24)</formula>
    </cfRule>
    <cfRule type="expression" dxfId="547" priority="133">
      <formula>AND(B$9&gt;=8/24,B$9&lt;14/24)</formula>
    </cfRule>
    <cfRule type="expression" dxfId="546" priority="134">
      <formula>B$9&lt;8/24</formula>
    </cfRule>
  </conditionalFormatting>
  <conditionalFormatting sqref="B55:C59">
    <cfRule type="expression" dxfId="545" priority="130">
      <formula>B55&gt;$AG55</formula>
    </cfRule>
  </conditionalFormatting>
  <conditionalFormatting sqref="B69:C71 B49:D49">
    <cfRule type="expression" dxfId="544" priority="125">
      <formula>B49&gt;$AG49</formula>
    </cfRule>
  </conditionalFormatting>
  <conditionalFormatting sqref="B99 B90">
    <cfRule type="expression" dxfId="543" priority="121">
      <formula>B$9&gt;=20/24</formula>
    </cfRule>
    <cfRule type="expression" dxfId="542" priority="122">
      <formula>AND(B$9&gt;=14/24,B$9&lt;20/24)</formula>
    </cfRule>
    <cfRule type="expression" dxfId="541" priority="123">
      <formula>AND(B$9&gt;=8/24,B$9&lt;14/24)</formula>
    </cfRule>
    <cfRule type="expression" dxfId="540" priority="124">
      <formula>B$9&lt;8/24</formula>
    </cfRule>
  </conditionalFormatting>
  <conditionalFormatting sqref="B60:C60">
    <cfRule type="expression" dxfId="539" priority="116">
      <formula>B60&gt;$AG60</formula>
    </cfRule>
  </conditionalFormatting>
  <conditionalFormatting sqref="B93:B97">
    <cfRule type="expression" dxfId="538" priority="112">
      <formula>B$9&gt;=20/24</formula>
    </cfRule>
    <cfRule type="expression" dxfId="537" priority="113">
      <formula>AND(B$9&gt;=14/24,B$9&lt;20/24)</formula>
    </cfRule>
    <cfRule type="expression" dxfId="536" priority="114">
      <formula>AND(B$9&gt;=8/24,B$9&lt;14/24)</formula>
    </cfRule>
    <cfRule type="expression" dxfId="535" priority="115">
      <formula>B$9&lt;8/24</formula>
    </cfRule>
  </conditionalFormatting>
  <conditionalFormatting sqref="B51:D53">
    <cfRule type="expression" dxfId="534" priority="108">
      <formula>B$9&gt;=20/24</formula>
    </cfRule>
    <cfRule type="expression" dxfId="533" priority="109">
      <formula>AND(B$9&gt;=14/24,B$9&lt;20/24)</formula>
    </cfRule>
    <cfRule type="expression" dxfId="532" priority="110">
      <formula>AND(B$9&gt;=8/24,B$9&lt;14/24)</formula>
    </cfRule>
    <cfRule type="expression" dxfId="531" priority="111">
      <formula>B$9&lt;8/24</formula>
    </cfRule>
  </conditionalFormatting>
  <conditionalFormatting sqref="B51:D53">
    <cfRule type="expression" dxfId="530" priority="107">
      <formula>B51&gt;$AG51</formula>
    </cfRule>
  </conditionalFormatting>
  <conditionalFormatting sqref="B109">
    <cfRule type="expression" dxfId="529" priority="103">
      <formula>B$9&gt;=20/24</formula>
    </cfRule>
    <cfRule type="expression" dxfId="528" priority="104">
      <formula>AND(B$9&gt;=14/24,B$9&lt;20/24)</formula>
    </cfRule>
    <cfRule type="expression" dxfId="527" priority="105">
      <formula>AND(B$9&gt;=8/24,B$9&lt;14/24)</formula>
    </cfRule>
    <cfRule type="expression" dxfId="526" priority="106">
      <formula>B$9&lt;8/24</formula>
    </cfRule>
  </conditionalFormatting>
  <conditionalFormatting sqref="B112">
    <cfRule type="expression" dxfId="525" priority="99">
      <formula>B$9&gt;=20/24</formula>
    </cfRule>
    <cfRule type="expression" dxfId="524" priority="100">
      <formula>AND(B$9&gt;=14/24,B$9&lt;20/24)</formula>
    </cfRule>
    <cfRule type="expression" dxfId="523" priority="101">
      <formula>AND(B$9&gt;=8/24,B$9&lt;14/24)</formula>
    </cfRule>
    <cfRule type="expression" dxfId="522" priority="102">
      <formula>B$9&lt;8/24</formula>
    </cfRule>
  </conditionalFormatting>
  <conditionalFormatting sqref="B19:T30 U25:Y26 U28:Y30 B36:Z45 Z29:Z30 B32:Z34 B31:AF31">
    <cfRule type="expression" dxfId="521" priority="95">
      <formula>B$9&gt;=20/24</formula>
    </cfRule>
    <cfRule type="expression" dxfId="520" priority="96">
      <formula>AND(B$9&gt;=14/24,B$9&lt;20/24)</formula>
    </cfRule>
    <cfRule type="expression" dxfId="519" priority="97">
      <formula>AND(B$9&gt;=8/24,B$9&lt;14/24)</formula>
    </cfRule>
    <cfRule type="expression" dxfId="518" priority="98">
      <formula>B$9&lt;8/24</formula>
    </cfRule>
  </conditionalFormatting>
  <conditionalFormatting sqref="B19:T30 U25:Y26 U28:Y30 B36:Z45 Z29:Z30 B32:Z34 B31:AF31">
    <cfRule type="expression" dxfId="517" priority="94">
      <formula>B19&gt;$AG19</formula>
    </cfRule>
  </conditionalFormatting>
  <conditionalFormatting sqref="B85:B87 B77:B83">
    <cfRule type="expression" dxfId="516" priority="90">
      <formula>B$9&gt;=20/24</formula>
    </cfRule>
    <cfRule type="expression" dxfId="515" priority="91">
      <formula>AND(B$9&gt;=14/24,B$9&lt;20/24)</formula>
    </cfRule>
    <cfRule type="expression" dxfId="514" priority="92">
      <formula>AND(B$9&gt;=8/24,B$9&lt;14/24)</formula>
    </cfRule>
    <cfRule type="expression" dxfId="513" priority="93">
      <formula>B$9&lt;8/24</formula>
    </cfRule>
  </conditionalFormatting>
  <conditionalFormatting sqref="B89 B91 B100 B72">
    <cfRule type="expression" dxfId="512" priority="86">
      <formula>B$9&gt;=20/24</formula>
    </cfRule>
    <cfRule type="expression" dxfId="511" priority="87">
      <formula>AND(B$9&gt;=14/24,B$9&lt;20/24)</formula>
    </cfRule>
    <cfRule type="expression" dxfId="510" priority="88">
      <formula>AND(B$9&gt;=8/24,B$9&lt;14/24)</formula>
    </cfRule>
    <cfRule type="expression" dxfId="509" priority="89">
      <formula>B$9&lt;8/24</formula>
    </cfRule>
  </conditionalFormatting>
  <conditionalFormatting sqref="B72 B67:C68">
    <cfRule type="expression" dxfId="508" priority="85">
      <formula>B67&gt;$AG67</formula>
    </cfRule>
  </conditionalFormatting>
  <conditionalFormatting sqref="B84">
    <cfRule type="expression" dxfId="507" priority="81">
      <formula>B$9&gt;=20/24</formula>
    </cfRule>
    <cfRule type="expression" dxfId="506" priority="82">
      <formula>AND(B$9&gt;=14/24,B$9&lt;20/24)</formula>
    </cfRule>
    <cfRule type="expression" dxfId="505" priority="83">
      <formula>AND(B$9&gt;=8/24,B$9&lt;14/24)</formula>
    </cfRule>
    <cfRule type="expression" dxfId="504" priority="84">
      <formula>B$9&lt;8/24</formula>
    </cfRule>
  </conditionalFormatting>
  <conditionalFormatting sqref="B54:C54">
    <cfRule type="expression" dxfId="503" priority="77">
      <formula>B$9&gt;=20/24</formula>
    </cfRule>
    <cfRule type="expression" dxfId="502" priority="78">
      <formula>AND(B$9&gt;=14/24,B$9&lt;20/24)</formula>
    </cfRule>
    <cfRule type="expression" dxfId="501" priority="79">
      <formula>AND(B$9&gt;=8/24,B$9&lt;14/24)</formula>
    </cfRule>
    <cfRule type="expression" dxfId="500" priority="80">
      <formula>B$9&lt;8/24</formula>
    </cfRule>
  </conditionalFormatting>
  <conditionalFormatting sqref="B54:C54">
    <cfRule type="expression" dxfId="499" priority="76">
      <formula>B54&gt;$AG54</formula>
    </cfRule>
  </conditionalFormatting>
  <conditionalFormatting sqref="B61:C66">
    <cfRule type="expression" dxfId="498" priority="68">
      <formula>B$9&gt;=20/24</formula>
    </cfRule>
    <cfRule type="expression" dxfId="497" priority="69">
      <formula>AND(B$9&gt;=14/24,B$9&lt;20/24)</formula>
    </cfRule>
    <cfRule type="expression" dxfId="496" priority="70">
      <formula>AND(B$9&gt;=8/24,B$9&lt;14/24)</formula>
    </cfRule>
    <cfRule type="expression" dxfId="495" priority="71">
      <formula>B$9&lt;8/24</formula>
    </cfRule>
  </conditionalFormatting>
  <conditionalFormatting sqref="B61:C66">
    <cfRule type="expression" dxfId="494" priority="67">
      <formula>B61&gt;$AG61</formula>
    </cfRule>
  </conditionalFormatting>
  <conditionalFormatting sqref="B47:Z47">
    <cfRule type="expression" dxfId="493" priority="66">
      <formula>B47&gt;$AG47</formula>
    </cfRule>
  </conditionalFormatting>
  <conditionalFormatting sqref="B13:T13">
    <cfRule type="expression" dxfId="492" priority="62">
      <formula>B$9&gt;=20/24</formula>
    </cfRule>
    <cfRule type="expression" dxfId="491" priority="63">
      <formula>AND(B$9&gt;=14/24,B$9&lt;20/24)</formula>
    </cfRule>
    <cfRule type="expression" dxfId="490" priority="64">
      <formula>AND(B$9&gt;=8/24,B$9&lt;14/24)</formula>
    </cfRule>
    <cfRule type="expression" dxfId="489" priority="65">
      <formula>B$9&lt;8/24</formula>
    </cfRule>
  </conditionalFormatting>
  <conditionalFormatting sqref="B13:T13">
    <cfRule type="expression" dxfId="488" priority="61">
      <formula>B13&gt;$AG13</formula>
    </cfRule>
  </conditionalFormatting>
  <conditionalFormatting sqref="B47:Z47">
    <cfRule type="expression" dxfId="487" priority="57">
      <formula>B$9&gt;=20/24</formula>
    </cfRule>
    <cfRule type="expression" dxfId="486" priority="58">
      <formula>AND(B$9&gt;=14/24,B$9&lt;20/24)</formula>
    </cfRule>
    <cfRule type="expression" dxfId="485" priority="59">
      <formula>AND(B$9&gt;=8/24,B$9&lt;14/24)</formula>
    </cfRule>
    <cfRule type="expression" dxfId="484" priority="60">
      <formula>B$9&lt;8/24</formula>
    </cfRule>
  </conditionalFormatting>
  <conditionalFormatting sqref="B48:Z48">
    <cfRule type="expression" dxfId="483" priority="53">
      <formula>B$9&gt;=20/24</formula>
    </cfRule>
    <cfRule type="expression" dxfId="482" priority="54">
      <formula>AND(B$9&gt;=14/24,B$9&lt;20/24)</formula>
    </cfRule>
    <cfRule type="expression" dxfId="481" priority="55">
      <formula>AND(B$9&gt;=8/24,B$9&lt;14/24)</formula>
    </cfRule>
    <cfRule type="expression" dxfId="480" priority="56">
      <formula>B$9&lt;8/24</formula>
    </cfRule>
  </conditionalFormatting>
  <conditionalFormatting sqref="B48:Z48">
    <cfRule type="expression" dxfId="479" priority="52">
      <formula>B48&gt;$AG48</formula>
    </cfRule>
  </conditionalFormatting>
  <conditionalFormatting sqref="B50:D50">
    <cfRule type="expression" dxfId="478" priority="51">
      <formula>B50&gt;$AG50</formula>
    </cfRule>
  </conditionalFormatting>
  <conditionalFormatting sqref="B11:T11">
    <cfRule type="expression" dxfId="477" priority="47">
      <formula>B$9&gt;=20/24</formula>
    </cfRule>
    <cfRule type="expression" dxfId="476" priority="48">
      <formula>AND(B$9&gt;=14/24,B$9&lt;20/24)</formula>
    </cfRule>
    <cfRule type="expression" dxfId="475" priority="49">
      <formula>AND(B$9&gt;=8/24,B$9&lt;14/24)</formula>
    </cfRule>
    <cfRule type="expression" dxfId="474" priority="50">
      <formula>B$9&lt;8/24</formula>
    </cfRule>
  </conditionalFormatting>
  <conditionalFormatting sqref="B11:T11">
    <cfRule type="expression" dxfId="473" priority="46">
      <formula>B11&gt;$AG11</formula>
    </cfRule>
  </conditionalFormatting>
  <conditionalFormatting sqref="B18:T18">
    <cfRule type="expression" dxfId="472" priority="42">
      <formula>B$9&gt;=20/24</formula>
    </cfRule>
    <cfRule type="expression" dxfId="471" priority="43">
      <formula>AND(B$9&gt;=14/24,B$9&lt;20/24)</formula>
    </cfRule>
    <cfRule type="expression" dxfId="470" priority="44">
      <formula>AND(B$9&gt;=8/24,B$9&lt;14/24)</formula>
    </cfRule>
    <cfRule type="expression" dxfId="469" priority="45">
      <formula>B$9&lt;8/24</formula>
    </cfRule>
  </conditionalFormatting>
  <conditionalFormatting sqref="B18:T18">
    <cfRule type="expression" dxfId="468" priority="41">
      <formula>B18&gt;$AG18</formula>
    </cfRule>
  </conditionalFormatting>
  <conditionalFormatting sqref="B35:Z35">
    <cfRule type="expression" dxfId="467" priority="37">
      <formula>B$9&gt;=20/24</formula>
    </cfRule>
    <cfRule type="expression" dxfId="466" priority="38">
      <formula>AND(B$9&gt;=14/24,B$9&lt;20/24)</formula>
    </cfRule>
    <cfRule type="expression" dxfId="465" priority="39">
      <formula>AND(B$9&gt;=8/24,B$9&lt;14/24)</formula>
    </cfRule>
    <cfRule type="expression" dxfId="464" priority="40">
      <formula>B$9&lt;8/24</formula>
    </cfRule>
  </conditionalFormatting>
  <conditionalFormatting sqref="B35:Z35">
    <cfRule type="expression" dxfId="463" priority="36">
      <formula>B35&gt;$AG35</formula>
    </cfRule>
  </conditionalFormatting>
  <conditionalFormatting sqref="B46:Z46">
    <cfRule type="expression" dxfId="462" priority="35">
      <formula>B46&gt;$AG46</formula>
    </cfRule>
  </conditionalFormatting>
  <conditionalFormatting sqref="B46:Z46">
    <cfRule type="expression" dxfId="461" priority="31">
      <formula>B$9&gt;=20/24</formula>
    </cfRule>
    <cfRule type="expression" dxfId="460" priority="32">
      <formula>AND(B$9&gt;=14/24,B$9&lt;20/24)</formula>
    </cfRule>
    <cfRule type="expression" dxfId="459" priority="33">
      <formula>AND(B$9&gt;=8/24,B$9&lt;14/24)</formula>
    </cfRule>
    <cfRule type="expression" dxfId="458" priority="34">
      <formula>B$9&lt;8/24</formula>
    </cfRule>
  </conditionalFormatting>
  <conditionalFormatting sqref="AE55:AF60">
    <cfRule type="expression" dxfId="457" priority="23">
      <formula>AE$9&gt;=20/24</formula>
    </cfRule>
    <cfRule type="expression" dxfId="456" priority="24">
      <formula>AND(AE$9&gt;=14/24,AE$9&lt;20/24)</formula>
    </cfRule>
    <cfRule type="expression" dxfId="455" priority="25">
      <formula>AND(AE$9&gt;=8/24,AE$9&lt;14/24)</formula>
    </cfRule>
    <cfRule type="expression" dxfId="454" priority="26">
      <formula>AE$9&lt;8/24</formula>
    </cfRule>
  </conditionalFormatting>
  <conditionalFormatting sqref="AE55:AF60">
    <cfRule type="expression" dxfId="453" priority="22">
      <formula>AE55&gt;$AG55</formula>
    </cfRule>
  </conditionalFormatting>
  <conditionalFormatting sqref="AE61:AF66">
    <cfRule type="expression" dxfId="452" priority="18">
      <formula>AE$9&gt;=20/24</formula>
    </cfRule>
    <cfRule type="expression" dxfId="451" priority="19">
      <formula>AND(AE$9&gt;=14/24,AE$9&lt;20/24)</formula>
    </cfRule>
    <cfRule type="expression" dxfId="450" priority="20">
      <formula>AND(AE$9&gt;=8/24,AE$9&lt;14/24)</formula>
    </cfRule>
    <cfRule type="expression" dxfId="449" priority="21">
      <formula>AE$9&lt;8/24</formula>
    </cfRule>
  </conditionalFormatting>
  <conditionalFormatting sqref="AE61:AF66">
    <cfRule type="expression" dxfId="448" priority="17">
      <formula>AE61&gt;$AG61</formula>
    </cfRule>
  </conditionalFormatting>
  <conditionalFormatting sqref="AE73">
    <cfRule type="expression" dxfId="447" priority="13">
      <formula>AE$9&gt;=20/24</formula>
    </cfRule>
    <cfRule type="expression" dxfId="446" priority="14">
      <formula>AND(AE$9&gt;=14/24,AE$9&lt;20/24)</formula>
    </cfRule>
    <cfRule type="expression" dxfId="445" priority="15">
      <formula>AND(AE$9&gt;=8/24,AE$9&lt;14/24)</formula>
    </cfRule>
    <cfRule type="expression" dxfId="444" priority="16">
      <formula>AE$9&lt;8/24</formula>
    </cfRule>
  </conditionalFormatting>
  <conditionalFormatting sqref="AE74:AE75">
    <cfRule type="expression" dxfId="443" priority="9">
      <formula>AE$9&gt;=20/24</formula>
    </cfRule>
    <cfRule type="expression" dxfId="442" priority="10">
      <formula>AND(AE$9&gt;=14/24,AE$9&lt;20/24)</formula>
    </cfRule>
    <cfRule type="expression" dxfId="441" priority="11">
      <formula>AND(AE$9&gt;=8/24,AE$9&lt;14/24)</formula>
    </cfRule>
    <cfRule type="expression" dxfId="440" priority="12">
      <formula>AE$9&lt;8/24</formula>
    </cfRule>
  </conditionalFormatting>
  <conditionalFormatting sqref="AE76:AF78">
    <cfRule type="expression" dxfId="439" priority="5">
      <formula>AE$9&gt;=20/24</formula>
    </cfRule>
    <cfRule type="expression" dxfId="438" priority="6">
      <formula>AND(AE$9&gt;=14/24,AE$9&lt;20/24)</formula>
    </cfRule>
    <cfRule type="expression" dxfId="437" priority="7">
      <formula>AND(AE$9&gt;=8/24,AE$9&lt;14/24)</formula>
    </cfRule>
    <cfRule type="expression" dxfId="436" priority="8">
      <formula>AE$9&lt;8/24</formula>
    </cfRule>
  </conditionalFormatting>
  <conditionalFormatting sqref="AE79:AF83">
    <cfRule type="expression" dxfId="435" priority="1">
      <formula>AE$9&gt;=20/24</formula>
    </cfRule>
    <cfRule type="expression" dxfId="434" priority="2">
      <formula>AND(AE$9&gt;=14/24,AE$9&lt;20/24)</formula>
    </cfRule>
    <cfRule type="expression" dxfId="433" priority="3">
      <formula>AND(AE$9&gt;=8/24,AE$9&lt;14/24)</formula>
    </cfRule>
    <cfRule type="expression" dxfId="432" priority="4">
      <formula>AE$9&lt;8/24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6" id="{24DFA95F-4525-4AA0-8ADE-505E3113336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7" id="{B5129CCE-B753-4EE8-A659-3C7C279CF92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8" id="{46AA95E9-94CE-4603-B4CB-3D5F02D9126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9" id="{A24D1E82-0D59-4A54-BFA0-523E27CC1EC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2" id="{6F8233D9-33B9-4E1E-B28E-5393B0FFEDA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A45C6902-F59B-4C57-8752-33A45D2ABF4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A4244BF9-4B1C-4B21-811E-D6C615BC148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59CF5C31-30B0-43F2-8100-F0E4F75C51C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9"/>
  <dimension ref="D5:G14"/>
  <sheetViews>
    <sheetView workbookViewId="0">
      <selection activeCell="E11" sqref="E11"/>
    </sheetView>
  </sheetViews>
  <sheetFormatPr defaultRowHeight="15" x14ac:dyDescent="0.25"/>
  <sheetData>
    <row r="5" spans="4:7" x14ac:dyDescent="0.25">
      <c r="D5" t="s">
        <v>259</v>
      </c>
      <c r="E5">
        <f>(9104-841)/24</f>
        <v>344.29166666666669</v>
      </c>
      <c r="G5">
        <f>841/24</f>
        <v>35.041666666666664</v>
      </c>
    </row>
    <row r="6" spans="4:7" x14ac:dyDescent="0.25">
      <c r="D6" t="s">
        <v>260</v>
      </c>
      <c r="E6">
        <f>6684/24</f>
        <v>278.5</v>
      </c>
    </row>
    <row r="7" spans="4:7" x14ac:dyDescent="0.25">
      <c r="D7" t="s">
        <v>7</v>
      </c>
      <c r="E7">
        <f>16829/24</f>
        <v>701.20833333333337</v>
      </c>
    </row>
    <row r="8" spans="4:7" x14ac:dyDescent="0.25">
      <c r="D8" t="s">
        <v>250</v>
      </c>
      <c r="E8">
        <f>7667/24</f>
        <v>319.45833333333331</v>
      </c>
    </row>
    <row r="9" spans="4:7" x14ac:dyDescent="0.25">
      <c r="D9" t="s">
        <v>261</v>
      </c>
      <c r="E9">
        <f>1150/24</f>
        <v>47.916666666666664</v>
      </c>
    </row>
    <row r="11" spans="4:7" x14ac:dyDescent="0.25">
      <c r="D11" t="s">
        <v>262</v>
      </c>
      <c r="E11">
        <f>SUM(E5:E7)</f>
        <v>1324</v>
      </c>
    </row>
    <row r="12" spans="4:7" x14ac:dyDescent="0.25">
      <c r="D12" t="s">
        <v>263</v>
      </c>
      <c r="E12">
        <f>41434/24</f>
        <v>1726.4166666666667</v>
      </c>
    </row>
    <row r="14" spans="4:7" x14ac:dyDescent="0.25">
      <c r="E14">
        <f>41434/(1921*24)</f>
        <v>0.89870727051882704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/>
  <dimension ref="A1:CJ281"/>
  <sheetViews>
    <sheetView workbookViewId="0">
      <pane ySplit="10" topLeftCell="A38" activePane="bottomLeft" state="frozen"/>
      <selection activeCell="Z85" sqref="Z85"/>
      <selection pane="bottomLeft" activeCell="F45" sqref="F4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1" t="e">
        <f ca="1">"2080/"&amp;"02/"&amp;INT(MID(CELL("filename",D6),FIND("]",CELL("filename",D6))+1,200))</f>
        <v>#VALUE!</v>
      </c>
      <c r="C4" s="191"/>
      <c r="D4" s="191"/>
      <c r="E4" s="192" t="e">
        <f ca="1">"2079/"&amp;"12/"&amp;INT(MID(CELL("filename",G6),FIND("]",CELL("filename",G6))+1,200))</f>
        <v>#VALUE!</v>
      </c>
      <c r="F4" s="192"/>
      <c r="G4" s="192"/>
      <c r="H4" s="192" t="e">
        <f ca="1">TEXT(E4,"dddd")</f>
        <v>#VALUE!</v>
      </c>
      <c r="I4" s="192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3.54</v>
      </c>
      <c r="C7" s="35">
        <f t="shared" si="1"/>
        <v>3.54</v>
      </c>
      <c r="D7" s="35">
        <f t="shared" si="1"/>
        <v>3.54</v>
      </c>
      <c r="E7" s="35">
        <f t="shared" si="1"/>
        <v>3.54</v>
      </c>
      <c r="F7" s="35">
        <f t="shared" si="1"/>
        <v>3.54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 t="shared" si="1"/>
        <v>3.54</v>
      </c>
      <c r="M7" s="35">
        <f t="shared" si="1"/>
        <v>3.54</v>
      </c>
      <c r="N7" s="35">
        <f>N91</f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3" t="s">
        <v>14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186" t="s">
        <v>15</v>
      </c>
      <c r="N8" s="187"/>
      <c r="O8" s="187"/>
      <c r="P8" s="187"/>
      <c r="Q8" s="187"/>
      <c r="R8" s="188"/>
      <c r="S8" s="186" t="s">
        <v>16</v>
      </c>
      <c r="T8" s="187"/>
      <c r="U8" s="187"/>
      <c r="V8" s="187"/>
      <c r="W8" s="187"/>
      <c r="X8" s="187"/>
      <c r="Y8" s="187"/>
      <c r="Z8" s="187"/>
      <c r="AA8" s="188"/>
      <c r="AB8" s="186" t="s">
        <v>17</v>
      </c>
      <c r="AC8" s="187"/>
      <c r="AD8" s="187"/>
      <c r="AE8" s="187"/>
      <c r="AF8" s="18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89" t="s">
        <v>18</v>
      </c>
      <c r="B9" s="185">
        <v>0</v>
      </c>
      <c r="C9" s="185">
        <v>4.1666666666666664E-2</v>
      </c>
      <c r="D9" s="185">
        <v>8.3333333333333301E-2</v>
      </c>
      <c r="E9" s="185">
        <v>0.125</v>
      </c>
      <c r="F9" s="185">
        <v>0.16666666666666699</v>
      </c>
      <c r="G9" s="185">
        <v>0.20833333333333301</v>
      </c>
      <c r="H9" s="185">
        <v>0.22916666666666666</v>
      </c>
      <c r="I9" s="185">
        <v>0.25</v>
      </c>
      <c r="J9" s="185">
        <v>0.27083333333333331</v>
      </c>
      <c r="K9" s="185">
        <v>0.29166666666666669</v>
      </c>
      <c r="L9" s="185">
        <v>0.3125</v>
      </c>
      <c r="M9" s="183">
        <v>0.33333333333333331</v>
      </c>
      <c r="N9" s="183">
        <v>0.375</v>
      </c>
      <c r="O9" s="183">
        <v>0.41666666666666702</v>
      </c>
      <c r="P9" s="183">
        <v>0.45833333333333298</v>
      </c>
      <c r="Q9" s="183">
        <v>0.5</v>
      </c>
      <c r="R9" s="183">
        <v>0.54166666666666696</v>
      </c>
      <c r="S9" s="179">
        <v>0.58333333333333304</v>
      </c>
      <c r="T9" s="179">
        <v>0.625</v>
      </c>
      <c r="U9" s="179">
        <v>0.66666666666666696</v>
      </c>
      <c r="V9" s="179">
        <v>0.70833333333333304</v>
      </c>
      <c r="W9" s="179">
        <v>0.72916666666666663</v>
      </c>
      <c r="X9" s="179">
        <v>0.75</v>
      </c>
      <c r="Y9" s="179">
        <v>0.77083333333333337</v>
      </c>
      <c r="Z9" s="179">
        <v>0.79166666666666663</v>
      </c>
      <c r="AA9" s="179">
        <v>0.8125</v>
      </c>
      <c r="AB9" s="179">
        <v>0.83333333333333337</v>
      </c>
      <c r="AC9" s="179">
        <v>0.85416666666666663</v>
      </c>
      <c r="AD9" s="179">
        <v>0.875</v>
      </c>
      <c r="AE9" s="179">
        <v>0.91666666666666696</v>
      </c>
      <c r="AF9" s="179">
        <v>0.95833333333333304</v>
      </c>
      <c r="AG9" s="18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4"/>
      <c r="N10" s="184"/>
      <c r="O10" s="184"/>
      <c r="P10" s="184"/>
      <c r="Q10" s="184"/>
      <c r="R10" s="184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76" si="2">MAX(B11:AF11)</f>
        <v>0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266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50">
        <v>54</v>
      </c>
      <c r="AH12" s="47">
        <f t="shared" si="2"/>
        <v>0</v>
      </c>
      <c r="AI12" s="48">
        <f t="shared" si="3"/>
        <v>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>
        <v>52.4</v>
      </c>
      <c r="AH13" s="47">
        <f t="shared" si="2"/>
        <v>0</v>
      </c>
      <c r="AI13" s="48">
        <f t="shared" si="3"/>
        <v>0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45"/>
      <c r="AA14" s="45"/>
      <c r="AB14" s="45"/>
      <c r="AC14" s="45"/>
      <c r="AD14" s="45"/>
      <c r="AE14" s="45"/>
      <c r="AF14" s="45"/>
      <c r="AG14" s="50">
        <v>50</v>
      </c>
      <c r="AH14" s="47">
        <f t="shared" si="2"/>
        <v>0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50">
        <v>45</v>
      </c>
      <c r="AH15" s="47">
        <f t="shared" si="2"/>
        <v>0</v>
      </c>
      <c r="AI15" s="48">
        <f t="shared" si="3"/>
        <v>0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267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50">
        <v>44</v>
      </c>
      <c r="AH16" s="47">
        <f>MAX(B16:AG16)</f>
        <v>44</v>
      </c>
      <c r="AI16" s="48">
        <f>MIN(B16:AG16)</f>
        <v>44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23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50">
        <v>42</v>
      </c>
      <c r="AH17" s="47">
        <f t="shared" si="2"/>
        <v>0</v>
      </c>
      <c r="AI17" s="48">
        <f t="shared" si="3"/>
        <v>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24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50">
        <v>38.46</v>
      </c>
      <c r="AH18" s="47">
        <f t="shared" si="2"/>
        <v>0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50">
        <v>36</v>
      </c>
      <c r="AH19" s="47">
        <f t="shared" si="2"/>
        <v>0</v>
      </c>
      <c r="AI19" s="48">
        <f t="shared" si="3"/>
        <v>0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1">
        <v>30</v>
      </c>
      <c r="AH20" s="47">
        <f t="shared" si="2"/>
        <v>0</v>
      </c>
      <c r="AI20" s="48">
        <f t="shared" si="3"/>
        <v>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50">
        <v>24.2</v>
      </c>
      <c r="AH21" s="47">
        <f t="shared" si="2"/>
        <v>0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0">
        <v>28</v>
      </c>
      <c r="AH22" s="47">
        <f t="shared" si="2"/>
        <v>0</v>
      </c>
      <c r="AI22" s="48">
        <f t="shared" si="3"/>
        <v>0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1">
        <v>30</v>
      </c>
      <c r="AH23" s="47">
        <f t="shared" si="2"/>
        <v>0</v>
      </c>
      <c r="AI23" s="48">
        <f t="shared" si="3"/>
        <v>0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50">
        <v>25</v>
      </c>
      <c r="AH24" s="47">
        <f t="shared" si="2"/>
        <v>0</v>
      </c>
      <c r="AI24" s="48">
        <f t="shared" si="3"/>
        <v>0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0">
        <v>25</v>
      </c>
      <c r="AH25" s="47">
        <f t="shared" si="2"/>
        <v>0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50">
        <v>25</v>
      </c>
      <c r="AH26" s="47">
        <f t="shared" si="2"/>
        <v>0</v>
      </c>
      <c r="AI26" s="48">
        <f t="shared" si="3"/>
        <v>0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50">
        <v>25</v>
      </c>
      <c r="AH27" s="47">
        <f t="shared" si="2"/>
        <v>0</v>
      </c>
      <c r="AI27" s="48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50">
        <v>23.5</v>
      </c>
      <c r="AH28" s="47">
        <f t="shared" si="2"/>
        <v>0</v>
      </c>
      <c r="AI28" s="48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50">
        <v>22.2</v>
      </c>
      <c r="AH29" s="47">
        <f t="shared" si="2"/>
        <v>0</v>
      </c>
      <c r="AI29" s="48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50">
        <v>22.1</v>
      </c>
      <c r="AH30" s="47">
        <f t="shared" si="2"/>
        <v>0</v>
      </c>
      <c r="AI30" s="48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50">
        <v>22</v>
      </c>
      <c r="AH31" s="47">
        <f t="shared" si="2"/>
        <v>0</v>
      </c>
      <c r="AI31" s="48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50">
        <v>22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50">
        <v>20</v>
      </c>
      <c r="AH33" s="47">
        <f t="shared" si="2"/>
        <v>0</v>
      </c>
      <c r="AI33" s="48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50">
        <v>18</v>
      </c>
      <c r="AH34" s="47">
        <f t="shared" si="2"/>
        <v>0</v>
      </c>
      <c r="AI34" s="48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50">
        <v>14.9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42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50">
        <v>14.9</v>
      </c>
      <c r="AH36" s="47">
        <f t="shared" si="2"/>
        <v>0</v>
      </c>
      <c r="AI36" s="48">
        <f t="shared" si="3"/>
        <v>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43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50">
        <v>13.6</v>
      </c>
      <c r="AH37" s="47">
        <f t="shared" si="2"/>
        <v>0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44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50">
        <v>13</v>
      </c>
      <c r="AH38" s="47">
        <f t="shared" si="2"/>
        <v>0</v>
      </c>
      <c r="AI38" s="48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45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50">
        <v>12</v>
      </c>
      <c r="AH39" s="47">
        <f t="shared" si="2"/>
        <v>0</v>
      </c>
      <c r="AI39" s="48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46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50">
        <v>12</v>
      </c>
      <c r="AH40" s="47">
        <f t="shared" si="2"/>
        <v>0</v>
      </c>
      <c r="AI40" s="48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47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50">
        <v>12</v>
      </c>
      <c r="AH41" s="47">
        <f t="shared" si="2"/>
        <v>0</v>
      </c>
      <c r="AI41" s="48">
        <f t="shared" si="3"/>
        <v>0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48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52">
        <v>22</v>
      </c>
      <c r="AH42" s="47">
        <f t="shared" si="2"/>
        <v>0</v>
      </c>
      <c r="AI42" s="48">
        <f t="shared" si="3"/>
        <v>0</v>
      </c>
      <c r="AK42" s="49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49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51">
        <v>11.88</v>
      </c>
      <c r="AH43" s="47">
        <f t="shared" si="2"/>
        <v>0</v>
      </c>
      <c r="AI43" s="48">
        <f t="shared" si="3"/>
        <v>0</v>
      </c>
      <c r="AK43" s="49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50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54">
        <v>11</v>
      </c>
      <c r="AH44" s="47">
        <f t="shared" si="2"/>
        <v>0</v>
      </c>
      <c r="AI44" s="48">
        <f t="shared" si="3"/>
        <v>0</v>
      </c>
      <c r="AK44" s="49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51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4">
        <v>10</v>
      </c>
      <c r="AH45" s="47">
        <f t="shared" si="2"/>
        <v>0</v>
      </c>
      <c r="AI45" s="48">
        <f t="shared" si="3"/>
        <v>0</v>
      </c>
      <c r="AK45" s="49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52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54">
        <v>10</v>
      </c>
      <c r="AH46" s="47">
        <f t="shared" si="2"/>
        <v>0</v>
      </c>
      <c r="AI46" s="48">
        <f t="shared" si="3"/>
        <v>0</v>
      </c>
      <c r="AK46" s="49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53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4">
        <v>10</v>
      </c>
      <c r="AH47" s="47">
        <f t="shared" si="2"/>
        <v>0</v>
      </c>
      <c r="AI47" s="48">
        <f t="shared" si="3"/>
        <v>0</v>
      </c>
      <c r="AK47" s="49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54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4">
        <v>85</v>
      </c>
      <c r="AH48" s="47">
        <f t="shared" si="2"/>
        <v>0</v>
      </c>
      <c r="AI48" s="48">
        <f t="shared" si="3"/>
        <v>0</v>
      </c>
      <c r="AK48" s="49"/>
    </row>
    <row r="49" spans="1:41" ht="15.75" thickBot="1" x14ac:dyDescent="0.3">
      <c r="A49" s="57" t="s">
        <v>55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9"/>
    </row>
    <row r="50" spans="1:41" ht="15.75" thickBot="1" x14ac:dyDescent="0.3">
      <c r="A50" s="59" t="s">
        <v>56</v>
      </c>
      <c r="B50" s="60">
        <f t="shared" ref="B50:AF50" si="4">SUM(B11:B48)</f>
        <v>0</v>
      </c>
      <c r="C50" s="60">
        <f t="shared" si="4"/>
        <v>0</v>
      </c>
      <c r="D50" s="60">
        <f t="shared" si="4"/>
        <v>0</v>
      </c>
      <c r="E50" s="60">
        <f t="shared" si="4"/>
        <v>0</v>
      </c>
      <c r="F50" s="60">
        <f t="shared" si="4"/>
        <v>0</v>
      </c>
      <c r="G50" s="60">
        <f t="shared" si="4"/>
        <v>0</v>
      </c>
      <c r="H50" s="60">
        <f t="shared" si="4"/>
        <v>0</v>
      </c>
      <c r="I50" s="60">
        <f t="shared" si="4"/>
        <v>0</v>
      </c>
      <c r="J50" s="60">
        <f t="shared" si="4"/>
        <v>0</v>
      </c>
      <c r="K50" s="60">
        <f t="shared" si="4"/>
        <v>0</v>
      </c>
      <c r="L50" s="60">
        <f t="shared" si="4"/>
        <v>0</v>
      </c>
      <c r="M50" s="60">
        <f t="shared" si="4"/>
        <v>0</v>
      </c>
      <c r="N50" s="60">
        <f t="shared" si="4"/>
        <v>0</v>
      </c>
      <c r="O50" s="60">
        <f t="shared" si="4"/>
        <v>0</v>
      </c>
      <c r="P50" s="60">
        <f t="shared" si="4"/>
        <v>0</v>
      </c>
      <c r="Q50" s="60">
        <f t="shared" si="4"/>
        <v>0</v>
      </c>
      <c r="R50" s="60">
        <f t="shared" si="4"/>
        <v>0</v>
      </c>
      <c r="S50" s="60">
        <f t="shared" si="4"/>
        <v>0</v>
      </c>
      <c r="T50" s="60">
        <f t="shared" si="4"/>
        <v>0</v>
      </c>
      <c r="U50" s="60">
        <f t="shared" si="4"/>
        <v>0</v>
      </c>
      <c r="V50" s="60">
        <f t="shared" si="4"/>
        <v>0</v>
      </c>
      <c r="W50" s="60">
        <f t="shared" si="4"/>
        <v>0</v>
      </c>
      <c r="X50" s="60">
        <f t="shared" si="4"/>
        <v>0</v>
      </c>
      <c r="Y50" s="60">
        <f t="shared" si="4"/>
        <v>0</v>
      </c>
      <c r="Z50" s="60">
        <f t="shared" si="4"/>
        <v>0</v>
      </c>
      <c r="AA50" s="60">
        <f t="shared" si="4"/>
        <v>0</v>
      </c>
      <c r="AB50" s="60">
        <f t="shared" si="4"/>
        <v>0</v>
      </c>
      <c r="AC50" s="60">
        <f t="shared" si="4"/>
        <v>0</v>
      </c>
      <c r="AD50" s="60">
        <f t="shared" si="4"/>
        <v>0</v>
      </c>
      <c r="AE50" s="60">
        <f t="shared" si="4"/>
        <v>0</v>
      </c>
      <c r="AF50" s="60">
        <f t="shared" si="4"/>
        <v>0</v>
      </c>
      <c r="AG50" s="61">
        <f>SUM(AG13:AG48)</f>
        <v>922.14</v>
      </c>
      <c r="AH50" s="47">
        <f t="shared" si="2"/>
        <v>0</v>
      </c>
      <c r="AI50" s="48">
        <f t="shared" si="3"/>
        <v>0</v>
      </c>
      <c r="AK50" s="49"/>
    </row>
    <row r="51" spans="1:41" x14ac:dyDescent="0.25">
      <c r="A51" s="62" t="s">
        <v>57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63"/>
      <c r="O51" s="63"/>
      <c r="P51" s="63"/>
      <c r="Q51" s="63"/>
      <c r="R51" s="63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1">
        <v>456</v>
      </c>
      <c r="AH51" s="47">
        <f t="shared" si="2"/>
        <v>0</v>
      </c>
      <c r="AI51" s="48">
        <f t="shared" si="3"/>
        <v>0</v>
      </c>
      <c r="AK51" s="49"/>
    </row>
    <row r="52" spans="1:41" x14ac:dyDescent="0.25">
      <c r="A52" s="64" t="s">
        <v>58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54">
        <v>60</v>
      </c>
      <c r="AH52" s="47">
        <f t="shared" si="2"/>
        <v>0</v>
      </c>
      <c r="AI52" s="48">
        <f t="shared" si="3"/>
        <v>0</v>
      </c>
      <c r="AK52" s="49"/>
    </row>
    <row r="53" spans="1:41" ht="15.75" thickBot="1" x14ac:dyDescent="0.3">
      <c r="A53" s="66" t="s">
        <v>59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8">
        <v>22.1</v>
      </c>
      <c r="AH53" s="47">
        <f t="shared" si="2"/>
        <v>0</v>
      </c>
      <c r="AI53" s="48">
        <f t="shared" si="3"/>
        <v>0</v>
      </c>
      <c r="AK53" s="49"/>
    </row>
    <row r="54" spans="1:41" ht="15.75" thickBot="1" x14ac:dyDescent="0.3">
      <c r="A54" s="69" t="s">
        <v>60</v>
      </c>
      <c r="B54" s="60">
        <f t="shared" ref="B54:AG54" si="5">SUM(B51:B53)</f>
        <v>0</v>
      </c>
      <c r="C54" s="60">
        <f t="shared" si="5"/>
        <v>0</v>
      </c>
      <c r="D54" s="60">
        <f t="shared" si="5"/>
        <v>0</v>
      </c>
      <c r="E54" s="60">
        <f t="shared" si="5"/>
        <v>0</v>
      </c>
      <c r="F54" s="60">
        <f t="shared" si="5"/>
        <v>0</v>
      </c>
      <c r="G54" s="60">
        <f t="shared" si="5"/>
        <v>0</v>
      </c>
      <c r="H54" s="60">
        <f t="shared" si="5"/>
        <v>0</v>
      </c>
      <c r="I54" s="60">
        <f t="shared" si="5"/>
        <v>0</v>
      </c>
      <c r="J54" s="60">
        <f t="shared" si="5"/>
        <v>0</v>
      </c>
      <c r="K54" s="60">
        <f t="shared" si="5"/>
        <v>0</v>
      </c>
      <c r="L54" s="60">
        <f t="shared" si="5"/>
        <v>0</v>
      </c>
      <c r="M54" s="60">
        <f t="shared" si="5"/>
        <v>0</v>
      </c>
      <c r="N54" s="60">
        <f t="shared" si="5"/>
        <v>0</v>
      </c>
      <c r="O54" s="60">
        <f t="shared" si="5"/>
        <v>0</v>
      </c>
      <c r="P54" s="60">
        <f t="shared" si="5"/>
        <v>0</v>
      </c>
      <c r="Q54" s="60">
        <f t="shared" si="5"/>
        <v>0</v>
      </c>
      <c r="R54" s="60">
        <f t="shared" si="5"/>
        <v>0</v>
      </c>
      <c r="S54" s="60">
        <f t="shared" si="5"/>
        <v>0</v>
      </c>
      <c r="T54" s="60">
        <f t="shared" si="5"/>
        <v>0</v>
      </c>
      <c r="U54" s="60">
        <f t="shared" si="5"/>
        <v>0</v>
      </c>
      <c r="V54" s="60">
        <f t="shared" si="5"/>
        <v>0</v>
      </c>
      <c r="W54" s="60">
        <f t="shared" si="5"/>
        <v>0</v>
      </c>
      <c r="X54" s="60">
        <f t="shared" si="5"/>
        <v>0</v>
      </c>
      <c r="Y54" s="60">
        <f t="shared" si="5"/>
        <v>0</v>
      </c>
      <c r="Z54" s="60">
        <f t="shared" si="5"/>
        <v>0</v>
      </c>
      <c r="AA54" s="60">
        <f t="shared" si="5"/>
        <v>0</v>
      </c>
      <c r="AB54" s="60">
        <f t="shared" si="5"/>
        <v>0</v>
      </c>
      <c r="AC54" s="60">
        <f t="shared" si="5"/>
        <v>0</v>
      </c>
      <c r="AD54" s="60">
        <f t="shared" si="5"/>
        <v>0</v>
      </c>
      <c r="AE54" s="60">
        <f t="shared" si="5"/>
        <v>0</v>
      </c>
      <c r="AF54" s="60">
        <f t="shared" si="5"/>
        <v>0</v>
      </c>
      <c r="AG54" s="61">
        <f t="shared" si="5"/>
        <v>538.1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44" t="s">
        <v>61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1">
        <v>144</v>
      </c>
      <c r="AH55" s="47">
        <f t="shared" si="2"/>
        <v>0</v>
      </c>
      <c r="AI55" s="48">
        <f t="shared" si="3"/>
        <v>0</v>
      </c>
      <c r="AK55" s="49"/>
    </row>
    <row r="56" spans="1:41" x14ac:dyDescent="0.25">
      <c r="A56" s="53" t="s">
        <v>62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65"/>
      <c r="AE56" s="45"/>
      <c r="AF56" s="45"/>
      <c r="AG56" s="54">
        <v>70</v>
      </c>
      <c r="AH56" s="47">
        <f t="shared" si="2"/>
        <v>0</v>
      </c>
      <c r="AI56" s="48">
        <f t="shared" si="3"/>
        <v>0</v>
      </c>
      <c r="AK56" s="49"/>
    </row>
    <row r="57" spans="1:41" x14ac:dyDescent="0.25">
      <c r="A57" s="53" t="s">
        <v>63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65"/>
      <c r="AE57" s="45"/>
      <c r="AF57" s="45"/>
      <c r="AG57" s="54">
        <v>69</v>
      </c>
      <c r="AH57" s="47">
        <f t="shared" si="2"/>
        <v>0</v>
      </c>
      <c r="AI57" s="48">
        <f t="shared" si="3"/>
        <v>0</v>
      </c>
      <c r="AK57" s="49"/>
    </row>
    <row r="58" spans="1:41" x14ac:dyDescent="0.25">
      <c r="A58" s="53" t="s">
        <v>64</v>
      </c>
      <c r="B58" s="65"/>
      <c r="C58" s="65"/>
      <c r="D58" s="65"/>
      <c r="E58" s="56"/>
      <c r="F58" s="56"/>
      <c r="G58" s="56"/>
      <c r="H58" s="56"/>
      <c r="I58" s="56"/>
      <c r="J58" s="56"/>
      <c r="K58" s="56"/>
      <c r="L58" s="56"/>
      <c r="M58" s="65"/>
      <c r="N58" s="65"/>
      <c r="O58" s="65"/>
      <c r="P58" s="65"/>
      <c r="Q58" s="65"/>
      <c r="R58" s="6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65"/>
      <c r="AE58" s="45"/>
      <c r="AF58" s="45"/>
      <c r="AG58" s="54">
        <v>60</v>
      </c>
      <c r="AH58" s="47">
        <f t="shared" si="2"/>
        <v>0</v>
      </c>
      <c r="AI58" s="48">
        <f t="shared" si="3"/>
        <v>0</v>
      </c>
      <c r="AK58" s="49"/>
    </row>
    <row r="59" spans="1:41" x14ac:dyDescent="0.25">
      <c r="A59" s="53" t="s">
        <v>65</v>
      </c>
      <c r="B59" s="65"/>
      <c r="C59" s="65"/>
      <c r="D59" s="65"/>
      <c r="E59" s="56"/>
      <c r="F59" s="56"/>
      <c r="G59" s="56"/>
      <c r="H59" s="56"/>
      <c r="I59" s="56"/>
      <c r="J59" s="56"/>
      <c r="K59" s="56"/>
      <c r="L59" s="56"/>
      <c r="M59" s="65"/>
      <c r="N59" s="65"/>
      <c r="O59" s="65"/>
      <c r="P59" s="65"/>
      <c r="Q59" s="65"/>
      <c r="R59" s="6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65"/>
      <c r="AE59" s="45"/>
      <c r="AF59" s="45"/>
      <c r="AG59" s="54">
        <v>30</v>
      </c>
      <c r="AH59" s="47">
        <f t="shared" si="2"/>
        <v>0</v>
      </c>
      <c r="AI59" s="48">
        <f t="shared" si="3"/>
        <v>0</v>
      </c>
      <c r="AK59" s="49"/>
    </row>
    <row r="60" spans="1:41" x14ac:dyDescent="0.25">
      <c r="A60" s="53" t="s">
        <v>66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65"/>
      <c r="AE60" s="45"/>
      <c r="AF60" s="45"/>
      <c r="AG60" s="54">
        <v>25</v>
      </c>
      <c r="AH60" s="47">
        <f t="shared" si="2"/>
        <v>0</v>
      </c>
      <c r="AI60" s="48">
        <f t="shared" si="3"/>
        <v>0</v>
      </c>
      <c r="AK60" s="49"/>
    </row>
    <row r="61" spans="1:41" x14ac:dyDescent="0.25">
      <c r="A61" s="53" t="s">
        <v>67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54">
        <v>24</v>
      </c>
      <c r="AH61" s="47">
        <f t="shared" si="2"/>
        <v>0</v>
      </c>
      <c r="AI61" s="48">
        <f t="shared" si="3"/>
        <v>0</v>
      </c>
      <c r="AK61" s="49"/>
    </row>
    <row r="62" spans="1:41" x14ac:dyDescent="0.25">
      <c r="A62" s="53" t="s">
        <v>68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54">
        <v>15</v>
      </c>
      <c r="AH62" s="47">
        <f t="shared" si="2"/>
        <v>0</v>
      </c>
      <c r="AI62" s="48">
        <f t="shared" si="3"/>
        <v>0</v>
      </c>
      <c r="AK62" s="49"/>
      <c r="AL62" s="70"/>
      <c r="AO62" s="70"/>
    </row>
    <row r="63" spans="1:41" s="70" customFormat="1" x14ac:dyDescent="0.25">
      <c r="A63" s="53" t="s">
        <v>69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54">
        <v>14.1</v>
      </c>
      <c r="AH63" s="47">
        <f t="shared" si="2"/>
        <v>0</v>
      </c>
      <c r="AI63" s="48">
        <f t="shared" si="3"/>
        <v>0</v>
      </c>
      <c r="AJ63" s="1"/>
      <c r="AK63" s="49"/>
      <c r="AL63" s="1"/>
      <c r="AM63" s="1"/>
      <c r="AN63" s="1"/>
      <c r="AO63" s="1"/>
    </row>
    <row r="64" spans="1:41" x14ac:dyDescent="0.25">
      <c r="A64" s="71" t="s">
        <v>70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54">
        <v>14</v>
      </c>
      <c r="AH64" s="47">
        <f t="shared" si="2"/>
        <v>0</v>
      </c>
      <c r="AI64" s="48">
        <f t="shared" si="3"/>
        <v>0</v>
      </c>
      <c r="AK64" s="49"/>
    </row>
    <row r="65" spans="1:40" x14ac:dyDescent="0.25">
      <c r="A65" s="53" t="s">
        <v>71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54">
        <v>10.050000000000001</v>
      </c>
      <c r="AH65" s="47">
        <f t="shared" si="2"/>
        <v>0</v>
      </c>
      <c r="AI65" s="48">
        <f t="shared" si="3"/>
        <v>0</v>
      </c>
      <c r="AK65" s="49"/>
    </row>
    <row r="66" spans="1:40" x14ac:dyDescent="0.25">
      <c r="A66" s="53" t="s">
        <v>72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54">
        <v>6.2</v>
      </c>
      <c r="AH66" s="47">
        <f t="shared" si="2"/>
        <v>0</v>
      </c>
      <c r="AI66" s="48">
        <f t="shared" si="3"/>
        <v>0</v>
      </c>
      <c r="AK66" s="49"/>
    </row>
    <row r="67" spans="1:40" ht="15.75" thickBot="1" x14ac:dyDescent="0.3">
      <c r="A67" s="55" t="s">
        <v>73</v>
      </c>
      <c r="B67" s="72">
        <v>3.54</v>
      </c>
      <c r="C67" s="72">
        <v>3.54</v>
      </c>
      <c r="D67" s="72">
        <v>3.54</v>
      </c>
      <c r="E67" s="72">
        <v>3.54</v>
      </c>
      <c r="F67" s="72">
        <v>3.54</v>
      </c>
      <c r="G67" s="72">
        <v>3.54</v>
      </c>
      <c r="H67" s="72">
        <v>3.54</v>
      </c>
      <c r="I67" s="72">
        <v>3.54</v>
      </c>
      <c r="J67" s="72">
        <v>3.54</v>
      </c>
      <c r="K67" s="72">
        <v>3.54</v>
      </c>
      <c r="L67" s="72">
        <v>3.54</v>
      </c>
      <c r="M67" s="72">
        <v>3.54</v>
      </c>
      <c r="N67" s="72">
        <v>3.54</v>
      </c>
      <c r="O67" s="72">
        <v>3.54</v>
      </c>
      <c r="P67" s="72">
        <v>3.54</v>
      </c>
      <c r="Q67" s="72">
        <v>3.54</v>
      </c>
      <c r="R67" s="72">
        <v>3.54</v>
      </c>
      <c r="S67" s="72">
        <v>3.54</v>
      </c>
      <c r="T67" s="72">
        <v>3.54</v>
      </c>
      <c r="U67" s="72">
        <v>3.54</v>
      </c>
      <c r="V67" s="72">
        <v>3.54</v>
      </c>
      <c r="W67" s="72">
        <v>3.54</v>
      </c>
      <c r="X67" s="72">
        <v>3.54</v>
      </c>
      <c r="Y67" s="72">
        <v>3.54</v>
      </c>
      <c r="Z67" s="72">
        <v>3.54</v>
      </c>
      <c r="AA67" s="72">
        <v>3.54</v>
      </c>
      <c r="AB67" s="72">
        <v>3.54</v>
      </c>
      <c r="AC67" s="72">
        <v>3.54</v>
      </c>
      <c r="AD67" s="72">
        <v>3.54</v>
      </c>
      <c r="AE67" s="72">
        <v>3.54</v>
      </c>
      <c r="AF67" s="72">
        <v>3.54</v>
      </c>
      <c r="AG67" s="73">
        <f>AG235</f>
        <v>8.56</v>
      </c>
      <c r="AH67" s="47">
        <f t="shared" si="2"/>
        <v>3.54</v>
      </c>
      <c r="AI67" s="48">
        <f t="shared" si="3"/>
        <v>3.54</v>
      </c>
      <c r="AK67" s="49"/>
    </row>
    <row r="68" spans="1:40" ht="15.75" thickBot="1" x14ac:dyDescent="0.3">
      <c r="A68" s="74" t="s">
        <v>74</v>
      </c>
      <c r="B68" s="60">
        <f t="shared" ref="B68:AG68" si="6">SUM(B55:B67)</f>
        <v>3.54</v>
      </c>
      <c r="C68" s="60">
        <f t="shared" si="6"/>
        <v>3.54</v>
      </c>
      <c r="D68" s="60">
        <f t="shared" si="6"/>
        <v>3.54</v>
      </c>
      <c r="E68" s="60">
        <f t="shared" si="6"/>
        <v>3.54</v>
      </c>
      <c r="F68" s="60">
        <f t="shared" si="6"/>
        <v>3.54</v>
      </c>
      <c r="G68" s="60">
        <f t="shared" si="6"/>
        <v>3.54</v>
      </c>
      <c r="H68" s="60">
        <f t="shared" si="6"/>
        <v>3.54</v>
      </c>
      <c r="I68" s="60">
        <f t="shared" si="6"/>
        <v>3.54</v>
      </c>
      <c r="J68" s="60">
        <f t="shared" si="6"/>
        <v>3.54</v>
      </c>
      <c r="K68" s="60">
        <f t="shared" si="6"/>
        <v>3.54</v>
      </c>
      <c r="L68" s="60">
        <f t="shared" si="6"/>
        <v>3.54</v>
      </c>
      <c r="M68" s="60">
        <f t="shared" si="6"/>
        <v>3.54</v>
      </c>
      <c r="N68" s="60">
        <f t="shared" si="6"/>
        <v>3.54</v>
      </c>
      <c r="O68" s="60">
        <f t="shared" si="6"/>
        <v>3.54</v>
      </c>
      <c r="P68" s="60">
        <f t="shared" si="6"/>
        <v>3.54</v>
      </c>
      <c r="Q68" s="60">
        <f t="shared" si="6"/>
        <v>3.54</v>
      </c>
      <c r="R68" s="60">
        <f t="shared" si="6"/>
        <v>3.54</v>
      </c>
      <c r="S68" s="60">
        <f t="shared" si="6"/>
        <v>3.54</v>
      </c>
      <c r="T68" s="60">
        <f t="shared" si="6"/>
        <v>3.54</v>
      </c>
      <c r="U68" s="60">
        <f t="shared" si="6"/>
        <v>3.54</v>
      </c>
      <c r="V68" s="60">
        <f t="shared" si="6"/>
        <v>3.54</v>
      </c>
      <c r="W68" s="60">
        <f t="shared" si="6"/>
        <v>3.54</v>
      </c>
      <c r="X68" s="60">
        <f t="shared" si="6"/>
        <v>3.54</v>
      </c>
      <c r="Y68" s="60">
        <f t="shared" si="6"/>
        <v>3.54</v>
      </c>
      <c r="Z68" s="60">
        <f t="shared" si="6"/>
        <v>3.54</v>
      </c>
      <c r="AA68" s="60">
        <f t="shared" si="6"/>
        <v>3.54</v>
      </c>
      <c r="AB68" s="60">
        <f t="shared" si="6"/>
        <v>3.54</v>
      </c>
      <c r="AC68" s="60">
        <f t="shared" si="6"/>
        <v>3.54</v>
      </c>
      <c r="AD68" s="60">
        <f t="shared" si="6"/>
        <v>3.54</v>
      </c>
      <c r="AE68" s="60">
        <f t="shared" si="6"/>
        <v>3.54</v>
      </c>
      <c r="AF68" s="60">
        <f t="shared" si="6"/>
        <v>3.54</v>
      </c>
      <c r="AG68" s="61">
        <f t="shared" si="6"/>
        <v>489.91</v>
      </c>
      <c r="AH68" s="47">
        <f t="shared" si="2"/>
        <v>3.54</v>
      </c>
      <c r="AI68" s="48">
        <f t="shared" si="3"/>
        <v>3.54</v>
      </c>
      <c r="AK68" s="49"/>
    </row>
    <row r="69" spans="1:40" x14ac:dyDescent="0.25">
      <c r="A69" s="44" t="s">
        <v>75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49"/>
    </row>
    <row r="70" spans="1:40" x14ac:dyDescent="0.25">
      <c r="A70" s="53" t="s">
        <v>76</v>
      </c>
      <c r="B70" s="45"/>
      <c r="C70" s="4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54">
        <v>32</v>
      </c>
      <c r="AH70" s="47">
        <f t="shared" si="2"/>
        <v>0</v>
      </c>
      <c r="AI70" s="48">
        <f t="shared" si="3"/>
        <v>0</v>
      </c>
      <c r="AK70" s="49"/>
    </row>
    <row r="71" spans="1:40" ht="15.75" thickBot="1" x14ac:dyDescent="0.3">
      <c r="A71" s="71" t="s">
        <v>77</v>
      </c>
      <c r="B71" s="45"/>
      <c r="C71" s="45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8">
        <v>14</v>
      </c>
      <c r="AH71" s="47">
        <f t="shared" si="2"/>
        <v>0</v>
      </c>
      <c r="AI71" s="48">
        <f t="shared" si="3"/>
        <v>0</v>
      </c>
      <c r="AK71" s="49"/>
    </row>
    <row r="72" spans="1:40" ht="15.75" thickBot="1" x14ac:dyDescent="0.3">
      <c r="A72" s="74" t="s">
        <v>78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7">M69+M70+M71</f>
        <v>0</v>
      </c>
      <c r="N72" s="60">
        <f t="shared" si="7"/>
        <v>0</v>
      </c>
      <c r="O72" s="60">
        <f t="shared" si="7"/>
        <v>0</v>
      </c>
      <c r="P72" s="60">
        <f t="shared" si="7"/>
        <v>0</v>
      </c>
      <c r="Q72" s="60">
        <f t="shared" si="7"/>
        <v>0</v>
      </c>
      <c r="R72" s="60">
        <f t="shared" si="7"/>
        <v>0</v>
      </c>
      <c r="S72" s="60">
        <f t="shared" si="7"/>
        <v>0</v>
      </c>
      <c r="T72" s="60">
        <f t="shared" si="7"/>
        <v>0</v>
      </c>
      <c r="U72" s="60">
        <f t="shared" si="7"/>
        <v>0</v>
      </c>
      <c r="V72" s="60">
        <f t="shared" si="7"/>
        <v>0</v>
      </c>
      <c r="W72" s="60">
        <f t="shared" si="7"/>
        <v>0</v>
      </c>
      <c r="X72" s="60">
        <f t="shared" si="7"/>
        <v>0</v>
      </c>
      <c r="Y72" s="60">
        <f t="shared" si="7"/>
        <v>0</v>
      </c>
      <c r="Z72" s="60">
        <f t="shared" si="7"/>
        <v>0</v>
      </c>
      <c r="AA72" s="60">
        <f t="shared" si="7"/>
        <v>0</v>
      </c>
      <c r="AB72" s="60">
        <f t="shared" si="7"/>
        <v>0</v>
      </c>
      <c r="AC72" s="60">
        <f t="shared" si="7"/>
        <v>0</v>
      </c>
      <c r="AD72" s="60">
        <f t="shared" si="7"/>
        <v>0</v>
      </c>
      <c r="AE72" s="60">
        <f t="shared" si="7"/>
        <v>0</v>
      </c>
      <c r="AF72" s="60">
        <f t="shared" si="7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49"/>
    </row>
    <row r="73" spans="1:40" x14ac:dyDescent="0.25">
      <c r="A73" s="44" t="s">
        <v>79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51"/>
      <c r="AH73" s="47">
        <f t="shared" si="2"/>
        <v>0</v>
      </c>
      <c r="AI73" s="48">
        <f t="shared" si="3"/>
        <v>0</v>
      </c>
      <c r="AK73" s="49"/>
    </row>
    <row r="74" spans="1:40" x14ac:dyDescent="0.25">
      <c r="A74" s="53" t="s">
        <v>80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4"/>
      <c r="AH74" s="47">
        <f t="shared" si="2"/>
        <v>0</v>
      </c>
      <c r="AI74" s="48">
        <f t="shared" si="3"/>
        <v>0</v>
      </c>
      <c r="AK74" s="49"/>
    </row>
    <row r="75" spans="1:40" x14ac:dyDescent="0.25">
      <c r="A75" s="53" t="s">
        <v>81</v>
      </c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75"/>
      <c r="AH75" s="47">
        <f t="shared" si="2"/>
        <v>0</v>
      </c>
      <c r="AI75" s="48">
        <f t="shared" si="3"/>
        <v>0</v>
      </c>
      <c r="AK75" s="49"/>
    </row>
    <row r="76" spans="1:40" x14ac:dyDescent="0.25">
      <c r="A76" s="53" t="s">
        <v>82</v>
      </c>
      <c r="B76" s="65"/>
      <c r="C76" s="65"/>
      <c r="D76" s="65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65"/>
      <c r="AE76" s="76"/>
      <c r="AF76" s="76"/>
      <c r="AG76" s="75"/>
      <c r="AH76" s="47">
        <f t="shared" si="2"/>
        <v>0</v>
      </c>
      <c r="AI76" s="48">
        <f t="shared" si="3"/>
        <v>0</v>
      </c>
      <c r="AK76" s="49"/>
    </row>
    <row r="77" spans="1:40" x14ac:dyDescent="0.25">
      <c r="A77" s="53" t="s">
        <v>83</v>
      </c>
      <c r="B77" s="45"/>
      <c r="C77" s="45"/>
      <c r="D77" s="6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5"/>
      <c r="AH77" s="47">
        <f t="shared" ref="AH77:AH120" si="8">MAX(B77:AF77)</f>
        <v>0</v>
      </c>
      <c r="AI77" s="48">
        <f t="shared" ref="AI77:AI120" si="9">MIN(B77:AF77)</f>
        <v>0</v>
      </c>
      <c r="AK77" s="49"/>
    </row>
    <row r="78" spans="1:40" x14ac:dyDescent="0.25">
      <c r="A78" s="53" t="s">
        <v>84</v>
      </c>
      <c r="B78" s="45"/>
      <c r="C78" s="77"/>
      <c r="D78" s="65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5"/>
      <c r="AH78" s="47">
        <f t="shared" si="8"/>
        <v>0</v>
      </c>
      <c r="AI78" s="48">
        <f t="shared" si="9"/>
        <v>0</v>
      </c>
      <c r="AK78" s="49"/>
    </row>
    <row r="79" spans="1:40" ht="15.75" thickBot="1" x14ac:dyDescent="0.3">
      <c r="A79" s="53" t="s">
        <v>85</v>
      </c>
      <c r="B79" s="45"/>
      <c r="C79" s="77"/>
      <c r="D79" s="65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8"/>
        <v>0</v>
      </c>
      <c r="AI79" s="48">
        <f t="shared" si="9"/>
        <v>0</v>
      </c>
      <c r="AK79" s="49"/>
      <c r="AL79" s="78" t="s">
        <v>86</v>
      </c>
      <c r="AM79" s="78"/>
    </row>
    <row r="80" spans="1:40" x14ac:dyDescent="0.25">
      <c r="A80" s="53" t="s">
        <v>87</v>
      </c>
      <c r="B80" s="45"/>
      <c r="C80" s="77"/>
      <c r="D80" s="65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88</v>
      </c>
      <c r="B81" s="45"/>
      <c r="C81" s="77"/>
      <c r="D81" s="65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5"/>
      <c r="AH81" s="47">
        <f t="shared" si="8"/>
        <v>0</v>
      </c>
      <c r="AI81" s="48">
        <f t="shared" si="9"/>
        <v>0</v>
      </c>
      <c r="AK81" s="82" t="s">
        <v>89</v>
      </c>
      <c r="AL81" s="65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90</v>
      </c>
      <c r="B82" s="45"/>
      <c r="C82" s="77"/>
      <c r="D82" s="65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85"/>
      <c r="AH82" s="47">
        <f t="shared" si="8"/>
        <v>0</v>
      </c>
      <c r="AI82" s="48">
        <f t="shared" si="9"/>
        <v>0</v>
      </c>
      <c r="AK82" s="82" t="s">
        <v>91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92</v>
      </c>
      <c r="B83" s="45"/>
      <c r="C83" s="77"/>
      <c r="D83" s="65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4" t="s">
        <v>93</v>
      </c>
      <c r="B84" s="60">
        <f t="shared" ref="B84:AF84" si="10">SUMIF(B73:B83,"&gt;0")</f>
        <v>0</v>
      </c>
      <c r="C84" s="60">
        <f t="shared" si="10"/>
        <v>0</v>
      </c>
      <c r="D84" s="60">
        <f t="shared" si="10"/>
        <v>0</v>
      </c>
      <c r="E84" s="60">
        <f t="shared" si="10"/>
        <v>0</v>
      </c>
      <c r="F84" s="60">
        <f t="shared" si="10"/>
        <v>0</v>
      </c>
      <c r="G84" s="60">
        <f t="shared" si="10"/>
        <v>0</v>
      </c>
      <c r="H84" s="60">
        <f t="shared" si="10"/>
        <v>0</v>
      </c>
      <c r="I84" s="60">
        <f t="shared" si="10"/>
        <v>0</v>
      </c>
      <c r="J84" s="60">
        <f t="shared" si="10"/>
        <v>0</v>
      </c>
      <c r="K84" s="60">
        <f t="shared" si="10"/>
        <v>0</v>
      </c>
      <c r="L84" s="60">
        <f t="shared" si="10"/>
        <v>0</v>
      </c>
      <c r="M84" s="60">
        <f t="shared" si="10"/>
        <v>0</v>
      </c>
      <c r="N84" s="60">
        <f t="shared" si="10"/>
        <v>0</v>
      </c>
      <c r="O84" s="60">
        <f t="shared" si="10"/>
        <v>0</v>
      </c>
      <c r="P84" s="60">
        <f t="shared" si="10"/>
        <v>0</v>
      </c>
      <c r="Q84" s="60">
        <f t="shared" si="10"/>
        <v>0</v>
      </c>
      <c r="R84" s="60">
        <f t="shared" si="10"/>
        <v>0</v>
      </c>
      <c r="S84" s="60">
        <f t="shared" si="10"/>
        <v>0</v>
      </c>
      <c r="T84" s="60">
        <f t="shared" si="10"/>
        <v>0</v>
      </c>
      <c r="U84" s="60">
        <f t="shared" si="10"/>
        <v>0</v>
      </c>
      <c r="V84" s="60">
        <f t="shared" si="10"/>
        <v>0</v>
      </c>
      <c r="W84" s="60">
        <f t="shared" si="10"/>
        <v>0</v>
      </c>
      <c r="X84" s="60">
        <f t="shared" si="10"/>
        <v>0</v>
      </c>
      <c r="Y84" s="60">
        <f t="shared" si="10"/>
        <v>0</v>
      </c>
      <c r="Z84" s="60">
        <f t="shared" si="10"/>
        <v>0</v>
      </c>
      <c r="AA84" s="60">
        <f t="shared" si="10"/>
        <v>0</v>
      </c>
      <c r="AB84" s="60">
        <f t="shared" si="10"/>
        <v>0</v>
      </c>
      <c r="AC84" s="60">
        <f t="shared" si="10"/>
        <v>0</v>
      </c>
      <c r="AD84" s="60">
        <f t="shared" si="10"/>
        <v>0</v>
      </c>
      <c r="AE84" s="60">
        <f t="shared" si="10"/>
        <v>0</v>
      </c>
      <c r="AF84" s="60">
        <f t="shared" si="10"/>
        <v>0</v>
      </c>
      <c r="AG84" s="88">
        <f>SUM(AG73:AG83)</f>
        <v>0</v>
      </c>
      <c r="AH84" s="47">
        <f t="shared" si="8"/>
        <v>0</v>
      </c>
      <c r="AI84" s="48">
        <f t="shared" si="9"/>
        <v>0</v>
      </c>
      <c r="AK84" s="86"/>
      <c r="AL84" s="77"/>
      <c r="AM84" s="89"/>
      <c r="AN84" s="176">
        <f>448.2/4</f>
        <v>112.05</v>
      </c>
    </row>
    <row r="85" spans="1:40" x14ac:dyDescent="0.25">
      <c r="A85" s="44" t="s">
        <v>94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177"/>
    </row>
    <row r="86" spans="1:40" ht="15.75" thickBot="1" x14ac:dyDescent="0.3">
      <c r="A86" s="53" t="s">
        <v>95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96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4" t="s">
        <v>97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4" t="s">
        <v>98</v>
      </c>
      <c r="B89" s="95">
        <f t="shared" ref="B89:AG89" si="11">B50+B54+B72+B68+B84+B88</f>
        <v>3.54</v>
      </c>
      <c r="C89" s="95">
        <f t="shared" si="11"/>
        <v>3.54</v>
      </c>
      <c r="D89" s="95">
        <f t="shared" si="11"/>
        <v>3.54</v>
      </c>
      <c r="E89" s="95">
        <f t="shared" si="11"/>
        <v>3.54</v>
      </c>
      <c r="F89" s="95">
        <f t="shared" si="11"/>
        <v>3.54</v>
      </c>
      <c r="G89" s="95">
        <f t="shared" si="11"/>
        <v>3.54</v>
      </c>
      <c r="H89" s="95">
        <f t="shared" si="11"/>
        <v>3.54</v>
      </c>
      <c r="I89" s="95">
        <f t="shared" si="11"/>
        <v>3.54</v>
      </c>
      <c r="J89" s="95">
        <f t="shared" si="11"/>
        <v>3.54</v>
      </c>
      <c r="K89" s="95">
        <f t="shared" si="11"/>
        <v>3.54</v>
      </c>
      <c r="L89" s="95">
        <f t="shared" si="11"/>
        <v>3.54</v>
      </c>
      <c r="M89" s="95">
        <f t="shared" si="11"/>
        <v>3.54</v>
      </c>
      <c r="N89" s="95">
        <f t="shared" si="11"/>
        <v>3.54</v>
      </c>
      <c r="O89" s="95">
        <f t="shared" si="11"/>
        <v>3.54</v>
      </c>
      <c r="P89" s="95">
        <f t="shared" si="11"/>
        <v>3.54</v>
      </c>
      <c r="Q89" s="95">
        <f t="shared" si="11"/>
        <v>3.54</v>
      </c>
      <c r="R89" s="95">
        <f t="shared" si="11"/>
        <v>3.54</v>
      </c>
      <c r="S89" s="95">
        <f t="shared" si="11"/>
        <v>3.54</v>
      </c>
      <c r="T89" s="95">
        <f t="shared" si="11"/>
        <v>3.54</v>
      </c>
      <c r="U89" s="95">
        <f t="shared" si="11"/>
        <v>3.54</v>
      </c>
      <c r="V89" s="95">
        <f t="shared" si="11"/>
        <v>3.54</v>
      </c>
      <c r="W89" s="95">
        <f t="shared" si="11"/>
        <v>3.54</v>
      </c>
      <c r="X89" s="95">
        <f t="shared" si="11"/>
        <v>3.54</v>
      </c>
      <c r="Y89" s="95">
        <f t="shared" si="11"/>
        <v>3.54</v>
      </c>
      <c r="Z89" s="95">
        <f t="shared" si="11"/>
        <v>3.54</v>
      </c>
      <c r="AA89" s="95">
        <f t="shared" si="11"/>
        <v>3.54</v>
      </c>
      <c r="AB89" s="95">
        <f t="shared" si="11"/>
        <v>3.54</v>
      </c>
      <c r="AC89" s="95">
        <f t="shared" si="11"/>
        <v>3.54</v>
      </c>
      <c r="AD89" s="95">
        <f t="shared" si="11"/>
        <v>3.54</v>
      </c>
      <c r="AE89" s="95">
        <f t="shared" si="11"/>
        <v>3.54</v>
      </c>
      <c r="AF89" s="95">
        <f t="shared" si="11"/>
        <v>3.54</v>
      </c>
      <c r="AG89" s="61">
        <f t="shared" si="11"/>
        <v>2111.5500000000002</v>
      </c>
      <c r="AH89" s="47">
        <f t="shared" si="8"/>
        <v>3.54</v>
      </c>
      <c r="AI89" s="48">
        <f t="shared" si="9"/>
        <v>3.54</v>
      </c>
    </row>
    <row r="90" spans="1:40" ht="15.75" thickBot="1" x14ac:dyDescent="0.3">
      <c r="A90" s="96" t="s">
        <v>99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8"/>
        <v>0</v>
      </c>
      <c r="AI90" s="48">
        <f t="shared" si="9"/>
        <v>0</v>
      </c>
    </row>
    <row r="91" spans="1:40" ht="15.75" thickBot="1" x14ac:dyDescent="0.3">
      <c r="A91" s="74" t="s">
        <v>100</v>
      </c>
      <c r="B91" s="95">
        <f t="shared" ref="B91:AF91" si="12">B89+B90</f>
        <v>3.54</v>
      </c>
      <c r="C91" s="95">
        <f t="shared" si="12"/>
        <v>3.54</v>
      </c>
      <c r="D91" s="95">
        <f t="shared" si="12"/>
        <v>3.54</v>
      </c>
      <c r="E91" s="95">
        <f t="shared" si="12"/>
        <v>3.54</v>
      </c>
      <c r="F91" s="95">
        <f t="shared" si="12"/>
        <v>3.54</v>
      </c>
      <c r="G91" s="95">
        <f t="shared" si="12"/>
        <v>3.54</v>
      </c>
      <c r="H91" s="95">
        <f t="shared" si="12"/>
        <v>3.54</v>
      </c>
      <c r="I91" s="95">
        <f t="shared" si="12"/>
        <v>3.54</v>
      </c>
      <c r="J91" s="95">
        <f t="shared" si="12"/>
        <v>3.54</v>
      </c>
      <c r="K91" s="95">
        <f t="shared" si="12"/>
        <v>3.54</v>
      </c>
      <c r="L91" s="95">
        <f t="shared" si="12"/>
        <v>3.54</v>
      </c>
      <c r="M91" s="95">
        <f t="shared" si="12"/>
        <v>3.54</v>
      </c>
      <c r="N91" s="95">
        <f t="shared" si="12"/>
        <v>3.54</v>
      </c>
      <c r="O91" s="95">
        <f t="shared" si="12"/>
        <v>3.54</v>
      </c>
      <c r="P91" s="95">
        <f t="shared" si="12"/>
        <v>3.54</v>
      </c>
      <c r="Q91" s="95">
        <f t="shared" si="12"/>
        <v>3.54</v>
      </c>
      <c r="R91" s="95">
        <f t="shared" si="12"/>
        <v>3.54</v>
      </c>
      <c r="S91" s="95">
        <f t="shared" si="12"/>
        <v>3.54</v>
      </c>
      <c r="T91" s="95">
        <f t="shared" si="12"/>
        <v>3.54</v>
      </c>
      <c r="U91" s="95">
        <f t="shared" si="12"/>
        <v>3.54</v>
      </c>
      <c r="V91" s="95">
        <f t="shared" si="12"/>
        <v>3.54</v>
      </c>
      <c r="W91" s="95">
        <f t="shared" si="12"/>
        <v>3.54</v>
      </c>
      <c r="X91" s="95">
        <f t="shared" si="12"/>
        <v>3.54</v>
      </c>
      <c r="Y91" s="95">
        <f t="shared" si="12"/>
        <v>3.54</v>
      </c>
      <c r="Z91" s="95">
        <f t="shared" si="12"/>
        <v>3.54</v>
      </c>
      <c r="AA91" s="95">
        <f t="shared" si="12"/>
        <v>3.54</v>
      </c>
      <c r="AB91" s="95">
        <f t="shared" si="12"/>
        <v>3.54</v>
      </c>
      <c r="AC91" s="95">
        <f t="shared" si="12"/>
        <v>3.54</v>
      </c>
      <c r="AD91" s="95">
        <f t="shared" si="12"/>
        <v>3.54</v>
      </c>
      <c r="AE91" s="95">
        <f t="shared" si="12"/>
        <v>3.54</v>
      </c>
      <c r="AF91" s="95">
        <f t="shared" si="12"/>
        <v>3.54</v>
      </c>
      <c r="AG91" s="88">
        <f>AG88+AG84+AG72+AG68+AG50+AG90</f>
        <v>1573.45</v>
      </c>
      <c r="AH91" s="47">
        <f t="shared" si="8"/>
        <v>3.54</v>
      </c>
      <c r="AI91" s="48">
        <f t="shared" si="9"/>
        <v>3.54</v>
      </c>
    </row>
    <row r="92" spans="1:40" ht="15.75" thickBot="1" x14ac:dyDescent="0.3">
      <c r="A92" s="74" t="s">
        <v>101</v>
      </c>
      <c r="B92" s="95">
        <f t="shared" ref="B92:AF92" si="13">B91-B99</f>
        <v>3.54</v>
      </c>
      <c r="C92" s="95">
        <f t="shared" si="13"/>
        <v>3.54</v>
      </c>
      <c r="D92" s="95">
        <f t="shared" si="13"/>
        <v>3.54</v>
      </c>
      <c r="E92" s="95">
        <f t="shared" si="13"/>
        <v>3.54</v>
      </c>
      <c r="F92" s="95">
        <f t="shared" si="13"/>
        <v>3.54</v>
      </c>
      <c r="G92" s="95">
        <f t="shared" si="13"/>
        <v>3.54</v>
      </c>
      <c r="H92" s="95">
        <f t="shared" si="13"/>
        <v>3.54</v>
      </c>
      <c r="I92" s="95">
        <f t="shared" si="13"/>
        <v>3.54</v>
      </c>
      <c r="J92" s="95">
        <f t="shared" si="13"/>
        <v>3.54</v>
      </c>
      <c r="K92" s="95">
        <f t="shared" si="13"/>
        <v>3.54</v>
      </c>
      <c r="L92" s="95">
        <f t="shared" si="13"/>
        <v>3.54</v>
      </c>
      <c r="M92" s="95">
        <f t="shared" si="13"/>
        <v>3.54</v>
      </c>
      <c r="N92" s="95">
        <f t="shared" si="13"/>
        <v>3.54</v>
      </c>
      <c r="O92" s="95">
        <f t="shared" si="13"/>
        <v>3.54</v>
      </c>
      <c r="P92" s="95">
        <f t="shared" si="13"/>
        <v>3.54</v>
      </c>
      <c r="Q92" s="95">
        <f t="shared" si="13"/>
        <v>3.54</v>
      </c>
      <c r="R92" s="95">
        <f t="shared" si="13"/>
        <v>3.54</v>
      </c>
      <c r="S92" s="95">
        <f t="shared" si="13"/>
        <v>3.54</v>
      </c>
      <c r="T92" s="95">
        <f t="shared" si="13"/>
        <v>3.54</v>
      </c>
      <c r="U92" s="95">
        <f t="shared" si="13"/>
        <v>3.54</v>
      </c>
      <c r="V92" s="95">
        <f t="shared" si="13"/>
        <v>3.54</v>
      </c>
      <c r="W92" s="95">
        <f t="shared" si="13"/>
        <v>3.54</v>
      </c>
      <c r="X92" s="95">
        <f t="shared" si="13"/>
        <v>3.54</v>
      </c>
      <c r="Y92" s="95">
        <f t="shared" si="13"/>
        <v>3.54</v>
      </c>
      <c r="Z92" s="95">
        <f t="shared" si="13"/>
        <v>3.54</v>
      </c>
      <c r="AA92" s="95">
        <f t="shared" si="13"/>
        <v>3.54</v>
      </c>
      <c r="AB92" s="95">
        <f t="shared" si="13"/>
        <v>3.54</v>
      </c>
      <c r="AC92" s="95">
        <f t="shared" si="13"/>
        <v>3.54</v>
      </c>
      <c r="AD92" s="95">
        <f t="shared" si="13"/>
        <v>3.54</v>
      </c>
      <c r="AE92" s="95">
        <f t="shared" si="13"/>
        <v>3.54</v>
      </c>
      <c r="AF92" s="95">
        <f t="shared" si="13"/>
        <v>3.54</v>
      </c>
      <c r="AG92" s="88"/>
      <c r="AH92" s="47">
        <f t="shared" si="8"/>
        <v>3.54</v>
      </c>
      <c r="AI92" s="48">
        <f t="shared" si="9"/>
        <v>3.54</v>
      </c>
    </row>
    <row r="93" spans="1:40" x14ac:dyDescent="0.25">
      <c r="A93" s="44" t="s">
        <v>82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102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103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79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104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105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8"/>
      <c r="AH99" s="47">
        <f t="shared" si="8"/>
        <v>0</v>
      </c>
      <c r="AI99" s="48">
        <f t="shared" si="9"/>
        <v>0</v>
      </c>
      <c r="AK99" s="49"/>
    </row>
    <row r="100" spans="1:37" ht="15.75" thickBot="1" x14ac:dyDescent="0.3">
      <c r="A100" s="74" t="s">
        <v>106</v>
      </c>
      <c r="B100" s="60">
        <f t="shared" ref="B100:AF100" si="14">B84-B99</f>
        <v>0</v>
      </c>
      <c r="C100" s="60">
        <f t="shared" si="14"/>
        <v>0</v>
      </c>
      <c r="D100" s="60">
        <f t="shared" si="14"/>
        <v>0</v>
      </c>
      <c r="E100" s="60">
        <f t="shared" si="14"/>
        <v>0</v>
      </c>
      <c r="F100" s="60">
        <f t="shared" si="14"/>
        <v>0</v>
      </c>
      <c r="G100" s="60">
        <f t="shared" si="14"/>
        <v>0</v>
      </c>
      <c r="H100" s="60">
        <f t="shared" si="14"/>
        <v>0</v>
      </c>
      <c r="I100" s="60">
        <f t="shared" si="14"/>
        <v>0</v>
      </c>
      <c r="J100" s="60">
        <f t="shared" si="14"/>
        <v>0</v>
      </c>
      <c r="K100" s="60">
        <f t="shared" si="14"/>
        <v>0</v>
      </c>
      <c r="L100" s="60">
        <f t="shared" si="14"/>
        <v>0</v>
      </c>
      <c r="M100" s="60">
        <f t="shared" si="14"/>
        <v>0</v>
      </c>
      <c r="N100" s="60">
        <f t="shared" si="14"/>
        <v>0</v>
      </c>
      <c r="O100" s="60">
        <f t="shared" si="14"/>
        <v>0</v>
      </c>
      <c r="P100" s="60">
        <f t="shared" si="14"/>
        <v>0</v>
      </c>
      <c r="Q100" s="60">
        <f t="shared" si="14"/>
        <v>0</v>
      </c>
      <c r="R100" s="60">
        <f t="shared" si="14"/>
        <v>0</v>
      </c>
      <c r="S100" s="60">
        <f t="shared" si="14"/>
        <v>0</v>
      </c>
      <c r="T100" s="60">
        <f t="shared" si="14"/>
        <v>0</v>
      </c>
      <c r="U100" s="60">
        <f t="shared" si="14"/>
        <v>0</v>
      </c>
      <c r="V100" s="60">
        <f t="shared" si="14"/>
        <v>0</v>
      </c>
      <c r="W100" s="60">
        <f t="shared" si="14"/>
        <v>0</v>
      </c>
      <c r="X100" s="60">
        <f t="shared" si="14"/>
        <v>0</v>
      </c>
      <c r="Y100" s="60">
        <f t="shared" si="14"/>
        <v>0</v>
      </c>
      <c r="Z100" s="60">
        <f t="shared" si="14"/>
        <v>0</v>
      </c>
      <c r="AA100" s="60">
        <f t="shared" si="14"/>
        <v>0</v>
      </c>
      <c r="AB100" s="60">
        <f t="shared" si="14"/>
        <v>0</v>
      </c>
      <c r="AC100" s="60">
        <f t="shared" si="14"/>
        <v>0</v>
      </c>
      <c r="AD100" s="60">
        <f t="shared" si="14"/>
        <v>0</v>
      </c>
      <c r="AE100" s="60">
        <f t="shared" si="14"/>
        <v>0</v>
      </c>
      <c r="AF100" s="60">
        <f t="shared" si="14"/>
        <v>0</v>
      </c>
      <c r="AG100" s="88"/>
      <c r="AH100" s="47">
        <f t="shared" si="8"/>
        <v>0</v>
      </c>
      <c r="AI100" s="48">
        <f t="shared" si="9"/>
        <v>0</v>
      </c>
    </row>
    <row r="101" spans="1:37" x14ac:dyDescent="0.25">
      <c r="A101" s="100" t="s">
        <v>107</v>
      </c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2"/>
      <c r="AH101" s="47">
        <f t="shared" si="8"/>
        <v>0</v>
      </c>
      <c r="AI101" s="48">
        <f t="shared" si="9"/>
        <v>0</v>
      </c>
    </row>
    <row r="102" spans="1:37" x14ac:dyDescent="0.25">
      <c r="A102" s="103" t="s">
        <v>108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104"/>
      <c r="AH102" s="47">
        <f t="shared" si="8"/>
        <v>0</v>
      </c>
      <c r="AI102" s="48">
        <f t="shared" si="9"/>
        <v>0</v>
      </c>
    </row>
    <row r="103" spans="1:37" x14ac:dyDescent="0.25">
      <c r="A103" s="103" t="s">
        <v>109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3" t="s">
        <v>110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104"/>
      <c r="AH104" s="47">
        <f t="shared" si="8"/>
        <v>0</v>
      </c>
      <c r="AI104" s="48">
        <f t="shared" si="9"/>
        <v>0</v>
      </c>
    </row>
    <row r="105" spans="1:37" x14ac:dyDescent="0.25">
      <c r="A105" s="105" t="s">
        <v>111</v>
      </c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112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7"/>
      <c r="AH106" s="47">
        <f t="shared" si="8"/>
        <v>0</v>
      </c>
      <c r="AI106" s="48">
        <f t="shared" si="9"/>
        <v>0</v>
      </c>
    </row>
    <row r="107" spans="1:37" x14ac:dyDescent="0.25">
      <c r="A107" s="103" t="s">
        <v>113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104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03" t="s">
        <v>114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108"/>
      <c r="AH108" s="47">
        <f t="shared" si="8"/>
        <v>0</v>
      </c>
      <c r="AI108" s="48">
        <f t="shared" si="9"/>
        <v>0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115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116</v>
      </c>
      <c r="B110" s="111">
        <f t="shared" ref="B110:O110" si="15">SUM(B20,B26,B29:B30,B58,B60:B61,B63,B65,B111:B115,B138,B144,B150,B159,B161,B173,B180,B183:B184,B191,B193,B195,B199:B201,B203:B205,B210,B216:B217,B219:B221,B229,B234)</f>
        <v>0</v>
      </c>
      <c r="C110" s="111">
        <f t="shared" si="15"/>
        <v>0.94</v>
      </c>
      <c r="D110" s="111">
        <f t="shared" si="15"/>
        <v>0.94</v>
      </c>
      <c r="E110" s="111">
        <f t="shared" si="15"/>
        <v>0.94</v>
      </c>
      <c r="F110" s="111">
        <f t="shared" si="15"/>
        <v>0.94</v>
      </c>
      <c r="G110" s="111">
        <f t="shared" si="15"/>
        <v>0.94</v>
      </c>
      <c r="H110" s="111">
        <f t="shared" si="15"/>
        <v>0.94</v>
      </c>
      <c r="I110" s="111">
        <f t="shared" si="15"/>
        <v>0.94</v>
      </c>
      <c r="J110" s="111">
        <f t="shared" si="15"/>
        <v>0.94</v>
      </c>
      <c r="K110" s="111">
        <f t="shared" si="15"/>
        <v>0.94</v>
      </c>
      <c r="L110" s="111">
        <f t="shared" si="15"/>
        <v>0.94</v>
      </c>
      <c r="M110" s="111">
        <f t="shared" si="15"/>
        <v>0.94</v>
      </c>
      <c r="N110" s="111">
        <f t="shared" si="15"/>
        <v>0.94</v>
      </c>
      <c r="O110" s="111">
        <f t="shared" si="15"/>
        <v>0.94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0</v>
      </c>
      <c r="R110" s="111">
        <f t="shared" si="16"/>
        <v>0</v>
      </c>
      <c r="S110" s="111">
        <f t="shared" si="16"/>
        <v>0</v>
      </c>
      <c r="T110" s="111">
        <f t="shared" si="16"/>
        <v>0</v>
      </c>
      <c r="U110" s="111">
        <f t="shared" si="16"/>
        <v>0</v>
      </c>
      <c r="V110" s="111">
        <f t="shared" si="16"/>
        <v>0</v>
      </c>
      <c r="W110" s="111">
        <f t="shared" si="16"/>
        <v>0</v>
      </c>
      <c r="X110" s="111">
        <f t="shared" si="16"/>
        <v>0</v>
      </c>
      <c r="Y110" s="111">
        <f t="shared" si="16"/>
        <v>0</v>
      </c>
      <c r="Z110" s="111">
        <f t="shared" si="16"/>
        <v>0</v>
      </c>
      <c r="AA110" s="111">
        <f t="shared" si="16"/>
        <v>0</v>
      </c>
      <c r="AB110" s="111">
        <f t="shared" si="16"/>
        <v>0</v>
      </c>
      <c r="AC110" s="111">
        <f t="shared" si="16"/>
        <v>0</v>
      </c>
      <c r="AD110" s="111"/>
      <c r="AE110" s="111">
        <f t="shared" si="16"/>
        <v>0</v>
      </c>
      <c r="AF110" s="111">
        <f t="shared" si="16"/>
        <v>0</v>
      </c>
      <c r="AG110" s="112"/>
      <c r="AH110" s="47">
        <f t="shared" si="8"/>
        <v>42</v>
      </c>
      <c r="AI110" s="48">
        <f t="shared" si="9"/>
        <v>0</v>
      </c>
    </row>
    <row r="111" spans="1:37" x14ac:dyDescent="0.25">
      <c r="A111" s="100" t="s">
        <v>117</v>
      </c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4">
        <v>75</v>
      </c>
      <c r="AH111" s="47">
        <f t="shared" si="8"/>
        <v>0</v>
      </c>
      <c r="AI111" s="48">
        <f t="shared" si="9"/>
        <v>0</v>
      </c>
    </row>
    <row r="112" spans="1:37" x14ac:dyDescent="0.25">
      <c r="A112" s="103" t="s">
        <v>118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4">
        <v>240</v>
      </c>
      <c r="AH112" s="47">
        <f t="shared" si="8"/>
        <v>0</v>
      </c>
      <c r="AI112" s="48">
        <f t="shared" si="9"/>
        <v>0</v>
      </c>
    </row>
    <row r="113" spans="1:37" x14ac:dyDescent="0.25">
      <c r="A113" s="103" t="s">
        <v>119</v>
      </c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4">
        <v>240</v>
      </c>
      <c r="AH113" s="47">
        <f t="shared" si="8"/>
        <v>0</v>
      </c>
      <c r="AI113" s="48">
        <f t="shared" si="9"/>
        <v>0</v>
      </c>
    </row>
    <row r="114" spans="1:37" x14ac:dyDescent="0.25">
      <c r="A114" s="103" t="s">
        <v>120</v>
      </c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4">
        <v>60</v>
      </c>
      <c r="AH114" s="47">
        <f t="shared" si="8"/>
        <v>0</v>
      </c>
      <c r="AI114" s="48">
        <f t="shared" si="9"/>
        <v>0</v>
      </c>
    </row>
    <row r="115" spans="1:37" x14ac:dyDescent="0.25">
      <c r="A115" s="116" t="s">
        <v>121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8">
        <v>120</v>
      </c>
      <c r="AH115" s="47">
        <f t="shared" si="8"/>
        <v>0</v>
      </c>
      <c r="AI115" s="48">
        <f t="shared" si="9"/>
        <v>0</v>
      </c>
    </row>
    <row r="116" spans="1:37" x14ac:dyDescent="0.25">
      <c r="A116" s="116" t="s">
        <v>122</v>
      </c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8"/>
      <c r="AH116" s="47">
        <f t="shared" si="8"/>
        <v>0</v>
      </c>
      <c r="AI116" s="48">
        <f t="shared" si="9"/>
        <v>0</v>
      </c>
    </row>
    <row r="117" spans="1:37" x14ac:dyDescent="0.25">
      <c r="A117" s="116" t="s">
        <v>123</v>
      </c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9"/>
      <c r="AH117" s="47">
        <f t="shared" si="8"/>
        <v>0</v>
      </c>
      <c r="AI117" s="48">
        <f t="shared" si="9"/>
        <v>0</v>
      </c>
    </row>
    <row r="118" spans="1:37" x14ac:dyDescent="0.25">
      <c r="A118" s="120" t="s">
        <v>124</v>
      </c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19"/>
      <c r="AH118" s="47">
        <f t="shared" si="8"/>
        <v>0</v>
      </c>
      <c r="AI118" s="48">
        <f t="shared" si="9"/>
        <v>0</v>
      </c>
    </row>
    <row r="119" spans="1:37" x14ac:dyDescent="0.25">
      <c r="A119" s="175" t="s">
        <v>265</v>
      </c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19"/>
      <c r="AH119" s="47">
        <f t="shared" si="8"/>
        <v>0</v>
      </c>
      <c r="AI119" s="48">
        <f t="shared" si="9"/>
        <v>0</v>
      </c>
    </row>
    <row r="120" spans="1:37" ht="15.75" thickBot="1" x14ac:dyDescent="0.3">
      <c r="A120" s="120" t="s">
        <v>125</v>
      </c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19"/>
      <c r="AH120" s="47">
        <f t="shared" si="8"/>
        <v>0</v>
      </c>
      <c r="AI120" s="48">
        <f t="shared" si="9"/>
        <v>0</v>
      </c>
    </row>
    <row r="121" spans="1:37" ht="15.75" thickBot="1" x14ac:dyDescent="0.3">
      <c r="A121" s="121" t="s">
        <v>126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49"/>
    </row>
    <row r="122" spans="1:37" x14ac:dyDescent="0.25">
      <c r="A122" s="124" t="s">
        <v>127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49"/>
    </row>
    <row r="123" spans="1:37" x14ac:dyDescent="0.25">
      <c r="A123" s="103" t="s">
        <v>128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129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130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131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132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133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134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135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136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49"/>
    </row>
    <row r="132" spans="1:37" x14ac:dyDescent="0.25">
      <c r="A132" s="103" t="s">
        <v>137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49"/>
    </row>
    <row r="133" spans="1:37" x14ac:dyDescent="0.25">
      <c r="A133" s="103" t="s">
        <v>138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49"/>
    </row>
    <row r="134" spans="1:37" x14ac:dyDescent="0.25">
      <c r="A134" s="103" t="s">
        <v>139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49"/>
    </row>
    <row r="135" spans="1:37" x14ac:dyDescent="0.25">
      <c r="A135" s="103" t="s">
        <v>140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49"/>
    </row>
    <row r="136" spans="1:37" x14ac:dyDescent="0.25">
      <c r="A136" s="103" t="s">
        <v>141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49"/>
    </row>
    <row r="137" spans="1:37" x14ac:dyDescent="0.25">
      <c r="A137" s="103" t="s">
        <v>142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49"/>
    </row>
    <row r="138" spans="1:37" x14ac:dyDescent="0.25">
      <c r="A138" s="103" t="s">
        <v>143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49"/>
    </row>
    <row r="139" spans="1:37" x14ac:dyDescent="0.25">
      <c r="A139" s="116" t="s">
        <v>144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49"/>
    </row>
    <row r="140" spans="1:37" x14ac:dyDescent="0.25">
      <c r="A140" s="116" t="s">
        <v>145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49"/>
    </row>
    <row r="141" spans="1:37" x14ac:dyDescent="0.25">
      <c r="A141" s="116" t="s">
        <v>146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49"/>
    </row>
    <row r="142" spans="1:37" x14ac:dyDescent="0.25">
      <c r="A142" s="116" t="s">
        <v>147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49"/>
    </row>
    <row r="143" spans="1:37" x14ac:dyDescent="0.25">
      <c r="A143" s="116" t="s">
        <v>148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49"/>
    </row>
    <row r="144" spans="1:37" x14ac:dyDescent="0.25">
      <c r="A144" s="116" t="s">
        <v>149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49"/>
    </row>
    <row r="145" spans="1:37" x14ac:dyDescent="0.25">
      <c r="A145" s="116" t="s">
        <v>150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49"/>
    </row>
    <row r="146" spans="1:37" x14ac:dyDescent="0.25">
      <c r="A146" s="116" t="s">
        <v>151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49"/>
    </row>
    <row r="147" spans="1:37" ht="13.5" customHeight="1" x14ac:dyDescent="0.25">
      <c r="A147" s="116" t="s">
        <v>152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49"/>
    </row>
    <row r="148" spans="1:37" x14ac:dyDescent="0.25">
      <c r="A148" s="116" t="s">
        <v>153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49"/>
    </row>
    <row r="149" spans="1:37" x14ac:dyDescent="0.25">
      <c r="A149" s="116" t="s">
        <v>154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49"/>
    </row>
    <row r="150" spans="1:37" x14ac:dyDescent="0.25">
      <c r="A150" s="116" t="s">
        <v>155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49"/>
    </row>
    <row r="151" spans="1:37" x14ac:dyDescent="0.25">
      <c r="A151" s="116" t="s">
        <v>156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49"/>
    </row>
    <row r="152" spans="1:37" x14ac:dyDescent="0.25">
      <c r="A152" s="116" t="s">
        <v>157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49"/>
    </row>
    <row r="153" spans="1:37" x14ac:dyDescent="0.25">
      <c r="A153" s="116" t="s">
        <v>158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49"/>
    </row>
    <row r="154" spans="1:37" x14ac:dyDescent="0.25">
      <c r="A154" s="116" t="s">
        <v>159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49"/>
    </row>
    <row r="155" spans="1:37" x14ac:dyDescent="0.25">
      <c r="A155" s="116" t="s">
        <v>160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49"/>
    </row>
    <row r="156" spans="1:37" x14ac:dyDescent="0.25">
      <c r="A156" s="116" t="s">
        <v>161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49"/>
    </row>
    <row r="157" spans="1:37" x14ac:dyDescent="0.25">
      <c r="A157" s="116" t="s">
        <v>162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49"/>
    </row>
    <row r="158" spans="1:37" x14ac:dyDescent="0.25">
      <c r="A158" s="116" t="s">
        <v>163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49"/>
    </row>
    <row r="159" spans="1:37" x14ac:dyDescent="0.25">
      <c r="A159" s="116" t="s">
        <v>164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49"/>
    </row>
    <row r="160" spans="1:37" x14ac:dyDescent="0.25">
      <c r="A160" s="116" t="s">
        <v>165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49"/>
    </row>
    <row r="161" spans="1:37" x14ac:dyDescent="0.25">
      <c r="A161" s="116" t="s">
        <v>166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49"/>
    </row>
    <row r="162" spans="1:37" x14ac:dyDescent="0.25">
      <c r="A162" s="116" t="s">
        <v>167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49"/>
    </row>
    <row r="163" spans="1:37" x14ac:dyDescent="0.25">
      <c r="A163" s="116" t="s">
        <v>168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49"/>
    </row>
    <row r="164" spans="1:37" x14ac:dyDescent="0.25">
      <c r="A164" s="103" t="s">
        <v>169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49"/>
    </row>
    <row r="165" spans="1:37" x14ac:dyDescent="0.25">
      <c r="A165" s="116" t="s">
        <v>170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49"/>
    </row>
    <row r="166" spans="1:37" x14ac:dyDescent="0.25">
      <c r="A166" s="116" t="s">
        <v>171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49"/>
    </row>
    <row r="167" spans="1:37" x14ac:dyDescent="0.25">
      <c r="A167" s="116" t="s">
        <v>172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49"/>
    </row>
    <row r="168" spans="1:37" x14ac:dyDescent="0.25">
      <c r="A168" s="116" t="s">
        <v>173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49"/>
    </row>
    <row r="169" spans="1:37" x14ac:dyDescent="0.25">
      <c r="A169" s="116" t="s">
        <v>174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49"/>
    </row>
    <row r="170" spans="1:37" x14ac:dyDescent="0.25">
      <c r="A170" s="116" t="s">
        <v>175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49"/>
    </row>
    <row r="171" spans="1:37" x14ac:dyDescent="0.25">
      <c r="A171" s="116" t="s">
        <v>176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49"/>
    </row>
    <row r="172" spans="1:37" x14ac:dyDescent="0.25">
      <c r="A172" s="116" t="s">
        <v>177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49"/>
    </row>
    <row r="173" spans="1:37" x14ac:dyDescent="0.25">
      <c r="A173" s="116" t="s">
        <v>178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49"/>
    </row>
    <row r="174" spans="1:37" x14ac:dyDescent="0.25">
      <c r="A174" s="116" t="s">
        <v>179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49"/>
    </row>
    <row r="175" spans="1:37" x14ac:dyDescent="0.25">
      <c r="A175" s="116" t="s">
        <v>180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49"/>
    </row>
    <row r="176" spans="1:37" x14ac:dyDescent="0.25">
      <c r="A176" s="116" t="s">
        <v>181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49"/>
    </row>
    <row r="177" spans="1:37" x14ac:dyDescent="0.25">
      <c r="A177" s="116" t="s">
        <v>182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49"/>
    </row>
    <row r="178" spans="1:37" x14ac:dyDescent="0.25">
      <c r="A178" s="116" t="s">
        <v>183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49"/>
    </row>
    <row r="179" spans="1:37" x14ac:dyDescent="0.25">
      <c r="A179" s="116" t="s">
        <v>184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49"/>
    </row>
    <row r="180" spans="1:37" x14ac:dyDescent="0.25">
      <c r="A180" s="116" t="s">
        <v>185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49"/>
    </row>
    <row r="181" spans="1:37" x14ac:dyDescent="0.25">
      <c r="A181" s="116" t="s">
        <v>186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49"/>
    </row>
    <row r="182" spans="1:37" x14ac:dyDescent="0.25">
      <c r="A182" s="116" t="s">
        <v>187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49"/>
    </row>
    <row r="183" spans="1:37" x14ac:dyDescent="0.25">
      <c r="A183" s="116" t="s">
        <v>188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49"/>
    </row>
    <row r="184" spans="1:37" x14ac:dyDescent="0.25">
      <c r="A184" s="116" t="s">
        <v>189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190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49"/>
    </row>
    <row r="186" spans="1:37" x14ac:dyDescent="0.25">
      <c r="A186" s="116" t="s">
        <v>191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49"/>
    </row>
    <row r="187" spans="1:37" x14ac:dyDescent="0.25">
      <c r="A187" s="116" t="s">
        <v>192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49"/>
    </row>
    <row r="188" spans="1:37" x14ac:dyDescent="0.25">
      <c r="A188" s="116" t="s">
        <v>193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49"/>
    </row>
    <row r="189" spans="1:37" x14ac:dyDescent="0.25">
      <c r="A189" s="116" t="s">
        <v>194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49"/>
    </row>
    <row r="190" spans="1:37" x14ac:dyDescent="0.25">
      <c r="A190" s="116" t="s">
        <v>195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49"/>
    </row>
    <row r="191" spans="1:37" x14ac:dyDescent="0.25">
      <c r="A191" s="116" t="s">
        <v>196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49"/>
    </row>
    <row r="192" spans="1:37" x14ac:dyDescent="0.25">
      <c r="A192" s="116" t="s">
        <v>197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49"/>
    </row>
    <row r="193" spans="1:37" x14ac:dyDescent="0.25">
      <c r="A193" s="116" t="s">
        <v>198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49"/>
    </row>
    <row r="194" spans="1:37" x14ac:dyDescent="0.25">
      <c r="A194" s="116" t="s">
        <v>199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49"/>
    </row>
    <row r="195" spans="1:37" x14ac:dyDescent="0.25">
      <c r="A195" s="116" t="s">
        <v>200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49"/>
    </row>
    <row r="196" spans="1:37" x14ac:dyDescent="0.25">
      <c r="A196" s="116" t="s">
        <v>201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202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49"/>
    </row>
    <row r="198" spans="1:37" x14ac:dyDescent="0.25">
      <c r="A198" s="116" t="s">
        <v>203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49"/>
    </row>
    <row r="199" spans="1:37" x14ac:dyDescent="0.25">
      <c r="A199" s="116" t="s">
        <v>204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49"/>
    </row>
    <row r="200" spans="1:37" x14ac:dyDescent="0.25">
      <c r="A200" s="116" t="s">
        <v>205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49"/>
    </row>
    <row r="201" spans="1:37" x14ac:dyDescent="0.25">
      <c r="A201" s="116" t="s">
        <v>206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49"/>
    </row>
    <row r="202" spans="1:37" x14ac:dyDescent="0.25">
      <c r="A202" s="116" t="s">
        <v>207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49"/>
    </row>
    <row r="203" spans="1:37" x14ac:dyDescent="0.25">
      <c r="A203" s="116" t="s">
        <v>208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49"/>
    </row>
    <row r="204" spans="1:37" x14ac:dyDescent="0.25">
      <c r="A204" s="116" t="s">
        <v>209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49"/>
    </row>
    <row r="205" spans="1:37" x14ac:dyDescent="0.25">
      <c r="A205" s="116" t="s">
        <v>210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49"/>
    </row>
    <row r="206" spans="1:37" x14ac:dyDescent="0.25">
      <c r="A206" s="116" t="s">
        <v>211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49"/>
    </row>
    <row r="207" spans="1:37" x14ac:dyDescent="0.25">
      <c r="A207" s="116" t="s">
        <v>212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49"/>
    </row>
    <row r="208" spans="1:37" x14ac:dyDescent="0.25">
      <c r="A208" s="116" t="s">
        <v>213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49"/>
    </row>
    <row r="209" spans="1:37" x14ac:dyDescent="0.25">
      <c r="A209" s="116" t="s">
        <v>214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49"/>
    </row>
    <row r="210" spans="1:37" x14ac:dyDescent="0.25">
      <c r="A210" s="116" t="s">
        <v>215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49"/>
    </row>
    <row r="211" spans="1:37" x14ac:dyDescent="0.25">
      <c r="A211" s="116" t="s">
        <v>216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49"/>
    </row>
    <row r="212" spans="1:37" x14ac:dyDescent="0.25">
      <c r="A212" s="116" t="s">
        <v>217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49"/>
    </row>
    <row r="213" spans="1:37" x14ac:dyDescent="0.25">
      <c r="A213" s="116" t="s">
        <v>218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49"/>
    </row>
    <row r="214" spans="1:37" x14ac:dyDescent="0.25">
      <c r="A214" s="116" t="s">
        <v>219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49"/>
    </row>
    <row r="215" spans="1:37" x14ac:dyDescent="0.25">
      <c r="A215" s="116" t="s">
        <v>220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49"/>
    </row>
    <row r="216" spans="1:37" x14ac:dyDescent="0.25">
      <c r="A216" s="116" t="s">
        <v>221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49"/>
    </row>
    <row r="217" spans="1:37" x14ac:dyDescent="0.25">
      <c r="A217" s="116" t="s">
        <v>222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49"/>
    </row>
    <row r="218" spans="1:37" x14ac:dyDescent="0.25">
      <c r="A218" s="116" t="s">
        <v>223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49"/>
    </row>
    <row r="219" spans="1:37" x14ac:dyDescent="0.25">
      <c r="A219" s="116" t="s">
        <v>224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49"/>
    </row>
    <row r="220" spans="1:37" x14ac:dyDescent="0.25">
      <c r="A220" s="116" t="s">
        <v>225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49"/>
    </row>
    <row r="221" spans="1:37" x14ac:dyDescent="0.25">
      <c r="A221" s="116" t="s">
        <v>226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49"/>
    </row>
    <row r="222" spans="1:37" x14ac:dyDescent="0.25">
      <c r="A222" s="116" t="s">
        <v>227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49"/>
    </row>
    <row r="223" spans="1:37" x14ac:dyDescent="0.25">
      <c r="A223" s="116" t="s">
        <v>228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49"/>
    </row>
    <row r="224" spans="1:37" x14ac:dyDescent="0.25">
      <c r="A224" s="116" t="s">
        <v>229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49"/>
    </row>
    <row r="225" spans="1:37" x14ac:dyDescent="0.25">
      <c r="A225" s="116" t="s">
        <v>230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49"/>
    </row>
    <row r="226" spans="1:37" ht="15.75" thickBot="1" x14ac:dyDescent="0.3">
      <c r="A226" s="116" t="s">
        <v>231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49"/>
    </row>
    <row r="227" spans="1:37" ht="15.75" thickBot="1" x14ac:dyDescent="0.3">
      <c r="A227" s="134" t="s">
        <v>232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49"/>
    </row>
    <row r="228" spans="1:37" ht="15.75" thickBot="1" x14ac:dyDescent="0.3">
      <c r="A228" s="26" t="s">
        <v>73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9"/>
      <c r="AH228" s="47"/>
      <c r="AI228" s="48"/>
      <c r="AK228" s="49"/>
    </row>
    <row r="229" spans="1:37" x14ac:dyDescent="0.25">
      <c r="A229" s="100" t="s">
        <v>233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49"/>
    </row>
    <row r="230" spans="1:37" ht="15.75" thickBot="1" x14ac:dyDescent="0.3">
      <c r="A230" s="103" t="s">
        <v>234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49"/>
    </row>
    <row r="231" spans="1:37" x14ac:dyDescent="0.25">
      <c r="A231" s="103" t="s">
        <v>235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119.19900000000008</v>
      </c>
      <c r="L231" s="128">
        <f t="shared" ca="1" si="19"/>
        <v>119.19900000000008</v>
      </c>
      <c r="M231" s="128">
        <f t="shared" ca="1" si="19"/>
        <v>119.19900000000008</v>
      </c>
      <c r="N231" s="128">
        <f t="shared" ca="1" si="19"/>
        <v>119.19900000000008</v>
      </c>
      <c r="O231" s="128">
        <f t="shared" ca="1" si="19"/>
        <v>115.17900000000007</v>
      </c>
      <c r="P231" s="128">
        <f t="shared" ca="1" si="19"/>
        <v>115.17900000000007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49"/>
    </row>
    <row r="232" spans="1:37" x14ac:dyDescent="0.25">
      <c r="A232" s="103" t="s">
        <v>236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49"/>
    </row>
    <row r="233" spans="1:37" x14ac:dyDescent="0.25">
      <c r="A233" s="103" t="s">
        <v>237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49"/>
    </row>
    <row r="234" spans="1:37" ht="15.75" thickBot="1" x14ac:dyDescent="0.3">
      <c r="A234" s="116" t="s">
        <v>238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73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125.2590000000001</v>
      </c>
      <c r="K235" s="136">
        <f t="shared" ca="1" si="20"/>
        <v>121.23900000000009</v>
      </c>
      <c r="L235" s="136">
        <f t="shared" ca="1" si="20"/>
        <v>117.21900000000008</v>
      </c>
      <c r="M235" s="136">
        <f t="shared" ca="1" si="20"/>
        <v>117.21900000000008</v>
      </c>
      <c r="N235" s="136">
        <f t="shared" ca="1" si="20"/>
        <v>121.23900000000009</v>
      </c>
      <c r="O235" s="136">
        <f t="shared" ca="1" si="20"/>
        <v>113.19900000000007</v>
      </c>
      <c r="P235" s="136">
        <f t="shared" ca="1" si="20"/>
        <v>117.21900000000008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239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241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242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243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244</v>
      </c>
      <c r="B244" s="160">
        <f>MAX(G91:N91)</f>
        <v>3.54</v>
      </c>
      <c r="C244" s="161">
        <f>INDEX(G9:N9,1,MATCH(MAX(G91:N91),G91:N91,0))</f>
        <v>0.20833333333333301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sample (2)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78" t="s">
        <v>245</v>
      </c>
      <c r="B246" s="178"/>
      <c r="C246" s="43"/>
      <c r="D246" s="162" t="e">
        <f ca="1">"Pie Chart of Daily Peak Demand(Inclusive of Export) of Nepal ("&amp;A4&amp;" "&amp;B4&amp;")"</f>
        <v>#VALUE!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e">
        <f ca="1">"Daily Load Curve(Excluding of Export) of Nepal ("&amp;A4&amp;" "&amp;B4&amp;")"</f>
        <v>#VALUE!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246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247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248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249</v>
      </c>
      <c r="T249" s="170">
        <f t="shared" ref="T249:AX249" si="21">B91</f>
        <v>3.54</v>
      </c>
      <c r="U249" s="170">
        <f t="shared" si="21"/>
        <v>3.54</v>
      </c>
      <c r="V249" s="170">
        <f t="shared" si="21"/>
        <v>3.54</v>
      </c>
      <c r="W249" s="170">
        <f t="shared" si="21"/>
        <v>3.54</v>
      </c>
      <c r="X249" s="170">
        <f t="shared" si="21"/>
        <v>3.54</v>
      </c>
      <c r="Y249" s="170">
        <f t="shared" si="21"/>
        <v>3.54</v>
      </c>
      <c r="Z249" s="170">
        <f t="shared" si="21"/>
        <v>3.54</v>
      </c>
      <c r="AA249" s="170">
        <f t="shared" si="21"/>
        <v>3.54</v>
      </c>
      <c r="AB249" s="170">
        <f t="shared" si="21"/>
        <v>3.54</v>
      </c>
      <c r="AC249" s="170">
        <f t="shared" si="21"/>
        <v>3.54</v>
      </c>
      <c r="AD249" s="170">
        <f t="shared" si="21"/>
        <v>3.54</v>
      </c>
      <c r="AE249" s="170">
        <f t="shared" si="21"/>
        <v>3.54</v>
      </c>
      <c r="AF249" s="170">
        <f t="shared" si="21"/>
        <v>3.54</v>
      </c>
      <c r="AG249" s="170">
        <f t="shared" si="21"/>
        <v>3.54</v>
      </c>
      <c r="AH249" s="170">
        <f t="shared" si="21"/>
        <v>3.54</v>
      </c>
      <c r="AI249" s="170">
        <f t="shared" si="21"/>
        <v>3.54</v>
      </c>
      <c r="AJ249" s="170">
        <f t="shared" si="21"/>
        <v>3.54</v>
      </c>
      <c r="AK249" s="170">
        <f t="shared" si="21"/>
        <v>3.54</v>
      </c>
      <c r="AL249" s="170">
        <f t="shared" si="21"/>
        <v>3.54</v>
      </c>
      <c r="AM249" s="170">
        <f t="shared" si="21"/>
        <v>3.54</v>
      </c>
      <c r="AN249" s="170">
        <f t="shared" si="21"/>
        <v>3.54</v>
      </c>
      <c r="AO249" s="170">
        <f t="shared" si="21"/>
        <v>3.54</v>
      </c>
      <c r="AP249" s="170">
        <f t="shared" si="21"/>
        <v>3.54</v>
      </c>
      <c r="AQ249" s="170">
        <f t="shared" si="21"/>
        <v>3.54</v>
      </c>
      <c r="AR249" s="170">
        <f t="shared" si="21"/>
        <v>3.54</v>
      </c>
      <c r="AS249" s="170">
        <f t="shared" si="21"/>
        <v>3.54</v>
      </c>
      <c r="AT249" s="170">
        <f t="shared" si="21"/>
        <v>3.54</v>
      </c>
      <c r="AU249" s="170">
        <f t="shared" si="21"/>
        <v>3.54</v>
      </c>
      <c r="AV249" s="170">
        <f t="shared" si="21"/>
        <v>3.54</v>
      </c>
      <c r="AW249" s="170">
        <f t="shared" si="21"/>
        <v>3.54</v>
      </c>
      <c r="AX249" s="170">
        <f t="shared" si="21"/>
        <v>3.54</v>
      </c>
    </row>
    <row r="250" spans="1:50" x14ac:dyDescent="0.25">
      <c r="A250" s="163" t="s">
        <v>250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251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252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253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254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239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4:AF17 B12:AF12">
    <cfRule type="expression" dxfId="423" priority="409">
      <formula>B$9&gt;=20/24</formula>
    </cfRule>
    <cfRule type="expression" dxfId="422" priority="410">
      <formula>AND(B$9&gt;=14/24,B$9&lt;20/24)</formula>
    </cfRule>
    <cfRule type="expression" dxfId="421" priority="411">
      <formula>AND(B$9&gt;=8/24,B$9&lt;14/24)</formula>
    </cfRule>
    <cfRule type="expression" dxfId="420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G67 B14:AF17 B12:AF12">
    <cfRule type="expression" dxfId="419" priority="407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418" priority="406">
      <formula>$AH12=0</formula>
    </cfRule>
  </conditionalFormatting>
  <conditionalFormatting sqref="A116">
    <cfRule type="expression" dxfId="417" priority="405">
      <formula>$AH116=0</formula>
    </cfRule>
  </conditionalFormatting>
  <conditionalFormatting sqref="AL44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416" priority="403">
      <formula>$AH47=0</formula>
    </cfRule>
  </conditionalFormatting>
  <conditionalFormatting sqref="A100">
    <cfRule type="expression" dxfId="415" priority="402">
      <formula>$AH100=0</formula>
    </cfRule>
  </conditionalFormatting>
  <conditionalFormatting sqref="A20">
    <cfRule type="expression" dxfId="414" priority="401">
      <formula>$AH20=0</formula>
    </cfRule>
  </conditionalFormatting>
  <conditionalFormatting sqref="A199:A204">
    <cfRule type="expression" dxfId="413" priority="400">
      <formula>$AH199=0</formula>
    </cfRule>
  </conditionalFormatting>
  <conditionalFormatting sqref="A193:A198">
    <cfRule type="expression" dxfId="412" priority="399">
      <formula>$AH193=0</formula>
    </cfRule>
  </conditionalFormatting>
  <conditionalFormatting sqref="A60">
    <cfRule type="expression" dxfId="411" priority="398">
      <formula>$AH60=0</formula>
    </cfRule>
  </conditionalFormatting>
  <conditionalFormatting sqref="A96">
    <cfRule type="expression" dxfId="410" priority="397">
      <formula>$AH96=0</formula>
    </cfRule>
  </conditionalFormatting>
  <conditionalFormatting sqref="AD101:AF101 E101:Y101">
    <cfRule type="expression" dxfId="409" priority="393">
      <formula>E$9&gt;=20/24</formula>
    </cfRule>
    <cfRule type="expression" dxfId="408" priority="394">
      <formula>AND(E$9&gt;=14/24,E$9&lt;20/24)</formula>
    </cfRule>
    <cfRule type="expression" dxfId="407" priority="395">
      <formula>AND(E$9&gt;=8/24,E$9&lt;14/24)</formula>
    </cfRule>
    <cfRule type="expression" dxfId="406" priority="396">
      <formula>E$9&lt;8/24</formula>
    </cfRule>
  </conditionalFormatting>
  <conditionalFormatting sqref="AL45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05" priority="415">
      <formula>C$9&gt;=20/24</formula>
    </cfRule>
    <cfRule type="expression" dxfId="404" priority="416">
      <formula>AND(C$9&gt;=14/24,C$9&lt;20/24)</formula>
    </cfRule>
    <cfRule type="expression" dxfId="403" priority="417">
      <formula>AND(C$9&gt;=8/24,C$9&lt;14/24)</formula>
    </cfRule>
    <cfRule type="expression" dxfId="402" priority="418">
      <formula>C$9&lt;8/24</formula>
    </cfRule>
  </conditionalFormatting>
  <conditionalFormatting sqref="A236">
    <cfRule type="expression" dxfId="401" priority="419">
      <formula>$AH236=0</formula>
    </cfRule>
  </conditionalFormatting>
  <conditionalFormatting sqref="AG248">
    <cfRule type="expression" dxfId="400" priority="420">
      <formula>B$9&gt;=20/24</formula>
    </cfRule>
    <cfRule type="expression" dxfId="399" priority="421">
      <formula>AND(B$9&gt;=14/24,B$9&lt;20/24)</formula>
    </cfRule>
    <cfRule type="expression" dxfId="398" priority="422">
      <formula>AND(B$9&gt;=8/24,B$9&lt;14/24)</formula>
    </cfRule>
    <cfRule type="expression" dxfId="397" priority="423">
      <formula>B$9&lt;8/24</formula>
    </cfRule>
  </conditionalFormatting>
  <conditionalFormatting sqref="S8">
    <cfRule type="expression" dxfId="396" priority="388">
      <formula>U$9&gt;=20/24</formula>
    </cfRule>
    <cfRule type="expression" dxfId="395" priority="389">
      <formula>AND(U$9&gt;=14/24,U$9&lt;20/24)</formula>
    </cfRule>
    <cfRule type="expression" dxfId="394" priority="390">
      <formula>AND(U$9&gt;=8/24,U$9&lt;14/24)</formula>
    </cfRule>
    <cfRule type="expression" dxfId="393" priority="391">
      <formula>U$9&lt;8/24</formula>
    </cfRule>
  </conditionalFormatting>
  <conditionalFormatting sqref="AB8">
    <cfRule type="expression" dxfId="392" priority="384">
      <formula>AD$9&gt;=20/24</formula>
    </cfRule>
    <cfRule type="expression" dxfId="391" priority="385">
      <formula>AND(AD$9&gt;=14/24,AD$9&lt;20/24)</formula>
    </cfRule>
    <cfRule type="expression" dxfId="390" priority="386">
      <formula>AND(AD$9&gt;=8/24,AD$9&lt;14/24)</formula>
    </cfRule>
    <cfRule type="expression" dxfId="389" priority="387">
      <formula>AD$9&lt;8/24</formula>
    </cfRule>
  </conditionalFormatting>
  <conditionalFormatting sqref="AH248:AX248">
    <cfRule type="expression" dxfId="388" priority="424">
      <formula>AG$9&gt;=20/24</formula>
    </cfRule>
    <cfRule type="expression" dxfId="387" priority="425">
      <formula>AND(AG$9&gt;=14/24,AG$9&lt;20/24)</formula>
    </cfRule>
    <cfRule type="expression" dxfId="386" priority="426">
      <formula>AND(AG$9&gt;=8/24,AG$9&lt;14/24)</formula>
    </cfRule>
    <cfRule type="expression" dxfId="385" priority="427">
      <formula>AG$9&lt;8/24</formula>
    </cfRule>
  </conditionalFormatting>
  <conditionalFormatting sqref="T248">
    <cfRule type="expression" dxfId="384" priority="428">
      <formula>AX$9&gt;=20/24</formula>
    </cfRule>
    <cfRule type="expression" dxfId="383" priority="429">
      <formula>AND(AX$9&gt;=14/24,AX$9&lt;20/24)</formula>
    </cfRule>
    <cfRule type="expression" dxfId="382" priority="430">
      <formula>AND(AX$9&gt;=8/24,AX$9&lt;14/24)</formula>
    </cfRule>
    <cfRule type="expression" dxfId="381" priority="431">
      <formula>AX$9&lt;8/24</formula>
    </cfRule>
  </conditionalFormatting>
  <conditionalFormatting sqref="A117:A119">
    <cfRule type="expression" dxfId="380" priority="383">
      <formula>$AH117=0</formula>
    </cfRule>
  </conditionalFormatting>
  <conditionalFormatting sqref="AD56:AD59 E73:AD73 AF73 M56:R59">
    <cfRule type="expression" dxfId="379" priority="379">
      <formula>E$9&gt;=20/24</formula>
    </cfRule>
    <cfRule type="expression" dxfId="378" priority="380">
      <formula>AND(E$9&gt;=14/24,E$9&lt;20/24)</formula>
    </cfRule>
    <cfRule type="expression" dxfId="377" priority="381">
      <formula>AND(E$9&gt;=8/24,E$9&lt;14/24)</formula>
    </cfRule>
    <cfRule type="expression" dxfId="376" priority="382">
      <formula>E$9&lt;8/24</formula>
    </cfRule>
  </conditionalFormatting>
  <conditionalFormatting sqref="AD55 M55:R55">
    <cfRule type="expression" dxfId="375" priority="375">
      <formula>M$9&gt;=20/24</formula>
    </cfRule>
    <cfRule type="expression" dxfId="374" priority="376">
      <formula>AND(M$9&gt;=14/24,M$9&lt;20/24)</formula>
    </cfRule>
    <cfRule type="expression" dxfId="373" priority="377">
      <formula>AND(M$9&gt;=8/24,M$9&lt;14/24)</formula>
    </cfRule>
    <cfRule type="expression" dxfId="372" priority="378">
      <formula>M$9&lt;8/24</formula>
    </cfRule>
  </conditionalFormatting>
  <conditionalFormatting sqref="AD55:AD59 M55:R59">
    <cfRule type="expression" dxfId="371" priority="374">
      <formula>M55&gt;$AG55</formula>
    </cfRule>
  </conditionalFormatting>
  <conditionalFormatting sqref="D88:AF88 X98:AF98 AE102:AF108 M102:Y108 AD74:AD76 X49:AF49 E74:AC75 AF74:AF75 AA69:AF71">
    <cfRule type="expression" dxfId="370" priority="370">
      <formula>D$9&gt;=20/24</formula>
    </cfRule>
    <cfRule type="expression" dxfId="369" priority="371">
      <formula>AND(D$9&gt;=14/24,D$9&lt;20/24)</formula>
    </cfRule>
    <cfRule type="expression" dxfId="368" priority="372">
      <formula>AND(D$9&gt;=8/24,D$9&lt;14/24)</formula>
    </cfRule>
    <cfRule type="expression" dxfId="367" priority="373">
      <formula>D$9&lt;8/24</formula>
    </cfRule>
  </conditionalFormatting>
  <conditionalFormatting sqref="X49:AF49 AA69:AF71">
    <cfRule type="expression" dxfId="366" priority="369">
      <formula>X49&gt;$AG49</formula>
    </cfRule>
  </conditionalFormatting>
  <conditionalFormatting sqref="S55:AC60">
    <cfRule type="expression" dxfId="365" priority="365">
      <formula>S$9&gt;=20/24</formula>
    </cfRule>
    <cfRule type="expression" dxfId="364" priority="366">
      <formula>AND(S$9&gt;=14/24,S$9&lt;20/24)</formula>
    </cfRule>
    <cfRule type="expression" dxfId="363" priority="367">
      <formula>AND(S$9&gt;=8/24,S$9&lt;14/24)</formula>
    </cfRule>
    <cfRule type="expression" dxfId="362" priority="368">
      <formula>S$9&lt;8/24</formula>
    </cfRule>
  </conditionalFormatting>
  <conditionalFormatting sqref="S55:AC60">
    <cfRule type="expression" dxfId="361" priority="364">
      <formula>S55&gt;$AG55</formula>
    </cfRule>
  </conditionalFormatting>
  <conditionalFormatting sqref="C99:AF99 D90:AF90">
    <cfRule type="expression" dxfId="360" priority="360">
      <formula>C$9&gt;=20/24</formula>
    </cfRule>
    <cfRule type="expression" dxfId="359" priority="361">
      <formula>AND(C$9&gt;=14/24,C$9&lt;20/24)</formula>
    </cfRule>
    <cfRule type="expression" dxfId="358" priority="362">
      <formula>AND(C$9&gt;=8/24,C$9&lt;14/24)</formula>
    </cfRule>
    <cfRule type="expression" dxfId="357" priority="363">
      <formula>C$9&lt;8/24</formula>
    </cfRule>
  </conditionalFormatting>
  <conditionalFormatting sqref="T49:W49">
    <cfRule type="expression" dxfId="356" priority="356">
      <formula>T$9&gt;=20/24</formula>
    </cfRule>
    <cfRule type="expression" dxfId="355" priority="357">
      <formula>AND(T$9&gt;=14/24,T$9&lt;20/24)</formula>
    </cfRule>
    <cfRule type="expression" dxfId="354" priority="358">
      <formula>AND(T$9&gt;=8/24,T$9&lt;14/24)</formula>
    </cfRule>
    <cfRule type="expression" dxfId="353" priority="359">
      <formula>T$9&lt;8/24</formula>
    </cfRule>
  </conditionalFormatting>
  <conditionalFormatting sqref="T49:W49">
    <cfRule type="expression" dxfId="352" priority="355">
      <formula>T49&gt;$AG49</formula>
    </cfRule>
  </conditionalFormatting>
  <conditionalFormatting sqref="E56:L57">
    <cfRule type="expression" dxfId="351" priority="351">
      <formula>E$9&gt;=20/24</formula>
    </cfRule>
    <cfRule type="expression" dxfId="350" priority="352">
      <formula>AND(E$9&gt;=14/24,E$9&lt;20/24)</formula>
    </cfRule>
    <cfRule type="expression" dxfId="349" priority="353">
      <formula>AND(E$9&gt;=8/24,E$9&lt;14/24)</formula>
    </cfRule>
    <cfRule type="expression" dxfId="348" priority="354">
      <formula>E$9&lt;8/24</formula>
    </cfRule>
  </conditionalFormatting>
  <conditionalFormatting sqref="E55:L55">
    <cfRule type="expression" dxfId="347" priority="347">
      <formula>E$9&gt;=20/24</formula>
    </cfRule>
    <cfRule type="expression" dxfId="346" priority="348">
      <formula>AND(E$9&gt;=14/24,E$9&lt;20/24)</formula>
    </cfRule>
    <cfRule type="expression" dxfId="345" priority="349">
      <formula>AND(E$9&gt;=8/24,E$9&lt;14/24)</formula>
    </cfRule>
    <cfRule type="expression" dxfId="344" priority="350">
      <formula>E$9&lt;8/24</formula>
    </cfRule>
  </conditionalFormatting>
  <conditionalFormatting sqref="E55:L57">
    <cfRule type="expression" dxfId="343" priority="346">
      <formula>E55&gt;$AG55</formula>
    </cfRule>
  </conditionalFormatting>
  <conditionalFormatting sqref="AG72 AG89 E102:L108">
    <cfRule type="expression" dxfId="342" priority="342">
      <formula>E$9&gt;=20/24</formula>
    </cfRule>
    <cfRule type="expression" dxfId="341" priority="343">
      <formula>AND(E$9&gt;=14/24,E$9&lt;20/24)</formula>
    </cfRule>
    <cfRule type="expression" dxfId="340" priority="344">
      <formula>AND(E$9&gt;=8/24,E$9&lt;14/24)</formula>
    </cfRule>
    <cfRule type="expression" dxfId="339" priority="345">
      <formula>E$9&lt;8/24</formula>
    </cfRule>
  </conditionalFormatting>
  <conditionalFormatting sqref="AG50 AG68 AG72">
    <cfRule type="expression" dxfId="338" priority="341">
      <formula>AG50&gt;$AG50</formula>
    </cfRule>
  </conditionalFormatting>
  <conditionalFormatting sqref="AD60">
    <cfRule type="expression" dxfId="337" priority="337">
      <formula>AD$9&gt;=20/24</formula>
    </cfRule>
    <cfRule type="expression" dxfId="336" priority="338">
      <formula>AND(AD$9&gt;=14/24,AD$9&lt;20/24)</formula>
    </cfRule>
    <cfRule type="expression" dxfId="335" priority="339">
      <formula>AND(AD$9&gt;=8/24,AD$9&lt;14/24)</formula>
    </cfRule>
    <cfRule type="expression" dxfId="334" priority="340">
      <formula>AD$9&lt;8/24</formula>
    </cfRule>
  </conditionalFormatting>
  <conditionalFormatting sqref="AD60">
    <cfRule type="expression" dxfId="333" priority="336">
      <formula>AD60&gt;$AG60</formula>
    </cfRule>
  </conditionalFormatting>
  <conditionalFormatting sqref="A45">
    <cfRule type="expression" dxfId="332" priority="335">
      <formula>$AH45=0</formula>
    </cfRule>
  </conditionalFormatting>
  <conditionalFormatting sqref="X93:AF97">
    <cfRule type="expression" dxfId="331" priority="331">
      <formula>X$9&gt;=20/24</formula>
    </cfRule>
    <cfRule type="expression" dxfId="330" priority="332">
      <formula>AND(X$9&gt;=14/24,X$9&lt;20/24)</formula>
    </cfRule>
    <cfRule type="expression" dxfId="329" priority="333">
      <formula>AND(X$9&gt;=8/24,X$9&lt;14/24)</formula>
    </cfRule>
    <cfRule type="expression" dxfId="328" priority="334">
      <formula>X$9&lt;8/24</formula>
    </cfRule>
  </conditionalFormatting>
  <conditionalFormatting sqref="AL47 AL43 AL24:AL34 AL40:AL41 AL19:AL22 AL36:AL38 AL7:AL17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327" priority="327">
      <formula>E$9&gt;=20/24</formula>
    </cfRule>
    <cfRule type="expression" dxfId="326" priority="328">
      <formula>AND(E$9&gt;=14/24,E$9&lt;20/24)</formula>
    </cfRule>
    <cfRule type="expression" dxfId="325" priority="329">
      <formula>AND(E$9&gt;=8/24,E$9&lt;14/24)</formula>
    </cfRule>
    <cfRule type="expression" dxfId="324" priority="330">
      <formula>E$9&lt;8/24</formula>
    </cfRule>
  </conditionalFormatting>
  <conditionalFormatting sqref="E51:AF53">
    <cfRule type="expression" dxfId="323" priority="326">
      <formula>E51&gt;$AG51</formula>
    </cfRule>
  </conditionalFormatting>
  <conditionalFormatting sqref="AG54">
    <cfRule type="expression" dxfId="322" priority="322">
      <formula>AG$9&gt;=20/24</formula>
    </cfRule>
    <cfRule type="expression" dxfId="321" priority="323">
      <formula>AND(AG$9&gt;=14/24,AG$9&lt;20/24)</formula>
    </cfRule>
    <cfRule type="expression" dxfId="320" priority="324">
      <formula>AND(AG$9&gt;=8/24,AG$9&lt;14/24)</formula>
    </cfRule>
    <cfRule type="expression" dxfId="319" priority="325">
      <formula>AG$9&lt;8/24</formula>
    </cfRule>
  </conditionalFormatting>
  <conditionalFormatting sqref="AG54">
    <cfRule type="expression" dxfId="318" priority="321">
      <formula>AG54&gt;$AG54</formula>
    </cfRule>
  </conditionalFormatting>
  <conditionalFormatting sqref="C109:AF109">
    <cfRule type="expression" dxfId="317" priority="317">
      <formula>C$9&gt;=20/24</formula>
    </cfRule>
    <cfRule type="expression" dxfId="316" priority="318">
      <formula>AND(C$9&gt;=14/24,C$9&lt;20/24)</formula>
    </cfRule>
    <cfRule type="expression" dxfId="315" priority="319">
      <formula>AND(C$9&gt;=8/24,C$9&lt;14/24)</formula>
    </cfRule>
    <cfRule type="expression" dxfId="314" priority="320">
      <formula>C$9&lt;8/24</formula>
    </cfRule>
  </conditionalFormatting>
  <conditionalFormatting sqref="AL42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313" priority="315">
      <formula>$AH42=0</formula>
    </cfRule>
  </conditionalFormatting>
  <conditionalFormatting sqref="A92">
    <cfRule type="expression" dxfId="312" priority="313">
      <formula>$AH92=0</formula>
    </cfRule>
  </conditionalFormatting>
  <conditionalFormatting sqref="A89">
    <cfRule type="expression" dxfId="311" priority="314">
      <formula>$AH89=0</formula>
    </cfRule>
  </conditionalFormatting>
  <conditionalFormatting sqref="D112:AF112">
    <cfRule type="expression" dxfId="310" priority="309">
      <formula>D$9&gt;=20/24</formula>
    </cfRule>
    <cfRule type="expression" dxfId="309" priority="310">
      <formula>AND(D$9&gt;=14/24,D$9&lt;20/24)</formula>
    </cfRule>
    <cfRule type="expression" dxfId="308" priority="311">
      <formula>AND(D$9&gt;=8/24,D$9&lt;14/24)</formula>
    </cfRule>
    <cfRule type="expression" dxfId="307" priority="312">
      <formula>D$9&lt;8/24</formula>
    </cfRule>
  </conditionalFormatting>
  <conditionalFormatting sqref="A112">
    <cfRule type="expression" dxfId="306" priority="308">
      <formula>$AH112=0</formula>
    </cfRule>
  </conditionalFormatting>
  <conditionalFormatting sqref="A23">
    <cfRule type="expression" dxfId="305" priority="306">
      <formula>$AH23=0</formula>
    </cfRule>
  </conditionalFormatting>
  <conditionalFormatting sqref="AL2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304" priority="304">
      <formula>$AH39=0</formula>
    </cfRule>
  </conditionalFormatting>
  <conditionalFormatting sqref="AL39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303" priority="300">
      <formula>Z$9&gt;=20/24</formula>
    </cfRule>
    <cfRule type="expression" dxfId="302" priority="301">
      <formula>AND(Z$9&gt;=14/24,Z$9&lt;20/24)</formula>
    </cfRule>
    <cfRule type="expression" dxfId="301" priority="302">
      <formula>AND(Z$9&gt;=8/24,Z$9&lt;14/24)</formula>
    </cfRule>
    <cfRule type="expression" dxfId="300" priority="303">
      <formula>Z$9&lt;8/24</formula>
    </cfRule>
  </conditionalFormatting>
  <conditionalFormatting sqref="Z102:AD108">
    <cfRule type="expression" dxfId="299" priority="296">
      <formula>Z$9&gt;=20/24</formula>
    </cfRule>
    <cfRule type="expression" dxfId="298" priority="297">
      <formula>AND(Z$9&gt;=14/24,Z$9&lt;20/24)</formula>
    </cfRule>
    <cfRule type="expression" dxfId="297" priority="298">
      <formula>AND(Z$9&gt;=8/24,Z$9&lt;14/24)</formula>
    </cfRule>
    <cfRule type="expression" dxfId="296" priority="299">
      <formula>Z$9&lt;8/24</formula>
    </cfRule>
  </conditionalFormatting>
  <conditionalFormatting sqref="C111 C113:C119 Z19:AA28 U19:Y24 U27:Y27 AA29:AA30 AA36:AF45 AB19:AF30 AA32:AF34">
    <cfRule type="expression" dxfId="295" priority="292">
      <formula>C$9&gt;=20/24</formula>
    </cfRule>
    <cfRule type="expression" dxfId="294" priority="293">
      <formula>AND(C$9&gt;=14/24,C$9&lt;20/24)</formula>
    </cfRule>
    <cfRule type="expression" dxfId="293" priority="294">
      <formula>AND(C$9&gt;=8/24,C$9&lt;14/24)</formula>
    </cfRule>
    <cfRule type="expression" dxfId="292" priority="295">
      <formula>C$9&lt;8/24</formula>
    </cfRule>
  </conditionalFormatting>
  <conditionalFormatting sqref="E49:S49">
    <cfRule type="expression" dxfId="291" priority="288">
      <formula>E$9&gt;=20/24</formula>
    </cfRule>
    <cfRule type="expression" dxfId="290" priority="289">
      <formula>AND(E$9&gt;=14/24,E$9&lt;20/24)</formula>
    </cfRule>
    <cfRule type="expression" dxfId="289" priority="290">
      <formula>AND(E$9&gt;=8/24,E$9&lt;14/24)</formula>
    </cfRule>
    <cfRule type="expression" dxfId="288" priority="291">
      <formula>E$9&lt;8/24</formula>
    </cfRule>
  </conditionalFormatting>
  <conditionalFormatting sqref="E49:S49 Z19:AA28 U19:Y24 U27:Y27 AA29:AA30 AA36:AF45 AB19:AF30 AA32:AF34">
    <cfRule type="expression" dxfId="287" priority="287">
      <formula>E19&gt;$AG19</formula>
    </cfRule>
  </conditionalFormatting>
  <conditionalFormatting sqref="C101:D101">
    <cfRule type="expression" dxfId="286" priority="283">
      <formula>C$9&gt;=20/24</formula>
    </cfRule>
    <cfRule type="expression" dxfId="285" priority="284">
      <formula>AND(C$9&gt;=14/24,C$9&lt;20/24)</formula>
    </cfRule>
    <cfRule type="expression" dxfId="284" priority="285">
      <formula>AND(C$9&gt;=8/24,C$9&lt;14/24)</formula>
    </cfRule>
    <cfRule type="expression" dxfId="283" priority="286">
      <formula>C$9&lt;8/24</formula>
    </cfRule>
  </conditionalFormatting>
  <conditionalFormatting sqref="C88 C98:W98 C85:AF87 D102:D108 AD77:AD78 E69:Z71 E76:AC78">
    <cfRule type="expression" dxfId="282" priority="279">
      <formula>C$9&gt;=20/24</formula>
    </cfRule>
    <cfRule type="expression" dxfId="281" priority="280">
      <formula>AND(C$9&gt;=14/24,C$9&lt;20/24)</formula>
    </cfRule>
    <cfRule type="expression" dxfId="280" priority="281">
      <formula>AND(C$9&gt;=8/24,C$9&lt;14/24)</formula>
    </cfRule>
    <cfRule type="expression" dxfId="279" priority="282">
      <formula>C$9&lt;8/24</formula>
    </cfRule>
  </conditionalFormatting>
  <conditionalFormatting sqref="E58:L59 E69:Z71">
    <cfRule type="expression" dxfId="278" priority="278">
      <formula>E58&gt;$AG58</formula>
    </cfRule>
  </conditionalFormatting>
  <conditionalFormatting sqref="C73:D73 D56:D59">
    <cfRule type="expression" dxfId="277" priority="220">
      <formula>C$9&gt;=20/24</formula>
    </cfRule>
    <cfRule type="expression" dxfId="276" priority="221">
      <formula>AND(C$9&gt;=14/24,C$9&lt;20/24)</formula>
    </cfRule>
    <cfRule type="expression" dxfId="275" priority="222">
      <formula>AND(C$9&gt;=8/24,C$9&lt;14/24)</formula>
    </cfRule>
    <cfRule type="expression" dxfId="274" priority="223">
      <formula>C$9&lt;8/24</formula>
    </cfRule>
  </conditionalFormatting>
  <conditionalFormatting sqref="C89:AF89 C91:AF91 C100:AF100 C72:AF72">
    <cfRule type="expression" dxfId="273" priority="274">
      <formula>C$9&gt;=20/24</formula>
    </cfRule>
    <cfRule type="expression" dxfId="272" priority="275">
      <formula>AND(C$9&gt;=14/24,C$9&lt;20/24)</formula>
    </cfRule>
    <cfRule type="expression" dxfId="271" priority="276">
      <formula>AND(C$9&gt;=8/24,C$9&lt;14/24)</formula>
    </cfRule>
    <cfRule type="expression" dxfId="270" priority="277">
      <formula>C$9&lt;8/24</formula>
    </cfRule>
  </conditionalFormatting>
  <conditionalFormatting sqref="C72:AF72 D67:AF68">
    <cfRule type="expression" dxfId="269" priority="273">
      <formula>C67&gt;$AG67</formula>
    </cfRule>
  </conditionalFormatting>
  <conditionalFormatting sqref="C84:AF84">
    <cfRule type="expression" dxfId="268" priority="269">
      <formula>C$9&gt;=20/24</formula>
    </cfRule>
    <cfRule type="expression" dxfId="267" priority="270">
      <formula>AND(C$9&gt;=14/24,C$9&lt;20/24)</formula>
    </cfRule>
    <cfRule type="expression" dxfId="266" priority="271">
      <formula>AND(C$9&gt;=8/24,C$9&lt;14/24)</formula>
    </cfRule>
    <cfRule type="expression" dxfId="265" priority="272">
      <formula>C$9&lt;8/24</formula>
    </cfRule>
  </conditionalFormatting>
  <conditionalFormatting sqref="C93:W97">
    <cfRule type="expression" dxfId="264" priority="265">
      <formula>C$9&gt;=20/24</formula>
    </cfRule>
    <cfRule type="expression" dxfId="263" priority="266">
      <formula>AND(C$9&gt;=14/24,C$9&lt;20/24)</formula>
    </cfRule>
    <cfRule type="expression" dxfId="262" priority="267">
      <formula>AND(C$9&gt;=8/24,C$9&lt;14/24)</formula>
    </cfRule>
    <cfRule type="expression" dxfId="261" priority="268">
      <formula>C$9&lt;8/24</formula>
    </cfRule>
  </conditionalFormatting>
  <conditionalFormatting sqref="D54:AF54">
    <cfRule type="expression" dxfId="260" priority="261">
      <formula>D$9&gt;=20/24</formula>
    </cfRule>
    <cfRule type="expression" dxfId="259" priority="262">
      <formula>AND(D$9&gt;=14/24,D$9&lt;20/24)</formula>
    </cfRule>
    <cfRule type="expression" dxfId="258" priority="263">
      <formula>AND(D$9&gt;=8/24,D$9&lt;14/24)</formula>
    </cfRule>
    <cfRule type="expression" dxfId="257" priority="264">
      <formula>D$9&lt;8/24</formula>
    </cfRule>
  </conditionalFormatting>
  <conditionalFormatting sqref="D54:AF54">
    <cfRule type="expression" dxfId="256" priority="260">
      <formula>D54&gt;$AG54</formula>
    </cfRule>
  </conditionalFormatting>
  <conditionalFormatting sqref="C112">
    <cfRule type="expression" dxfId="255" priority="252">
      <formula>C$9&gt;=20/24</formula>
    </cfRule>
    <cfRule type="expression" dxfId="254" priority="253">
      <formula>AND(C$9&gt;=14/24,C$9&lt;20/24)</formula>
    </cfRule>
    <cfRule type="expression" dxfId="253" priority="254">
      <formula>AND(C$9&gt;=8/24,C$9&lt;14/24)</formula>
    </cfRule>
    <cfRule type="expression" dxfId="252" priority="255">
      <formula>C$9&lt;8/24</formula>
    </cfRule>
  </conditionalFormatting>
  <conditionalFormatting sqref="AA61:AD66">
    <cfRule type="expression" dxfId="251" priority="248">
      <formula>AA$9&gt;=20/24</formula>
    </cfRule>
    <cfRule type="expression" dxfId="250" priority="249">
      <formula>AND(AA$9&gt;=14/24,AA$9&lt;20/24)</formula>
    </cfRule>
    <cfRule type="expression" dxfId="249" priority="250">
      <formula>AND(AA$9&gt;=8/24,AA$9&lt;14/24)</formula>
    </cfRule>
    <cfRule type="expression" dxfId="248" priority="251">
      <formula>AA$9&lt;8/24</formula>
    </cfRule>
  </conditionalFormatting>
  <conditionalFormatting sqref="AA61:AD66">
    <cfRule type="expression" dxfId="247" priority="247">
      <formula>AA61&gt;$AG61</formula>
    </cfRule>
  </conditionalFormatting>
  <conditionalFormatting sqref="AA47:AF47">
    <cfRule type="expression" dxfId="246" priority="246">
      <formula>AA47&gt;$AG47</formula>
    </cfRule>
  </conditionalFormatting>
  <conditionalFormatting sqref="U13:AF13">
    <cfRule type="expression" dxfId="245" priority="242">
      <formula>U$9&gt;=20/24</formula>
    </cfRule>
    <cfRule type="expression" dxfId="244" priority="243">
      <formula>AND(U$9&gt;=14/24,U$9&lt;20/24)</formula>
    </cfRule>
    <cfRule type="expression" dxfId="243" priority="244">
      <formula>AND(U$9&gt;=8/24,U$9&lt;14/24)</formula>
    </cfRule>
    <cfRule type="expression" dxfId="242" priority="245">
      <formula>U$9&lt;8/24</formula>
    </cfRule>
  </conditionalFormatting>
  <conditionalFormatting sqref="U13:AF13">
    <cfRule type="expression" dxfId="241" priority="241">
      <formula>U13&gt;$AG13</formula>
    </cfRule>
  </conditionalFormatting>
  <conditionalFormatting sqref="AA47:AF47">
    <cfRule type="expression" dxfId="240" priority="237">
      <formula>AA$9&gt;=20/24</formula>
    </cfRule>
    <cfRule type="expression" dxfId="239" priority="238">
      <formula>AND(AA$9&gt;=14/24,AA$9&lt;20/24)</formula>
    </cfRule>
    <cfRule type="expression" dxfId="238" priority="239">
      <formula>AND(AA$9&gt;=8/24,AA$9&lt;14/24)</formula>
    </cfRule>
    <cfRule type="expression" dxfId="237" priority="240">
      <formula>AA$9&lt;8/24</formula>
    </cfRule>
  </conditionalFormatting>
  <conditionalFormatting sqref="E79:AD83">
    <cfRule type="expression" dxfId="236" priority="233">
      <formula>E$9&gt;=20/24</formula>
    </cfRule>
    <cfRule type="expression" dxfId="235" priority="234">
      <formula>AND(E$9&gt;=14/24,E$9&lt;20/24)</formula>
    </cfRule>
    <cfRule type="expression" dxfId="234" priority="235">
      <formula>AND(E$9&gt;=8/24,E$9&lt;14/24)</formula>
    </cfRule>
    <cfRule type="expression" dxfId="233" priority="236">
      <formula>E$9&lt;8/24</formula>
    </cfRule>
  </conditionalFormatting>
  <conditionalFormatting sqref="AL80:AN80 AL86:AN86 AN81:AN82">
    <cfRule type="expression" dxfId="232" priority="229">
      <formula>AL$9&gt;=20/24</formula>
    </cfRule>
    <cfRule type="expression" dxfId="231" priority="230">
      <formula>AND(AL$9&gt;=14/24,AL$9&lt;20/24)</formula>
    </cfRule>
    <cfRule type="expression" dxfId="230" priority="231">
      <formula>AND(AL$9&gt;=8/24,AL$9&lt;14/24)</formula>
    </cfRule>
    <cfRule type="expression" dxfId="229" priority="232">
      <formula>AL$9&lt;8/24</formula>
    </cfRule>
  </conditionalFormatting>
  <conditionalFormatting sqref="AN83:AN84">
    <cfRule type="expression" dxfId="228" priority="225">
      <formula>AN$9&gt;=20/24</formula>
    </cfRule>
    <cfRule type="expression" dxfId="227" priority="226">
      <formula>AND(AN$9&gt;=14/24,AN$9&lt;20/24)</formula>
    </cfRule>
    <cfRule type="expression" dxfId="226" priority="227">
      <formula>AND(AN$9&gt;=8/24,AN$9&lt;14/24)</formula>
    </cfRule>
    <cfRule type="expression" dxfId="225" priority="228">
      <formula>AN$9&lt;8/24</formula>
    </cfRule>
  </conditionalFormatting>
  <conditionalFormatting sqref="AL81:AM85">
    <cfRule type="expression" dxfId="224" priority="433">
      <formula>AJ$9&gt;=20/24</formula>
    </cfRule>
    <cfRule type="expression" dxfId="223" priority="434">
      <formula>AND(AJ$9&gt;=14/24,AJ$9&lt;20/24)</formula>
    </cfRule>
    <cfRule type="expression" dxfId="222" priority="435">
      <formula>AND(AJ$9&gt;=8/24,AJ$9&lt;14/24)</formula>
    </cfRule>
    <cfRule type="expression" dxfId="221" priority="436">
      <formula>AJ$9&lt;8/24</formula>
    </cfRule>
  </conditionalFormatting>
  <conditionalFormatting sqref="A120">
    <cfRule type="expression" dxfId="220" priority="224">
      <formula>$AH120=0</formula>
    </cfRule>
  </conditionalFormatting>
  <conditionalFormatting sqref="D55">
    <cfRule type="expression" dxfId="219" priority="216">
      <formula>D$9&gt;=20/24</formula>
    </cfRule>
    <cfRule type="expression" dxfId="218" priority="217">
      <formula>AND(D$9&gt;=14/24,D$9&lt;20/24)</formula>
    </cfRule>
    <cfRule type="expression" dxfId="217" priority="218">
      <formula>AND(D$9&gt;=8/24,D$9&lt;14/24)</formula>
    </cfRule>
    <cfRule type="expression" dxfId="216" priority="219">
      <formula>D$9&lt;8/24</formula>
    </cfRule>
  </conditionalFormatting>
  <conditionalFormatting sqref="D55:D59">
    <cfRule type="expression" dxfId="215" priority="215">
      <formula>D55&gt;$AG55</formula>
    </cfRule>
  </conditionalFormatting>
  <conditionalFormatting sqref="C74:D76 C102:C108 D69:D71 D77:D83">
    <cfRule type="expression" dxfId="214" priority="211">
      <formula>C$9&gt;=20/24</formula>
    </cfRule>
    <cfRule type="expression" dxfId="213" priority="212">
      <formula>AND(C$9&gt;=14/24,C$9&lt;20/24)</formula>
    </cfRule>
    <cfRule type="expression" dxfId="212" priority="213">
      <formula>AND(C$9&gt;=8/24,C$9&lt;14/24)</formula>
    </cfRule>
    <cfRule type="expression" dxfId="211" priority="214">
      <formula>C$9&lt;8/24</formula>
    </cfRule>
  </conditionalFormatting>
  <conditionalFormatting sqref="D69:D71">
    <cfRule type="expression" dxfId="210" priority="210">
      <formula>D69&gt;$AG69</formula>
    </cfRule>
  </conditionalFormatting>
  <conditionalFormatting sqref="C90">
    <cfRule type="expression" dxfId="209" priority="206">
      <formula>C$9&gt;=20/24</formula>
    </cfRule>
    <cfRule type="expression" dxfId="208" priority="207">
      <formula>AND(C$9&gt;=14/24,C$9&lt;20/24)</formula>
    </cfRule>
    <cfRule type="expression" dxfId="207" priority="208">
      <formula>AND(C$9&gt;=8/24,C$9&lt;14/24)</formula>
    </cfRule>
    <cfRule type="expression" dxfId="206" priority="209">
      <formula>C$9&lt;8/24</formula>
    </cfRule>
  </conditionalFormatting>
  <conditionalFormatting sqref="AA48:AF48">
    <cfRule type="expression" dxfId="205" priority="202">
      <formula>AA$9&gt;=20/24</formula>
    </cfRule>
    <cfRule type="expression" dxfId="204" priority="203">
      <formula>AND(AA$9&gt;=14/24,AA$9&lt;20/24)</formula>
    </cfRule>
    <cfRule type="expression" dxfId="203" priority="204">
      <formula>AND(AA$9&gt;=8/24,AA$9&lt;14/24)</formula>
    </cfRule>
    <cfRule type="expression" dxfId="202" priority="205">
      <formula>AA$9&lt;8/24</formula>
    </cfRule>
  </conditionalFormatting>
  <conditionalFormatting sqref="AA48:AF48">
    <cfRule type="expression" dxfId="201" priority="201">
      <formula>AA48&gt;$AG48</formula>
    </cfRule>
  </conditionalFormatting>
  <conditionalFormatting sqref="D60:R60">
    <cfRule type="expression" dxfId="200" priority="197">
      <formula>D$9&gt;=20/24</formula>
    </cfRule>
    <cfRule type="expression" dxfId="199" priority="198">
      <formula>AND(D$9&gt;=14/24,D$9&lt;20/24)</formula>
    </cfRule>
    <cfRule type="expression" dxfId="198" priority="199">
      <formula>AND(D$9&gt;=8/24,D$9&lt;14/24)</formula>
    </cfRule>
    <cfRule type="expression" dxfId="197" priority="200">
      <formula>D$9&lt;8/24</formula>
    </cfRule>
  </conditionalFormatting>
  <conditionalFormatting sqref="D60:R60">
    <cfRule type="expression" dxfId="196" priority="196">
      <formula>D60&gt;$AG60</formula>
    </cfRule>
  </conditionalFormatting>
  <conditionalFormatting sqref="B88 B98 B102:B108 B74:B76 B69:C71 B49:D49">
    <cfRule type="expression" dxfId="195" priority="126">
      <formula>B$9&gt;=20/24</formula>
    </cfRule>
    <cfRule type="expression" dxfId="194" priority="127">
      <formula>AND(B$9&gt;=14/24,B$9&lt;20/24)</formula>
    </cfRule>
    <cfRule type="expression" dxfId="193" priority="128">
      <formula>AND(B$9&gt;=8/24,B$9&lt;14/24)</formula>
    </cfRule>
    <cfRule type="expression" dxfId="192" priority="129">
      <formula>B$9&lt;8/24</formula>
    </cfRule>
  </conditionalFormatting>
  <conditionalFormatting sqref="B60:C60">
    <cfRule type="expression" dxfId="191" priority="117">
      <formula>B$9&gt;=20/24</formula>
    </cfRule>
    <cfRule type="expression" dxfId="190" priority="118">
      <formula>AND(B$9&gt;=14/24,B$9&lt;20/24)</formula>
    </cfRule>
    <cfRule type="expression" dxfId="189" priority="119">
      <formula>AND(B$9&gt;=8/24,B$9&lt;14/24)</formula>
    </cfRule>
    <cfRule type="expression" dxfId="188" priority="120">
      <formula>B$9&lt;8/24</formula>
    </cfRule>
  </conditionalFormatting>
  <conditionalFormatting sqref="C77:C78">
    <cfRule type="expression" dxfId="187" priority="192">
      <formula>C$9&gt;=20/24</formula>
    </cfRule>
    <cfRule type="expression" dxfId="186" priority="193">
      <formula>AND(C$9&gt;=14/24,C$9&lt;20/24)</formula>
    </cfRule>
    <cfRule type="expression" dxfId="185" priority="194">
      <formula>AND(C$9&gt;=8/24,C$9&lt;14/24)</formula>
    </cfRule>
    <cfRule type="expression" dxfId="184" priority="195">
      <formula>C$9&lt;8/24</formula>
    </cfRule>
  </conditionalFormatting>
  <conditionalFormatting sqref="E50:AF50">
    <cfRule type="expression" dxfId="183" priority="191">
      <formula>E50&gt;$AG50</formula>
    </cfRule>
  </conditionalFormatting>
  <conditionalFormatting sqref="D61:Z66">
    <cfRule type="expression" dxfId="182" priority="187">
      <formula>D$9&gt;=20/24</formula>
    </cfRule>
    <cfRule type="expression" dxfId="181" priority="188">
      <formula>AND(D$9&gt;=14/24,D$9&lt;20/24)</formula>
    </cfRule>
    <cfRule type="expression" dxfId="180" priority="189">
      <formula>AND(D$9&gt;=8/24,D$9&lt;14/24)</formula>
    </cfRule>
    <cfRule type="expression" dxfId="179" priority="190">
      <formula>D$9&lt;8/24</formula>
    </cfRule>
  </conditionalFormatting>
  <conditionalFormatting sqref="D61:Z66">
    <cfRule type="expression" dxfId="178" priority="186">
      <formula>D61&gt;$AG61</formula>
    </cfRule>
  </conditionalFormatting>
  <conditionalFormatting sqref="C79:C83">
    <cfRule type="expression" dxfId="177" priority="182">
      <formula>C$9&gt;=20/24</formula>
    </cfRule>
    <cfRule type="expression" dxfId="176" priority="183">
      <formula>AND(C$9&gt;=14/24,C$9&lt;20/24)</formula>
    </cfRule>
    <cfRule type="expression" dxfId="175" priority="184">
      <formula>AND(C$9&gt;=8/24,C$9&lt;14/24)</formula>
    </cfRule>
    <cfRule type="expression" dxfId="174" priority="185">
      <formula>C$9&lt;8/24</formula>
    </cfRule>
  </conditionalFormatting>
  <conditionalFormatting sqref="A11">
    <cfRule type="expression" dxfId="173" priority="181">
      <formula>$AH11=0</formula>
    </cfRule>
  </conditionalFormatting>
  <conditionalFormatting sqref="U11:AF11">
    <cfRule type="expression" dxfId="172" priority="177">
      <formula>U$9&gt;=20/24</formula>
    </cfRule>
    <cfRule type="expression" dxfId="171" priority="178">
      <formula>AND(U$9&gt;=14/24,U$9&lt;20/24)</formula>
    </cfRule>
    <cfRule type="expression" dxfId="170" priority="179">
      <formula>AND(U$9&gt;=8/24,U$9&lt;14/24)</formula>
    </cfRule>
    <cfRule type="expression" dxfId="169" priority="180">
      <formula>U$9&lt;8/24</formula>
    </cfRule>
  </conditionalFormatting>
  <conditionalFormatting sqref="U11:AF11">
    <cfRule type="expression" dxfId="168" priority="176">
      <formula>U11&gt;$AG11</formula>
    </cfRule>
  </conditionalFormatting>
  <conditionalFormatting sqref="A18">
    <cfRule type="expression" dxfId="167" priority="174">
      <formula>$AH18=0</formula>
    </cfRule>
  </conditionalFormatting>
  <conditionalFormatting sqref="AL1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U18:AF18">
    <cfRule type="expression" dxfId="166" priority="170">
      <formula>U$9&gt;=20/24</formula>
    </cfRule>
    <cfRule type="expression" dxfId="165" priority="171">
      <formula>AND(U$9&gt;=14/24,U$9&lt;20/24)</formula>
    </cfRule>
    <cfRule type="expression" dxfId="164" priority="172">
      <formula>AND(U$9&gt;=8/24,U$9&lt;14/24)</formula>
    </cfRule>
    <cfRule type="expression" dxfId="163" priority="173">
      <formula>U$9&lt;8/24</formula>
    </cfRule>
  </conditionalFormatting>
  <conditionalFormatting sqref="U18:AF18">
    <cfRule type="expression" dxfId="162" priority="169">
      <formula>U18&gt;$AG18</formula>
    </cfRule>
  </conditionalFormatting>
  <conditionalFormatting sqref="A35">
    <cfRule type="expression" dxfId="161" priority="167">
      <formula>$AH35=0</formula>
    </cfRule>
  </conditionalFormatting>
  <conditionalFormatting sqref="AL3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160" priority="163">
      <formula>AA$9&gt;=20/24</formula>
    </cfRule>
    <cfRule type="expression" dxfId="159" priority="164">
      <formula>AND(AA$9&gt;=14/24,AA$9&lt;20/24)</formula>
    </cfRule>
    <cfRule type="expression" dxfId="158" priority="165">
      <formula>AND(AA$9&gt;=8/24,AA$9&lt;14/24)</formula>
    </cfRule>
    <cfRule type="expression" dxfId="157" priority="166">
      <formula>AA$9&lt;8/24</formula>
    </cfRule>
  </conditionalFormatting>
  <conditionalFormatting sqref="AA35:AF35">
    <cfRule type="expression" dxfId="156" priority="162">
      <formula>AA35&gt;$AG35</formula>
    </cfRule>
  </conditionalFormatting>
  <conditionalFormatting sqref="A46">
    <cfRule type="expression" dxfId="155" priority="160">
      <formula>$AH46=0</formula>
    </cfRule>
  </conditionalFormatting>
  <conditionalFormatting sqref="AL4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154" priority="159">
      <formula>AA46&gt;$AG46</formula>
    </cfRule>
  </conditionalFormatting>
  <conditionalFormatting sqref="AA46:AF46">
    <cfRule type="expression" dxfId="153" priority="155">
      <formula>AA$9&gt;=20/24</formula>
    </cfRule>
    <cfRule type="expression" dxfId="152" priority="156">
      <formula>AND(AA$9&gt;=14/24,AA$9&lt;20/24)</formula>
    </cfRule>
    <cfRule type="expression" dxfId="151" priority="157">
      <formula>AND(AA$9&gt;=8/24,AA$9&lt;14/24)</formula>
    </cfRule>
    <cfRule type="expression" dxfId="150" priority="158">
      <formula>AA$9&lt;8/24</formula>
    </cfRule>
  </conditionalFormatting>
  <conditionalFormatting sqref="B120">
    <cfRule type="expression" dxfId="149" priority="27">
      <formula>B$9&gt;=20/24</formula>
    </cfRule>
    <cfRule type="expression" dxfId="148" priority="28">
      <formula>AND(B$9&gt;=14/24,B$9&lt;20/24)</formula>
    </cfRule>
    <cfRule type="expression" dxfId="147" priority="29">
      <formula>AND(B$9&gt;=8/24,B$9&lt;14/24)</formula>
    </cfRule>
    <cfRule type="expression" dxfId="146" priority="30">
      <formula>B$9&lt;8/24</formula>
    </cfRule>
  </conditionalFormatting>
  <conditionalFormatting sqref="D120:AF120">
    <cfRule type="expression" dxfId="145" priority="151">
      <formula>D$9&gt;=20/24</formula>
    </cfRule>
    <cfRule type="expression" dxfId="144" priority="152">
      <formula>AND(D$9&gt;=14/24,D$9&lt;20/24)</formula>
    </cfRule>
    <cfRule type="expression" dxfId="143" priority="153">
      <formula>AND(D$9&gt;=8/24,D$9&lt;14/24)</formula>
    </cfRule>
    <cfRule type="expression" dxfId="142" priority="154">
      <formula>D$9&lt;8/24</formula>
    </cfRule>
  </conditionalFormatting>
  <conditionalFormatting sqref="C120">
    <cfRule type="expression" dxfId="141" priority="147">
      <formula>C$9&gt;=20/24</formula>
    </cfRule>
    <cfRule type="expression" dxfId="140" priority="148">
      <formula>AND(C$9&gt;=14/24,C$9&lt;20/24)</formula>
    </cfRule>
    <cfRule type="expression" dxfId="139" priority="149">
      <formula>AND(C$9&gt;=8/24,C$9&lt;14/24)</formula>
    </cfRule>
    <cfRule type="expression" dxfId="138" priority="150">
      <formula>C$9&lt;8/24</formula>
    </cfRule>
  </conditionalFormatting>
  <conditionalFormatting sqref="B111 B113:B119">
    <cfRule type="expression" dxfId="137" priority="143">
      <formula>B$9&gt;=20/24</formula>
    </cfRule>
    <cfRule type="expression" dxfId="136" priority="144">
      <formula>AND(B$9&gt;=14/24,B$9&lt;20/24)</formula>
    </cfRule>
    <cfRule type="expression" dxfId="135" priority="145">
      <formula>AND(B$9&gt;=8/24,B$9&lt;14/24)</formula>
    </cfRule>
    <cfRule type="expression" dxfId="134" priority="146">
      <formula>B$9&lt;8/24</formula>
    </cfRule>
  </conditionalFormatting>
  <conditionalFormatting sqref="B101">
    <cfRule type="expression" dxfId="133" priority="139">
      <formula>B$9&gt;=20/24</formula>
    </cfRule>
    <cfRule type="expression" dxfId="132" priority="140">
      <formula>AND(B$9&gt;=14/24,B$9&lt;20/24)</formula>
    </cfRule>
    <cfRule type="expression" dxfId="131" priority="141">
      <formula>AND(B$9&gt;=8/24,B$9&lt;14/24)</formula>
    </cfRule>
    <cfRule type="expression" dxfId="130" priority="142">
      <formula>B$9&lt;8/24</formula>
    </cfRule>
  </conditionalFormatting>
  <conditionalFormatting sqref="B73 B56:C59">
    <cfRule type="expression" dxfId="129" priority="135">
      <formula>B$9&gt;=20/24</formula>
    </cfRule>
    <cfRule type="expression" dxfId="128" priority="136">
      <formula>AND(B$9&gt;=14/24,B$9&lt;20/24)</formula>
    </cfRule>
    <cfRule type="expression" dxfId="127" priority="137">
      <formula>AND(B$9&gt;=8/24,B$9&lt;14/24)</formula>
    </cfRule>
    <cfRule type="expression" dxfId="126" priority="138">
      <formula>B$9&lt;8/24</formula>
    </cfRule>
  </conditionalFormatting>
  <conditionalFormatting sqref="B55:C55">
    <cfRule type="expression" dxfId="125" priority="131">
      <formula>B$9&gt;=20/24</formula>
    </cfRule>
    <cfRule type="expression" dxfId="124" priority="132">
      <formula>AND(B$9&gt;=14/24,B$9&lt;20/24)</formula>
    </cfRule>
    <cfRule type="expression" dxfId="123" priority="133">
      <formula>AND(B$9&gt;=8/24,B$9&lt;14/24)</formula>
    </cfRule>
    <cfRule type="expression" dxfId="122" priority="134">
      <formula>B$9&lt;8/24</formula>
    </cfRule>
  </conditionalFormatting>
  <conditionalFormatting sqref="B55:C59">
    <cfRule type="expression" dxfId="121" priority="130">
      <formula>B55&gt;$AG55</formula>
    </cfRule>
  </conditionalFormatting>
  <conditionalFormatting sqref="B69:C71 B49:D49">
    <cfRule type="expression" dxfId="120" priority="125">
      <formula>B49&gt;$AG49</formula>
    </cfRule>
  </conditionalFormatting>
  <conditionalFormatting sqref="B99 B90">
    <cfRule type="expression" dxfId="119" priority="121">
      <formula>B$9&gt;=20/24</formula>
    </cfRule>
    <cfRule type="expression" dxfId="118" priority="122">
      <formula>AND(B$9&gt;=14/24,B$9&lt;20/24)</formula>
    </cfRule>
    <cfRule type="expression" dxfId="117" priority="123">
      <formula>AND(B$9&gt;=8/24,B$9&lt;14/24)</formula>
    </cfRule>
    <cfRule type="expression" dxfId="116" priority="124">
      <formula>B$9&lt;8/24</formula>
    </cfRule>
  </conditionalFormatting>
  <conditionalFormatting sqref="B60:C60">
    <cfRule type="expression" dxfId="115" priority="116">
      <formula>B60&gt;$AG60</formula>
    </cfRule>
  </conditionalFormatting>
  <conditionalFormatting sqref="B93:B97">
    <cfRule type="expression" dxfId="114" priority="112">
      <formula>B$9&gt;=20/24</formula>
    </cfRule>
    <cfRule type="expression" dxfId="113" priority="113">
      <formula>AND(B$9&gt;=14/24,B$9&lt;20/24)</formula>
    </cfRule>
    <cfRule type="expression" dxfId="112" priority="114">
      <formula>AND(B$9&gt;=8/24,B$9&lt;14/24)</formula>
    </cfRule>
    <cfRule type="expression" dxfId="111" priority="115">
      <formula>B$9&lt;8/24</formula>
    </cfRule>
  </conditionalFormatting>
  <conditionalFormatting sqref="B51:D53">
    <cfRule type="expression" dxfId="110" priority="108">
      <formula>B$9&gt;=20/24</formula>
    </cfRule>
    <cfRule type="expression" dxfId="109" priority="109">
      <formula>AND(B$9&gt;=14/24,B$9&lt;20/24)</formula>
    </cfRule>
    <cfRule type="expression" dxfId="108" priority="110">
      <formula>AND(B$9&gt;=8/24,B$9&lt;14/24)</formula>
    </cfRule>
    <cfRule type="expression" dxfId="107" priority="111">
      <formula>B$9&lt;8/24</formula>
    </cfRule>
  </conditionalFormatting>
  <conditionalFormatting sqref="B51:D53">
    <cfRule type="expression" dxfId="106" priority="107">
      <formula>B51&gt;$AG51</formula>
    </cfRule>
  </conditionalFormatting>
  <conditionalFormatting sqref="B109">
    <cfRule type="expression" dxfId="105" priority="103">
      <formula>B$9&gt;=20/24</formula>
    </cfRule>
    <cfRule type="expression" dxfId="104" priority="104">
      <formula>AND(B$9&gt;=14/24,B$9&lt;20/24)</formula>
    </cfRule>
    <cfRule type="expression" dxfId="103" priority="105">
      <formula>AND(B$9&gt;=8/24,B$9&lt;14/24)</formula>
    </cfRule>
    <cfRule type="expression" dxfId="102" priority="106">
      <formula>B$9&lt;8/24</formula>
    </cfRule>
  </conditionalFormatting>
  <conditionalFormatting sqref="B112">
    <cfRule type="expression" dxfId="101" priority="99">
      <formula>B$9&gt;=20/24</formula>
    </cfRule>
    <cfRule type="expression" dxfId="100" priority="100">
      <formula>AND(B$9&gt;=14/24,B$9&lt;20/24)</formula>
    </cfRule>
    <cfRule type="expression" dxfId="99" priority="101">
      <formula>AND(B$9&gt;=8/24,B$9&lt;14/24)</formula>
    </cfRule>
    <cfRule type="expression" dxfId="98" priority="102">
      <formula>B$9&lt;8/24</formula>
    </cfRule>
  </conditionalFormatting>
  <conditionalFormatting sqref="B19:T30 U25:Y26 U28:Y30 B36:Z45 Z29:Z30 B32:Z34 B31:AF31">
    <cfRule type="expression" dxfId="97" priority="95">
      <formula>B$9&gt;=20/24</formula>
    </cfRule>
    <cfRule type="expression" dxfId="96" priority="96">
      <formula>AND(B$9&gt;=14/24,B$9&lt;20/24)</formula>
    </cfRule>
    <cfRule type="expression" dxfId="95" priority="97">
      <formula>AND(B$9&gt;=8/24,B$9&lt;14/24)</formula>
    </cfRule>
    <cfRule type="expression" dxfId="94" priority="98">
      <formula>B$9&lt;8/24</formula>
    </cfRule>
  </conditionalFormatting>
  <conditionalFormatting sqref="B19:T30 U25:Y26 U28:Y30 B36:Z45 Z29:Z30 B32:Z34 B31:AF31">
    <cfRule type="expression" dxfId="93" priority="94">
      <formula>B19&gt;$AG19</formula>
    </cfRule>
  </conditionalFormatting>
  <conditionalFormatting sqref="B85:B87 B77:B83">
    <cfRule type="expression" dxfId="92" priority="90">
      <formula>B$9&gt;=20/24</formula>
    </cfRule>
    <cfRule type="expression" dxfId="91" priority="91">
      <formula>AND(B$9&gt;=14/24,B$9&lt;20/24)</formula>
    </cfRule>
    <cfRule type="expression" dxfId="90" priority="92">
      <formula>AND(B$9&gt;=8/24,B$9&lt;14/24)</formula>
    </cfRule>
    <cfRule type="expression" dxfId="89" priority="93">
      <formula>B$9&lt;8/24</formula>
    </cfRule>
  </conditionalFormatting>
  <conditionalFormatting sqref="B89 B91 B100 B72">
    <cfRule type="expression" dxfId="88" priority="86">
      <formula>B$9&gt;=20/24</formula>
    </cfRule>
    <cfRule type="expression" dxfId="87" priority="87">
      <formula>AND(B$9&gt;=14/24,B$9&lt;20/24)</formula>
    </cfRule>
    <cfRule type="expression" dxfId="86" priority="88">
      <formula>AND(B$9&gt;=8/24,B$9&lt;14/24)</formula>
    </cfRule>
    <cfRule type="expression" dxfId="85" priority="89">
      <formula>B$9&lt;8/24</formula>
    </cfRule>
  </conditionalFormatting>
  <conditionalFormatting sqref="B72 B67:C68">
    <cfRule type="expression" dxfId="84" priority="85">
      <formula>B67&gt;$AG67</formula>
    </cfRule>
  </conditionalFormatting>
  <conditionalFormatting sqref="B84">
    <cfRule type="expression" dxfId="83" priority="81">
      <formula>B$9&gt;=20/24</formula>
    </cfRule>
    <cfRule type="expression" dxfId="82" priority="82">
      <formula>AND(B$9&gt;=14/24,B$9&lt;20/24)</formula>
    </cfRule>
    <cfRule type="expression" dxfId="81" priority="83">
      <formula>AND(B$9&gt;=8/24,B$9&lt;14/24)</formula>
    </cfRule>
    <cfRule type="expression" dxfId="80" priority="84">
      <formula>B$9&lt;8/24</formula>
    </cfRule>
  </conditionalFormatting>
  <conditionalFormatting sqref="B54:C54">
    <cfRule type="expression" dxfId="79" priority="77">
      <formula>B$9&gt;=20/24</formula>
    </cfRule>
    <cfRule type="expression" dxfId="78" priority="78">
      <formula>AND(B$9&gt;=14/24,B$9&lt;20/24)</formula>
    </cfRule>
    <cfRule type="expression" dxfId="77" priority="79">
      <formula>AND(B$9&gt;=8/24,B$9&lt;14/24)</formula>
    </cfRule>
    <cfRule type="expression" dxfId="76" priority="80">
      <formula>B$9&lt;8/24</formula>
    </cfRule>
  </conditionalFormatting>
  <conditionalFormatting sqref="B54:C54">
    <cfRule type="expression" dxfId="75" priority="76">
      <formula>B54&gt;$AG54</formula>
    </cfRule>
  </conditionalFormatting>
  <conditionalFormatting sqref="B61:C66">
    <cfRule type="expression" dxfId="74" priority="68">
      <formula>B$9&gt;=20/24</formula>
    </cfRule>
    <cfRule type="expression" dxfId="73" priority="69">
      <formula>AND(B$9&gt;=14/24,B$9&lt;20/24)</formula>
    </cfRule>
    <cfRule type="expression" dxfId="72" priority="70">
      <formula>AND(B$9&gt;=8/24,B$9&lt;14/24)</formula>
    </cfRule>
    <cfRule type="expression" dxfId="71" priority="71">
      <formula>B$9&lt;8/24</formula>
    </cfRule>
  </conditionalFormatting>
  <conditionalFormatting sqref="B61:C66">
    <cfRule type="expression" dxfId="70" priority="67">
      <formula>B61&gt;$AG61</formula>
    </cfRule>
  </conditionalFormatting>
  <conditionalFormatting sqref="B47:Z47">
    <cfRule type="expression" dxfId="69" priority="66">
      <formula>B47&gt;$AG47</formula>
    </cfRule>
  </conditionalFormatting>
  <conditionalFormatting sqref="B13:T13">
    <cfRule type="expression" dxfId="68" priority="62">
      <formula>B$9&gt;=20/24</formula>
    </cfRule>
    <cfRule type="expression" dxfId="67" priority="63">
      <formula>AND(B$9&gt;=14/24,B$9&lt;20/24)</formula>
    </cfRule>
    <cfRule type="expression" dxfId="66" priority="64">
      <formula>AND(B$9&gt;=8/24,B$9&lt;14/24)</formula>
    </cfRule>
    <cfRule type="expression" dxfId="65" priority="65">
      <formula>B$9&lt;8/24</formula>
    </cfRule>
  </conditionalFormatting>
  <conditionalFormatting sqref="B13:T13">
    <cfRule type="expression" dxfId="64" priority="61">
      <formula>B13&gt;$AG13</formula>
    </cfRule>
  </conditionalFormatting>
  <conditionalFormatting sqref="B47:Z47">
    <cfRule type="expression" dxfId="63" priority="57">
      <formula>B$9&gt;=20/24</formula>
    </cfRule>
    <cfRule type="expression" dxfId="62" priority="58">
      <formula>AND(B$9&gt;=14/24,B$9&lt;20/24)</formula>
    </cfRule>
    <cfRule type="expression" dxfId="61" priority="59">
      <formula>AND(B$9&gt;=8/24,B$9&lt;14/24)</formula>
    </cfRule>
    <cfRule type="expression" dxfId="60" priority="60">
      <formula>B$9&lt;8/24</formula>
    </cfRule>
  </conditionalFormatting>
  <conditionalFormatting sqref="B48:Z48">
    <cfRule type="expression" dxfId="59" priority="53">
      <formula>B$9&gt;=20/24</formula>
    </cfRule>
    <cfRule type="expression" dxfId="58" priority="54">
      <formula>AND(B$9&gt;=14/24,B$9&lt;20/24)</formula>
    </cfRule>
    <cfRule type="expression" dxfId="57" priority="55">
      <formula>AND(B$9&gt;=8/24,B$9&lt;14/24)</formula>
    </cfRule>
    <cfRule type="expression" dxfId="56" priority="56">
      <formula>B$9&lt;8/24</formula>
    </cfRule>
  </conditionalFormatting>
  <conditionalFormatting sqref="B48:Z48">
    <cfRule type="expression" dxfId="55" priority="52">
      <formula>B48&gt;$AG48</formula>
    </cfRule>
  </conditionalFormatting>
  <conditionalFormatting sqref="B50:D50">
    <cfRule type="expression" dxfId="54" priority="51">
      <formula>B50&gt;$AG50</formula>
    </cfRule>
  </conditionalFormatting>
  <conditionalFormatting sqref="B11:T11">
    <cfRule type="expression" dxfId="53" priority="47">
      <formula>B$9&gt;=20/24</formula>
    </cfRule>
    <cfRule type="expression" dxfId="52" priority="48">
      <formula>AND(B$9&gt;=14/24,B$9&lt;20/24)</formula>
    </cfRule>
    <cfRule type="expression" dxfId="51" priority="49">
      <formula>AND(B$9&gt;=8/24,B$9&lt;14/24)</formula>
    </cfRule>
    <cfRule type="expression" dxfId="50" priority="50">
      <formula>B$9&lt;8/24</formula>
    </cfRule>
  </conditionalFormatting>
  <conditionalFormatting sqref="B11:T11">
    <cfRule type="expression" dxfId="49" priority="46">
      <formula>B11&gt;$AG11</formula>
    </cfRule>
  </conditionalFormatting>
  <conditionalFormatting sqref="B18:T18">
    <cfRule type="expression" dxfId="48" priority="42">
      <formula>B$9&gt;=20/24</formula>
    </cfRule>
    <cfRule type="expression" dxfId="47" priority="43">
      <formula>AND(B$9&gt;=14/24,B$9&lt;20/24)</formula>
    </cfRule>
    <cfRule type="expression" dxfId="46" priority="44">
      <formula>AND(B$9&gt;=8/24,B$9&lt;14/24)</formula>
    </cfRule>
    <cfRule type="expression" dxfId="45" priority="45">
      <formula>B$9&lt;8/24</formula>
    </cfRule>
  </conditionalFormatting>
  <conditionalFormatting sqref="B18:T18">
    <cfRule type="expression" dxfId="44" priority="41">
      <formula>B18&gt;$AG18</formula>
    </cfRule>
  </conditionalFormatting>
  <conditionalFormatting sqref="B35:Z35">
    <cfRule type="expression" dxfId="43" priority="37">
      <formula>B$9&gt;=20/24</formula>
    </cfRule>
    <cfRule type="expression" dxfId="42" priority="38">
      <formula>AND(B$9&gt;=14/24,B$9&lt;20/24)</formula>
    </cfRule>
    <cfRule type="expression" dxfId="41" priority="39">
      <formula>AND(B$9&gt;=8/24,B$9&lt;14/24)</formula>
    </cfRule>
    <cfRule type="expression" dxfId="40" priority="40">
      <formula>B$9&lt;8/24</formula>
    </cfRule>
  </conditionalFormatting>
  <conditionalFormatting sqref="B35:Z35">
    <cfRule type="expression" dxfId="39" priority="36">
      <formula>B35&gt;$AG35</formula>
    </cfRule>
  </conditionalFormatting>
  <conditionalFormatting sqref="B46:Z46">
    <cfRule type="expression" dxfId="38" priority="35">
      <formula>B46&gt;$AG46</formula>
    </cfRule>
  </conditionalFormatting>
  <conditionalFormatting sqref="B46:Z46">
    <cfRule type="expression" dxfId="37" priority="31">
      <formula>B$9&gt;=20/24</formula>
    </cfRule>
    <cfRule type="expression" dxfId="36" priority="32">
      <formula>AND(B$9&gt;=14/24,B$9&lt;20/24)</formula>
    </cfRule>
    <cfRule type="expression" dxfId="35" priority="33">
      <formula>AND(B$9&gt;=8/24,B$9&lt;14/24)</formula>
    </cfRule>
    <cfRule type="expression" dxfId="34" priority="34">
      <formula>B$9&lt;8/24</formula>
    </cfRule>
  </conditionalFormatting>
  <conditionalFormatting sqref="AE55:AF60">
    <cfRule type="expression" dxfId="33" priority="23">
      <formula>AE$9&gt;=20/24</formula>
    </cfRule>
    <cfRule type="expression" dxfId="32" priority="24">
      <formula>AND(AE$9&gt;=14/24,AE$9&lt;20/24)</formula>
    </cfRule>
    <cfRule type="expression" dxfId="31" priority="25">
      <formula>AND(AE$9&gt;=8/24,AE$9&lt;14/24)</formula>
    </cfRule>
    <cfRule type="expression" dxfId="30" priority="26">
      <formula>AE$9&lt;8/24</formula>
    </cfRule>
  </conditionalFormatting>
  <conditionalFormatting sqref="AE55:AF60">
    <cfRule type="expression" dxfId="29" priority="22">
      <formula>AE55&gt;$AG55</formula>
    </cfRule>
  </conditionalFormatting>
  <conditionalFormatting sqref="AE61:AF66">
    <cfRule type="expression" dxfId="28" priority="18">
      <formula>AE$9&gt;=20/24</formula>
    </cfRule>
    <cfRule type="expression" dxfId="27" priority="19">
      <formula>AND(AE$9&gt;=14/24,AE$9&lt;20/24)</formula>
    </cfRule>
    <cfRule type="expression" dxfId="26" priority="20">
      <formula>AND(AE$9&gt;=8/24,AE$9&lt;14/24)</formula>
    </cfRule>
    <cfRule type="expression" dxfId="25" priority="21">
      <formula>AE$9&lt;8/24</formula>
    </cfRule>
  </conditionalFormatting>
  <conditionalFormatting sqref="AE61:AF66">
    <cfRule type="expression" dxfId="24" priority="17">
      <formula>AE61&gt;$AG61</formula>
    </cfRule>
  </conditionalFormatting>
  <conditionalFormatting sqref="AE73">
    <cfRule type="expression" dxfId="23" priority="13">
      <formula>AE$9&gt;=20/24</formula>
    </cfRule>
    <cfRule type="expression" dxfId="22" priority="14">
      <formula>AND(AE$9&gt;=14/24,AE$9&lt;20/24)</formula>
    </cfRule>
    <cfRule type="expression" dxfId="21" priority="15">
      <formula>AND(AE$9&gt;=8/24,AE$9&lt;14/24)</formula>
    </cfRule>
    <cfRule type="expression" dxfId="20" priority="16">
      <formula>AE$9&lt;8/24</formula>
    </cfRule>
  </conditionalFormatting>
  <conditionalFormatting sqref="AE74:AE75">
    <cfRule type="expression" dxfId="19" priority="9">
      <formula>AE$9&gt;=20/24</formula>
    </cfRule>
    <cfRule type="expression" dxfId="18" priority="10">
      <formula>AND(AE$9&gt;=14/24,AE$9&lt;20/24)</formula>
    </cfRule>
    <cfRule type="expression" dxfId="17" priority="11">
      <formula>AND(AE$9&gt;=8/24,AE$9&lt;14/24)</formula>
    </cfRule>
    <cfRule type="expression" dxfId="16" priority="12">
      <formula>AE$9&lt;8/24</formula>
    </cfRule>
  </conditionalFormatting>
  <conditionalFormatting sqref="AE76:AF78">
    <cfRule type="expression" dxfId="15" priority="5">
      <formula>AE$9&gt;=20/24</formula>
    </cfRule>
    <cfRule type="expression" dxfId="14" priority="6">
      <formula>AND(AE$9&gt;=14/24,AE$9&lt;20/24)</formula>
    </cfRule>
    <cfRule type="expression" dxfId="13" priority="7">
      <formula>AND(AE$9&gt;=8/24,AE$9&lt;14/24)</formula>
    </cfRule>
    <cfRule type="expression" dxfId="12" priority="8">
      <formula>AE$9&lt;8/24</formula>
    </cfRule>
  </conditionalFormatting>
  <conditionalFormatting sqref="AE79:AF83">
    <cfRule type="expression" dxfId="11" priority="1">
      <formula>AE$9&gt;=20/24</formula>
    </cfRule>
    <cfRule type="expression" dxfId="10" priority="2">
      <formula>AND(AE$9&gt;=14/24,AE$9&lt;20/24)</formula>
    </cfRule>
    <cfRule type="expression" dxfId="9" priority="3">
      <formula>AND(AE$9&gt;=8/24,AE$9&lt;14/24)</formula>
    </cfRule>
    <cfRule type="expression" dxfId="8" priority="4">
      <formula>AE$9&lt;8/24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6" id="{5D5B2BDE-B1E8-4316-AF8A-314615464A7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7" id="{E32062F9-F0D5-4CD7-B3A1-5D34D84DA71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8" id="{50BBE0E0-C961-4B60-91F7-D148811AE4E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9" id="{817E790B-9E0F-4159-82E8-8D6E307C9DE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C92:AF92</xm:sqref>
        </x14:conditionalFormatting>
        <x14:conditionalFormatting xmlns:xm="http://schemas.microsoft.com/office/excel/2006/main">
          <x14:cfRule type="expression" priority="72" id="{75CC007C-9941-44A4-8B08-51CD16BDA39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D75CB7F0-81BD-4CEF-B37A-A4C42D524A3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6011CE0A-5923-4027-83E2-383D4B48E09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A4B0C746-D7EA-425D-A5EB-73152ADC628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DD79928D7884C98BBD0D4B87D9FE7" ma:contentTypeVersion="9" ma:contentTypeDescription="Create a new document." ma:contentTypeScope="" ma:versionID="c645eb2c67690f6525b6d4efe7310bf4">
  <xsd:schema xmlns:xsd="http://www.w3.org/2001/XMLSchema" xmlns:xs="http://www.w3.org/2001/XMLSchema" xmlns:p="http://schemas.microsoft.com/office/2006/metadata/properties" xmlns:ns3="8b99140f-175b-48b1-b6cb-f4e0524ffebf" targetNamespace="http://schemas.microsoft.com/office/2006/metadata/properties" ma:root="true" ma:fieldsID="723fb269a0852854ec541afcd3dda454" ns3:_="">
    <xsd:import namespace="8b99140f-175b-48b1-b6cb-f4e0524ffe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9140f-175b-48b1-b6cb-f4e0524ffe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48AF2B-54D4-427A-896E-FDE4CD7EC3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2E1C8B-BA4E-4E75-A16B-582A8F74AB7F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8b99140f-175b-48b1-b6cb-f4e0524ffebf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D943DCF-E23A-4221-B9F4-7380D660B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99140f-175b-48b1-b6cb-f4e0524ffe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sample</vt:lpstr>
      <vt:lpstr>Sheet1</vt:lpstr>
      <vt:lpstr>Sheet2</vt:lpstr>
      <vt:lpstr>Sheet3</vt:lpstr>
      <vt:lpstr>sample (2)</vt:lpstr>
      <vt:lpstr>'0'!Print_Area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2023-06-17T15:35:16Z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0x010100A9EDD79928D7884C98BBD0D4B87D9FE7</vt:lpwstr>
  </property>
</Properties>
</file>